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eminornxt.sharepoint.com/sites/DSA-Dups/Gedeelde documenten/Website/Downloads/1. Financial plan/"/>
    </mc:Choice>
  </mc:AlternateContent>
  <xr:revisionPtr revIDLastSave="165" documentId="11_6B7FC8F37099AA7D2D06B3B3981B1804F0071936" xr6:coauthVersionLast="47" xr6:coauthVersionMax="47" xr10:uidLastSave="{0C64F8E0-08DD-4F7A-8D86-64DA9DC7A117}"/>
  <bookViews>
    <workbookView xWindow="58575" yWindow="1410" windowWidth="21600" windowHeight="12240" firstSheet="2" activeTab="5" xr2:uid="{00000000-000D-0000-FFFF-FFFF00000000}"/>
  </bookViews>
  <sheets>
    <sheet name="GLOSSARY" sheetId="2" r:id="rId1"/>
    <sheet name="PB_CACHE" sheetId="7" state="veryHidden" r:id="rId2"/>
    <sheet name="INPUTS" sheetId="3" r:id="rId3"/>
    <sheet name="OUTPUTS &gt;&gt;" sheetId="6" r:id="rId4"/>
    <sheet name="1. FINANCIAL STATEMENTS" sheetId="4" r:id="rId5"/>
    <sheet name="2. SUPPORTING SCHEDULES" sheetId="5" r:id="rId6"/>
  </sheets>
  <definedNames>
    <definedName name="CIQWBGuid" hidden="1">"2cd8126d-26c3-430c-b7fa-a069e3a1fc62"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5" l="1"/>
  <c r="I46" i="5"/>
  <c r="H46" i="5"/>
  <c r="G46" i="5"/>
  <c r="F46" i="5"/>
  <c r="E46" i="5"/>
  <c r="D46" i="5"/>
  <c r="H42" i="5"/>
  <c r="I42" i="5" s="1"/>
  <c r="J42" i="5" s="1"/>
  <c r="G42" i="5"/>
  <c r="E42" i="5"/>
  <c r="F42" i="5" s="1"/>
  <c r="D42" i="5"/>
  <c r="B35" i="5"/>
  <c r="C34" i="5"/>
  <c r="B34" i="5"/>
  <c r="B33" i="5"/>
  <c r="C21" i="5"/>
  <c r="D19" i="5"/>
  <c r="C15" i="5"/>
  <c r="C16" i="5" s="1"/>
  <c r="D13" i="5"/>
  <c r="D14" i="5" s="1"/>
  <c r="C9" i="5"/>
  <c r="C33" i="5" s="1"/>
  <c r="D7" i="5"/>
  <c r="E6" i="5"/>
  <c r="F6" i="5" s="1"/>
  <c r="G6" i="5" s="1"/>
  <c r="H6" i="5" s="1"/>
  <c r="I6" i="5" s="1"/>
  <c r="J6" i="5" s="1"/>
  <c r="D6" i="5"/>
  <c r="D94" i="4"/>
  <c r="J86" i="4"/>
  <c r="I86" i="4"/>
  <c r="H86" i="4"/>
  <c r="G86" i="4"/>
  <c r="F86" i="4"/>
  <c r="E86" i="4"/>
  <c r="D86" i="4"/>
  <c r="J65" i="4"/>
  <c r="I65" i="4"/>
  <c r="H65" i="4"/>
  <c r="G65" i="4"/>
  <c r="F65" i="4"/>
  <c r="E65" i="4"/>
  <c r="D65" i="4"/>
  <c r="E50" i="4"/>
  <c r="E76" i="4" s="1"/>
  <c r="E75" i="4" s="1"/>
  <c r="D50" i="4"/>
  <c r="D76" i="4" s="1"/>
  <c r="D75" i="4" s="1"/>
  <c r="J39" i="4"/>
  <c r="I39" i="4"/>
  <c r="H39" i="4"/>
  <c r="G39" i="4"/>
  <c r="F39" i="4"/>
  <c r="E39" i="4"/>
  <c r="D39" i="4"/>
  <c r="B25" i="4"/>
  <c r="G24" i="4"/>
  <c r="E24" i="4"/>
  <c r="B24" i="4"/>
  <c r="B23" i="4"/>
  <c r="B14" i="4"/>
  <c r="B12" i="4"/>
  <c r="B11" i="4"/>
  <c r="B10" i="4"/>
  <c r="H7" i="4"/>
  <c r="F7" i="4"/>
  <c r="G7" i="4" s="1"/>
  <c r="G50" i="4" s="1"/>
  <c r="G76" i="4" s="1"/>
  <c r="G75" i="4" s="1"/>
  <c r="E7" i="4"/>
  <c r="F124" i="3"/>
  <c r="F123" i="3"/>
  <c r="F122" i="3"/>
  <c r="K98" i="3"/>
  <c r="J98" i="3"/>
  <c r="I98" i="3"/>
  <c r="H98" i="3"/>
  <c r="G44" i="5" s="1"/>
  <c r="G98" i="3"/>
  <c r="F98" i="3"/>
  <c r="E44" i="5" s="1"/>
  <c r="E98" i="3"/>
  <c r="D85" i="4" s="1"/>
  <c r="D84" i="4" s="1"/>
  <c r="K83" i="3"/>
  <c r="J24" i="4" s="1"/>
  <c r="J83" i="3"/>
  <c r="I24" i="4" s="1"/>
  <c r="I83" i="3"/>
  <c r="H24" i="4" s="1"/>
  <c r="H83" i="3"/>
  <c r="G83" i="3"/>
  <c r="F24" i="4" s="1"/>
  <c r="F83" i="3"/>
  <c r="E83" i="3"/>
  <c r="D24" i="4" s="1"/>
  <c r="J82" i="3"/>
  <c r="H82" i="3"/>
  <c r="K77" i="3"/>
  <c r="K88" i="3" s="1"/>
  <c r="J27" i="4" s="1"/>
  <c r="J77" i="3"/>
  <c r="J88" i="3" s="1"/>
  <c r="I77" i="3"/>
  <c r="I88" i="3" s="1"/>
  <c r="H27" i="4" s="1"/>
  <c r="H77" i="3"/>
  <c r="H88" i="3" s="1"/>
  <c r="G27" i="4" s="1"/>
  <c r="G77" i="3"/>
  <c r="G88" i="3" s="1"/>
  <c r="F27" i="4" s="1"/>
  <c r="F77" i="3"/>
  <c r="F88" i="3" s="1"/>
  <c r="E27" i="4" s="1"/>
  <c r="E77" i="3"/>
  <c r="E88" i="3" s="1"/>
  <c r="K68" i="3"/>
  <c r="K82" i="3" s="1"/>
  <c r="J68" i="3"/>
  <c r="I68" i="3"/>
  <c r="I82" i="3" s="1"/>
  <c r="H68" i="3"/>
  <c r="G68" i="3"/>
  <c r="G82" i="3" s="1"/>
  <c r="F68" i="3"/>
  <c r="F82" i="3" s="1"/>
  <c r="E68" i="3"/>
  <c r="E82" i="3" s="1"/>
  <c r="D23" i="4" s="1"/>
  <c r="C62" i="3"/>
  <c r="B17" i="4" s="1"/>
  <c r="C61" i="3"/>
  <c r="B16" i="4" s="1"/>
  <c r="C60" i="3"/>
  <c r="B15" i="4" s="1"/>
  <c r="E57" i="3"/>
  <c r="E62" i="3" s="1"/>
  <c r="D17" i="4" s="1"/>
  <c r="E56" i="3"/>
  <c r="E61" i="3" s="1"/>
  <c r="D16" i="4" s="1"/>
  <c r="E55" i="3"/>
  <c r="E60" i="3" s="1"/>
  <c r="E52" i="3"/>
  <c r="F51" i="3"/>
  <c r="C51" i="3"/>
  <c r="E50" i="3"/>
  <c r="F49" i="3"/>
  <c r="C49" i="3"/>
  <c r="E48" i="3"/>
  <c r="F47" i="3"/>
  <c r="C47" i="3"/>
  <c r="G43" i="3"/>
  <c r="H43" i="3" s="1"/>
  <c r="I43" i="3" s="1"/>
  <c r="J43" i="3" s="1"/>
  <c r="K43" i="3" s="1"/>
  <c r="C43" i="3"/>
  <c r="G42" i="3"/>
  <c r="H42" i="3" s="1"/>
  <c r="I42" i="3" s="1"/>
  <c r="J42" i="3" s="1"/>
  <c r="K42" i="3" s="1"/>
  <c r="C42" i="3"/>
  <c r="G41" i="3"/>
  <c r="H41" i="3" s="1"/>
  <c r="I41" i="3" s="1"/>
  <c r="J41" i="3" s="1"/>
  <c r="K41" i="3" s="1"/>
  <c r="C41" i="3"/>
  <c r="E34" i="3"/>
  <c r="D12" i="4" s="1"/>
  <c r="E33" i="3"/>
  <c r="D11" i="4" s="1"/>
  <c r="E32" i="3"/>
  <c r="C29" i="3"/>
  <c r="C57" i="3" s="1"/>
  <c r="C28" i="3"/>
  <c r="C56" i="3" s="1"/>
  <c r="F27" i="3"/>
  <c r="F55" i="3" s="1"/>
  <c r="C27" i="3"/>
  <c r="C55" i="3" s="1"/>
  <c r="C24" i="3"/>
  <c r="C23" i="3"/>
  <c r="C22" i="3"/>
  <c r="F18" i="3"/>
  <c r="F29" i="3" s="1"/>
  <c r="C18" i="3"/>
  <c r="F17" i="3"/>
  <c r="C17" i="3"/>
  <c r="F16" i="3"/>
  <c r="G16" i="3" s="1"/>
  <c r="H16" i="3" s="1"/>
  <c r="I16" i="3" s="1"/>
  <c r="J16" i="3" s="1"/>
  <c r="K16" i="3" s="1"/>
  <c r="C16" i="3"/>
  <c r="F11" i="3"/>
  <c r="G11" i="3" s="1"/>
  <c r="H11" i="3" s="1"/>
  <c r="I11" i="3" s="1"/>
  <c r="J11" i="3" s="1"/>
  <c r="K11" i="3" s="1"/>
  <c r="F10" i="3"/>
  <c r="F24" i="3" s="1"/>
  <c r="F34" i="3" s="1"/>
  <c r="E12" i="4" s="1"/>
  <c r="F7" i="3"/>
  <c r="G7" i="3" s="1"/>
  <c r="H7" i="3" s="1"/>
  <c r="I7" i="3" s="1"/>
  <c r="J7" i="3" s="1"/>
  <c r="K7" i="3" s="1"/>
  <c r="E7" i="3"/>
  <c r="F6" i="3"/>
  <c r="G6" i="3" s="1"/>
  <c r="H6" i="3" s="1"/>
  <c r="I6" i="3" s="1"/>
  <c r="J6" i="3" s="1"/>
  <c r="K6" i="3" s="1"/>
  <c r="F60" i="3" l="1"/>
  <c r="E15" i="4" s="1"/>
  <c r="K24" i="4"/>
  <c r="F52" i="3"/>
  <c r="G18" i="3"/>
  <c r="H18" i="3" s="1"/>
  <c r="I18" i="3" s="1"/>
  <c r="J18" i="3" s="1"/>
  <c r="K18" i="3" s="1"/>
  <c r="F22" i="3"/>
  <c r="F32" i="3" s="1"/>
  <c r="D15" i="4"/>
  <c r="D14" i="4" s="1"/>
  <c r="E63" i="3"/>
  <c r="E131" i="3" s="1"/>
  <c r="D58" i="4" s="1"/>
  <c r="G10" i="3"/>
  <c r="H10" i="3" s="1"/>
  <c r="I10" i="3" s="1"/>
  <c r="J10" i="3" s="1"/>
  <c r="K10" i="3" s="1"/>
  <c r="F23" i="3"/>
  <c r="G23" i="3" s="1"/>
  <c r="E108" i="3"/>
  <c r="F108" i="3" s="1"/>
  <c r="G85" i="4"/>
  <c r="G84" i="4" s="1"/>
  <c r="G24" i="3"/>
  <c r="F109" i="3"/>
  <c r="G109" i="3" s="1"/>
  <c r="G51" i="3"/>
  <c r="G52" i="3" s="1"/>
  <c r="G49" i="3"/>
  <c r="H49" i="3" s="1"/>
  <c r="H111" i="3"/>
  <c r="I111" i="3" s="1"/>
  <c r="J111" i="3" s="1"/>
  <c r="K111" i="3" s="1"/>
  <c r="D44" i="5"/>
  <c r="D27" i="4"/>
  <c r="E10" i="4"/>
  <c r="H44" i="5"/>
  <c r="I112" i="3"/>
  <c r="J112" i="3"/>
  <c r="K112" i="3" s="1"/>
  <c r="I44" i="5"/>
  <c r="J113" i="3"/>
  <c r="K113" i="3" s="1"/>
  <c r="I85" i="4"/>
  <c r="I84" i="4" s="1"/>
  <c r="H24" i="3"/>
  <c r="I7" i="4"/>
  <c r="H50" i="4"/>
  <c r="H76" i="4" s="1"/>
  <c r="H75" i="4" s="1"/>
  <c r="G29" i="3"/>
  <c r="F57" i="3"/>
  <c r="F62" i="3" s="1"/>
  <c r="E17" i="4" s="1"/>
  <c r="H23" i="4"/>
  <c r="I27" i="4"/>
  <c r="F85" i="4"/>
  <c r="F84" i="4" s="1"/>
  <c r="F44" i="5"/>
  <c r="G110" i="3"/>
  <c r="H110" i="3" s="1"/>
  <c r="E23" i="4"/>
  <c r="H85" i="4"/>
  <c r="H84" i="4" s="1"/>
  <c r="D8" i="5"/>
  <c r="D9" i="5" s="1"/>
  <c r="E7" i="5"/>
  <c r="G22" i="3"/>
  <c r="F28" i="3"/>
  <c r="G17" i="3"/>
  <c r="H17" i="3" s="1"/>
  <c r="I17" i="3" s="1"/>
  <c r="J17" i="3" s="1"/>
  <c r="K17" i="3" s="1"/>
  <c r="E35" i="3"/>
  <c r="J23" i="4"/>
  <c r="D10" i="4"/>
  <c r="C35" i="5"/>
  <c r="C37" i="5" s="1"/>
  <c r="C25" i="5"/>
  <c r="C22" i="5"/>
  <c r="C29" i="5" s="1"/>
  <c r="C23" i="5"/>
  <c r="G23" i="4"/>
  <c r="J44" i="5"/>
  <c r="K114" i="3"/>
  <c r="J85" i="4"/>
  <c r="J84" i="4" s="1"/>
  <c r="G47" i="3"/>
  <c r="F23" i="4"/>
  <c r="I23" i="4"/>
  <c r="K86" i="4"/>
  <c r="C17" i="5"/>
  <c r="D15" i="5" s="1"/>
  <c r="E19" i="5"/>
  <c r="D20" i="5"/>
  <c r="G27" i="3"/>
  <c r="G108" i="3"/>
  <c r="F50" i="4"/>
  <c r="F76" i="4" s="1"/>
  <c r="F75" i="4" s="1"/>
  <c r="E85" i="4"/>
  <c r="E84" i="4" s="1"/>
  <c r="C10" i="5"/>
  <c r="C11" i="5" s="1"/>
  <c r="E13" i="5"/>
  <c r="E116" i="3" l="1"/>
  <c r="F50" i="3"/>
  <c r="E64" i="3"/>
  <c r="F48" i="3"/>
  <c r="H51" i="3"/>
  <c r="I51" i="3" s="1"/>
  <c r="I110" i="3"/>
  <c r="J110" i="3" s="1"/>
  <c r="F116" i="3"/>
  <c r="D25" i="5"/>
  <c r="D89" i="4" s="1"/>
  <c r="D21" i="5"/>
  <c r="K110" i="3"/>
  <c r="F19" i="5"/>
  <c r="E20" i="5"/>
  <c r="G32" i="3"/>
  <c r="H22" i="3"/>
  <c r="E8" i="5"/>
  <c r="F7" i="5"/>
  <c r="E14" i="5"/>
  <c r="E15" i="5" s="1"/>
  <c r="F13" i="5"/>
  <c r="H47" i="3"/>
  <c r="G48" i="3"/>
  <c r="G57" i="3"/>
  <c r="G62" i="3" s="1"/>
  <c r="F17" i="4" s="1"/>
  <c r="H29" i="3"/>
  <c r="H109" i="3"/>
  <c r="I50" i="4"/>
  <c r="I76" i="4" s="1"/>
  <c r="I75" i="4" s="1"/>
  <c r="J7" i="4"/>
  <c r="J50" i="4" s="1"/>
  <c r="J76" i="4" s="1"/>
  <c r="J75" i="4" s="1"/>
  <c r="D10" i="5"/>
  <c r="D11" i="5" s="1"/>
  <c r="D33" i="5"/>
  <c r="G34" i="3"/>
  <c r="F12" i="4" s="1"/>
  <c r="E117" i="3"/>
  <c r="D45" i="5"/>
  <c r="D47" i="5" s="1"/>
  <c r="D32" i="4"/>
  <c r="I24" i="3"/>
  <c r="K27" i="4"/>
  <c r="D9" i="4"/>
  <c r="G28" i="3"/>
  <c r="G33" i="3" s="1"/>
  <c r="F11" i="4" s="1"/>
  <c r="F56" i="3"/>
  <c r="F61" i="3" s="1"/>
  <c r="D34" i="5"/>
  <c r="D16" i="5"/>
  <c r="D17" i="5" s="1"/>
  <c r="C27" i="5"/>
  <c r="G116" i="3"/>
  <c r="K23" i="4"/>
  <c r="K85" i="4"/>
  <c r="E84" i="3"/>
  <c r="E99" i="3"/>
  <c r="E36" i="3"/>
  <c r="E130" i="3"/>
  <c r="E102" i="3"/>
  <c r="E89" i="3"/>
  <c r="H108" i="3"/>
  <c r="G55" i="3"/>
  <c r="G60" i="3" s="1"/>
  <c r="H27" i="3"/>
  <c r="I49" i="3"/>
  <c r="G50" i="3"/>
  <c r="H23" i="3"/>
  <c r="H50" i="3" s="1"/>
  <c r="F33" i="3"/>
  <c r="H52" i="3" l="1"/>
  <c r="E32" i="4"/>
  <c r="E81" i="4" s="1"/>
  <c r="E45" i="5"/>
  <c r="F15" i="4"/>
  <c r="I29" i="3"/>
  <c r="H57" i="3"/>
  <c r="H62" i="3" s="1"/>
  <c r="G17" i="4" s="1"/>
  <c r="E16" i="4"/>
  <c r="F63" i="3"/>
  <c r="E11" i="4"/>
  <c r="F35" i="3"/>
  <c r="G56" i="3"/>
  <c r="G61" i="3" s="1"/>
  <c r="F16" i="4" s="1"/>
  <c r="H28" i="3"/>
  <c r="I47" i="3"/>
  <c r="H48" i="3"/>
  <c r="H32" i="3"/>
  <c r="I22" i="3"/>
  <c r="J49" i="3"/>
  <c r="G7" i="5"/>
  <c r="F8" i="5"/>
  <c r="I27" i="3"/>
  <c r="H55" i="3"/>
  <c r="H60" i="3" s="1"/>
  <c r="D81" i="4"/>
  <c r="D33" i="4"/>
  <c r="I23" i="3"/>
  <c r="I50" i="3" s="1"/>
  <c r="D25" i="4"/>
  <c r="E85" i="3"/>
  <c r="E132" i="3"/>
  <c r="D69" i="4" s="1"/>
  <c r="F45" i="5"/>
  <c r="F32" i="4"/>
  <c r="D19" i="4"/>
  <c r="D54" i="4"/>
  <c r="E43" i="5"/>
  <c r="E47" i="5" s="1"/>
  <c r="F10" i="4"/>
  <c r="G35" i="3"/>
  <c r="G117" i="3" s="1"/>
  <c r="E34" i="5"/>
  <c r="E16" i="5"/>
  <c r="E17" i="5" s="1"/>
  <c r="J51" i="3"/>
  <c r="I52" i="3"/>
  <c r="D57" i="4"/>
  <c r="I34" i="3"/>
  <c r="H12" i="4" s="1"/>
  <c r="J24" i="3"/>
  <c r="D22" i="5"/>
  <c r="D29" i="5" s="1"/>
  <c r="D90" i="4" s="1"/>
  <c r="D35" i="5"/>
  <c r="D37" i="5" s="1"/>
  <c r="D40" i="4" s="1"/>
  <c r="H34" i="3"/>
  <c r="G12" i="4" s="1"/>
  <c r="E9" i="5"/>
  <c r="H116" i="3"/>
  <c r="I109" i="3"/>
  <c r="J109" i="3" s="1"/>
  <c r="K109" i="3" s="1"/>
  <c r="E25" i="5"/>
  <c r="E89" i="4" s="1"/>
  <c r="F14" i="5"/>
  <c r="G13" i="5"/>
  <c r="F20" i="5"/>
  <c r="G19" i="5"/>
  <c r="I108" i="3"/>
  <c r="I116" i="3" l="1"/>
  <c r="E133" i="3"/>
  <c r="E134" i="3" s="1"/>
  <c r="D82" i="4" s="1"/>
  <c r="G15" i="4"/>
  <c r="F25" i="5"/>
  <c r="F89" i="4" s="1"/>
  <c r="F21" i="5"/>
  <c r="J50" i="3"/>
  <c r="K49" i="3"/>
  <c r="D38" i="4"/>
  <c r="J52" i="3"/>
  <c r="K51" i="3"/>
  <c r="F43" i="5"/>
  <c r="F47" i="5" s="1"/>
  <c r="E54" i="4"/>
  <c r="E86" i="3"/>
  <c r="E91" i="3"/>
  <c r="E92" i="3" s="1"/>
  <c r="J27" i="3"/>
  <c r="I55" i="3"/>
  <c r="I60" i="3" s="1"/>
  <c r="F130" i="3"/>
  <c r="F84" i="3"/>
  <c r="F36" i="3"/>
  <c r="F89" i="3"/>
  <c r="F102" i="3"/>
  <c r="F117" i="3"/>
  <c r="F99" i="3"/>
  <c r="J108" i="3"/>
  <c r="F81" i="4"/>
  <c r="I57" i="3"/>
  <c r="I62" i="3" s="1"/>
  <c r="H17" i="4" s="1"/>
  <c r="J29" i="3"/>
  <c r="J34" i="3" s="1"/>
  <c r="I12" i="4" s="1"/>
  <c r="E33" i="5"/>
  <c r="E10" i="5"/>
  <c r="E11" i="5"/>
  <c r="F9" i="5" s="1"/>
  <c r="F15" i="5"/>
  <c r="F9" i="4"/>
  <c r="I32" i="3"/>
  <c r="J22" i="3"/>
  <c r="E9" i="4"/>
  <c r="G20" i="5"/>
  <c r="H19" i="5"/>
  <c r="G8" i="5"/>
  <c r="H7" i="5"/>
  <c r="G32" i="4"/>
  <c r="G45" i="5"/>
  <c r="J47" i="3"/>
  <c r="I48" i="3"/>
  <c r="G14" i="5"/>
  <c r="H13" i="5"/>
  <c r="G84" i="3"/>
  <c r="G102" i="3"/>
  <c r="G36" i="3"/>
  <c r="G130" i="3"/>
  <c r="G99" i="3"/>
  <c r="G89" i="3"/>
  <c r="H56" i="3"/>
  <c r="H61" i="3" s="1"/>
  <c r="G16" i="4" s="1"/>
  <c r="I28" i="3"/>
  <c r="D22" i="4"/>
  <c r="D23" i="5"/>
  <c r="J23" i="3"/>
  <c r="D88" i="4"/>
  <c r="G10" i="4"/>
  <c r="F132" i="3"/>
  <c r="E69" i="4" s="1"/>
  <c r="F131" i="3"/>
  <c r="E58" i="4" s="1"/>
  <c r="F64" i="3"/>
  <c r="G63" i="3"/>
  <c r="H45" i="5"/>
  <c r="H32" i="4"/>
  <c r="K24" i="3"/>
  <c r="D20" i="4"/>
  <c r="H33" i="3"/>
  <c r="G11" i="4" s="1"/>
  <c r="E14" i="4"/>
  <c r="F14" i="4"/>
  <c r="H35" i="3" l="1"/>
  <c r="G9" i="4"/>
  <c r="H15" i="4"/>
  <c r="F33" i="5"/>
  <c r="F10" i="5"/>
  <c r="F11" i="5" s="1"/>
  <c r="G9" i="5" s="1"/>
  <c r="F34" i="5"/>
  <c r="F16" i="5"/>
  <c r="F17" i="5" s="1"/>
  <c r="G15" i="5" s="1"/>
  <c r="E25" i="4"/>
  <c r="F85" i="3"/>
  <c r="J116" i="3"/>
  <c r="K108" i="3"/>
  <c r="K116" i="3" s="1"/>
  <c r="H81" i="4"/>
  <c r="K23" i="3"/>
  <c r="K50" i="3" s="1"/>
  <c r="I13" i="5"/>
  <c r="H14" i="5"/>
  <c r="H10" i="4"/>
  <c r="G132" i="3"/>
  <c r="F69" i="4" s="1"/>
  <c r="G131" i="3"/>
  <c r="F58" i="4" s="1"/>
  <c r="G64" i="3"/>
  <c r="I7" i="5"/>
  <c r="H8" i="5"/>
  <c r="J48" i="3"/>
  <c r="K47" i="3"/>
  <c r="G25" i="5"/>
  <c r="G89" i="4" s="1"/>
  <c r="G43" i="5"/>
  <c r="G47" i="5" s="1"/>
  <c r="F54" i="4"/>
  <c r="H102" i="3"/>
  <c r="H99" i="3"/>
  <c r="H130" i="3"/>
  <c r="H84" i="3"/>
  <c r="H36" i="3"/>
  <c r="H89" i="3"/>
  <c r="K52" i="3"/>
  <c r="I56" i="3"/>
  <c r="I61" i="3" s="1"/>
  <c r="H16" i="4" s="1"/>
  <c r="J28" i="3"/>
  <c r="J33" i="3" s="1"/>
  <c r="I11" i="4" s="1"/>
  <c r="F25" i="4"/>
  <c r="F22" i="4" s="1"/>
  <c r="G85" i="3"/>
  <c r="J32" i="3"/>
  <c r="K22" i="3"/>
  <c r="G33" i="4"/>
  <c r="G81" i="4"/>
  <c r="J57" i="3"/>
  <c r="J62" i="3" s="1"/>
  <c r="I17" i="4" s="1"/>
  <c r="K29" i="3"/>
  <c r="K57" i="3" s="1"/>
  <c r="K62" i="3" s="1"/>
  <c r="J17" i="4" s="1"/>
  <c r="K17" i="4" s="1"/>
  <c r="J55" i="3"/>
  <c r="J60" i="3" s="1"/>
  <c r="K27" i="3"/>
  <c r="K55" i="3" s="1"/>
  <c r="F22" i="5"/>
  <c r="F35" i="5"/>
  <c r="I33" i="3"/>
  <c r="H11" i="4" s="1"/>
  <c r="D27" i="5"/>
  <c r="D70" i="4" s="1"/>
  <c r="D68" i="4" s="1"/>
  <c r="E21" i="5"/>
  <c r="G14" i="4"/>
  <c r="E19" i="4"/>
  <c r="E33" i="4"/>
  <c r="E57" i="4"/>
  <c r="F133" i="3"/>
  <c r="H117" i="3"/>
  <c r="D29" i="4"/>
  <c r="F57" i="4"/>
  <c r="H20" i="5"/>
  <c r="I19" i="5"/>
  <c r="F19" i="4"/>
  <c r="F33" i="4"/>
  <c r="D80" i="4"/>
  <c r="H63" i="3"/>
  <c r="G19" i="4" l="1"/>
  <c r="K32" i="3"/>
  <c r="F29" i="5"/>
  <c r="F90" i="4" s="1"/>
  <c r="F88" i="4" s="1"/>
  <c r="I35" i="3"/>
  <c r="I102" i="3" s="1"/>
  <c r="G133" i="3"/>
  <c r="G134" i="3" s="1"/>
  <c r="F82" i="4" s="1"/>
  <c r="F80" i="4" s="1"/>
  <c r="H9" i="4"/>
  <c r="H33" i="4" s="1"/>
  <c r="G34" i="5"/>
  <c r="G16" i="5"/>
  <c r="G17" i="5" s="1"/>
  <c r="H15" i="5" s="1"/>
  <c r="I15" i="4"/>
  <c r="G33" i="5"/>
  <c r="G10" i="5"/>
  <c r="G11" i="5"/>
  <c r="H9" i="5" s="1"/>
  <c r="J45" i="5"/>
  <c r="J32" i="4"/>
  <c r="G25" i="4"/>
  <c r="G22" i="4" s="1"/>
  <c r="G29" i="4" s="1"/>
  <c r="H85" i="3"/>
  <c r="H86" i="3" s="1"/>
  <c r="I45" i="5"/>
  <c r="I32" i="4"/>
  <c r="J19" i="5"/>
  <c r="J20" i="5" s="1"/>
  <c r="I20" i="5"/>
  <c r="F23" i="5"/>
  <c r="H43" i="5"/>
  <c r="H47" i="5" s="1"/>
  <c r="G54" i="4"/>
  <c r="G57" i="4"/>
  <c r="I14" i="5"/>
  <c r="J13" i="5"/>
  <c r="J14" i="5" s="1"/>
  <c r="H131" i="3"/>
  <c r="G58" i="4" s="1"/>
  <c r="H132" i="3"/>
  <c r="G69" i="4" s="1"/>
  <c r="H64" i="3"/>
  <c r="E20" i="4"/>
  <c r="K48" i="3"/>
  <c r="K60" i="3"/>
  <c r="F86" i="3"/>
  <c r="F91" i="3"/>
  <c r="F92" i="3" s="1"/>
  <c r="F37" i="5"/>
  <c r="F40" i="4" s="1"/>
  <c r="F38" i="4" s="1"/>
  <c r="G20" i="4"/>
  <c r="G86" i="3"/>
  <c r="G91" i="3"/>
  <c r="G92" i="3" s="1"/>
  <c r="D30" i="4"/>
  <c r="D35" i="4"/>
  <c r="J10" i="4"/>
  <c r="I84" i="3"/>
  <c r="I130" i="3"/>
  <c r="I89" i="3"/>
  <c r="I36" i="3"/>
  <c r="I99" i="3"/>
  <c r="I117" i="3"/>
  <c r="H25" i="5"/>
  <c r="H89" i="4" s="1"/>
  <c r="J35" i="3"/>
  <c r="J117" i="3" s="1"/>
  <c r="I10" i="4"/>
  <c r="I9" i="4" s="1"/>
  <c r="J7" i="5"/>
  <c r="J8" i="5" s="1"/>
  <c r="I8" i="5"/>
  <c r="E35" i="5"/>
  <c r="E37" i="5" s="1"/>
  <c r="E40" i="4" s="1"/>
  <c r="E22" i="5"/>
  <c r="E29" i="5" s="1"/>
  <c r="E90" i="4" s="1"/>
  <c r="E23" i="5"/>
  <c r="E27" i="5" s="1"/>
  <c r="E70" i="4" s="1"/>
  <c r="E68" i="4" s="1"/>
  <c r="J56" i="3"/>
  <c r="J61" i="3" s="1"/>
  <c r="I16" i="4" s="1"/>
  <c r="K28" i="3"/>
  <c r="K56" i="3" s="1"/>
  <c r="K61" i="3" s="1"/>
  <c r="J16" i="4" s="1"/>
  <c r="K33" i="3"/>
  <c r="J11" i="4" s="1"/>
  <c r="K11" i="4" s="1"/>
  <c r="E22" i="4"/>
  <c r="I63" i="3"/>
  <c r="F29" i="4"/>
  <c r="F20" i="4"/>
  <c r="F134" i="3"/>
  <c r="E82" i="4" s="1"/>
  <c r="K34" i="3"/>
  <c r="J12" i="4" s="1"/>
  <c r="K12" i="4" s="1"/>
  <c r="H14" i="4"/>
  <c r="H19" i="4" l="1"/>
  <c r="K16" i="4"/>
  <c r="J63" i="3"/>
  <c r="I14" i="4"/>
  <c r="I19" i="4" s="1"/>
  <c r="K10" i="4"/>
  <c r="H20" i="4"/>
  <c r="H34" i="5"/>
  <c r="H16" i="5"/>
  <c r="H17" i="5" s="1"/>
  <c r="I15" i="5" s="1"/>
  <c r="G35" i="4"/>
  <c r="G30" i="4"/>
  <c r="H25" i="4"/>
  <c r="H22" i="4" s="1"/>
  <c r="H29" i="4" s="1"/>
  <c r="I85" i="3"/>
  <c r="F30" i="4"/>
  <c r="F35" i="4"/>
  <c r="K35" i="3"/>
  <c r="J15" i="4"/>
  <c r="J14" i="4" s="1"/>
  <c r="K14" i="4" s="1"/>
  <c r="K63" i="3"/>
  <c r="I64" i="3"/>
  <c r="I132" i="3"/>
  <c r="H69" i="4" s="1"/>
  <c r="I131" i="3"/>
  <c r="H58" i="4" s="1"/>
  <c r="J81" i="4"/>
  <c r="D42" i="4"/>
  <c r="D36" i="4"/>
  <c r="H133" i="3"/>
  <c r="J25" i="5"/>
  <c r="J89" i="4" s="1"/>
  <c r="H91" i="3"/>
  <c r="H92" i="3" s="1"/>
  <c r="J9" i="4"/>
  <c r="J33" i="4" s="1"/>
  <c r="H10" i="5"/>
  <c r="H11" i="5" s="1"/>
  <c r="I9" i="5" s="1"/>
  <c r="H33" i="5"/>
  <c r="E88" i="4"/>
  <c r="J64" i="3"/>
  <c r="J131" i="3"/>
  <c r="I58" i="4" s="1"/>
  <c r="I43" i="5"/>
  <c r="I47" i="5" s="1"/>
  <c r="H54" i="4"/>
  <c r="F27" i="5"/>
  <c r="F70" i="4" s="1"/>
  <c r="F68" i="4" s="1"/>
  <c r="G21" i="5"/>
  <c r="I25" i="5"/>
  <c r="I89" i="4" s="1"/>
  <c r="E80" i="4"/>
  <c r="E38" i="4"/>
  <c r="J102" i="3"/>
  <c r="J130" i="3"/>
  <c r="J84" i="3"/>
  <c r="J132" i="3" s="1"/>
  <c r="I69" i="4" s="1"/>
  <c r="J36" i="3"/>
  <c r="J89" i="3"/>
  <c r="J99" i="3"/>
  <c r="H57" i="4"/>
  <c r="E29" i="4"/>
  <c r="I81" i="4"/>
  <c r="I33" i="4"/>
  <c r="K32" i="4"/>
  <c r="I133" i="3" l="1"/>
  <c r="H35" i="4"/>
  <c r="H30" i="4"/>
  <c r="I33" i="5"/>
  <c r="I10" i="5"/>
  <c r="I11" i="5" s="1"/>
  <c r="J9" i="5" s="1"/>
  <c r="I16" i="5"/>
  <c r="I17" i="5"/>
  <c r="J15" i="5" s="1"/>
  <c r="I34" i="5"/>
  <c r="E35" i="4"/>
  <c r="E30" i="4"/>
  <c r="G36" i="4"/>
  <c r="J133" i="3"/>
  <c r="J134" i="3" s="1"/>
  <c r="I82" i="4" s="1"/>
  <c r="I80" i="4" s="1"/>
  <c r="I57" i="4"/>
  <c r="J19" i="4"/>
  <c r="K19" i="4" s="1"/>
  <c r="M9" i="4"/>
  <c r="K15" i="4"/>
  <c r="I54" i="4"/>
  <c r="J43" i="5"/>
  <c r="J47" i="5" s="1"/>
  <c r="J54" i="4" s="1"/>
  <c r="K89" i="4"/>
  <c r="K81" i="4"/>
  <c r="K130" i="3"/>
  <c r="K36" i="3"/>
  <c r="K102" i="3"/>
  <c r="K84" i="3"/>
  <c r="K132" i="3" s="1"/>
  <c r="J69" i="4" s="1"/>
  <c r="K99" i="3"/>
  <c r="K89" i="3"/>
  <c r="K117" i="3"/>
  <c r="I86" i="3"/>
  <c r="I91" i="3"/>
  <c r="I92" i="3" s="1"/>
  <c r="I25" i="4"/>
  <c r="J85" i="3"/>
  <c r="G22" i="5"/>
  <c r="G29" i="5" s="1"/>
  <c r="G90" i="4" s="1"/>
  <c r="G35" i="5"/>
  <c r="G37" i="5" s="1"/>
  <c r="G40" i="4" s="1"/>
  <c r="I134" i="3"/>
  <c r="H82" i="4" s="1"/>
  <c r="H80" i="4" s="1"/>
  <c r="H134" i="3"/>
  <c r="G82" i="4" s="1"/>
  <c r="F42" i="4"/>
  <c r="F36" i="4"/>
  <c r="I20" i="4"/>
  <c r="D44" i="4"/>
  <c r="D46" i="4" s="1"/>
  <c r="K9" i="4"/>
  <c r="K131" i="3"/>
  <c r="J58" i="4" s="1"/>
  <c r="K64" i="3"/>
  <c r="J10" i="5" l="1"/>
  <c r="J11" i="5" s="1"/>
  <c r="J33" i="5"/>
  <c r="G80" i="4"/>
  <c r="J57" i="4"/>
  <c r="K133" i="3"/>
  <c r="K134" i="3" s="1"/>
  <c r="J82" i="4" s="1"/>
  <c r="J34" i="5"/>
  <c r="J16" i="5"/>
  <c r="J17" i="5" s="1"/>
  <c r="G38" i="4"/>
  <c r="G88" i="4"/>
  <c r="M19" i="4"/>
  <c r="J20" i="4"/>
  <c r="E36" i="4"/>
  <c r="E42" i="4"/>
  <c r="J25" i="4"/>
  <c r="J22" i="4" s="1"/>
  <c r="J29" i="4" s="1"/>
  <c r="K85" i="3"/>
  <c r="D47" i="4"/>
  <c r="D79" i="4"/>
  <c r="D78" i="4" s="1"/>
  <c r="D92" i="4" s="1"/>
  <c r="D95" i="4" s="1"/>
  <c r="D66" i="4"/>
  <c r="G23" i="5"/>
  <c r="J86" i="3"/>
  <c r="J91" i="3"/>
  <c r="J92" i="3" s="1"/>
  <c r="F44" i="4"/>
  <c r="F46" i="4" s="1"/>
  <c r="I22" i="4"/>
  <c r="H36" i="4"/>
  <c r="F47" i="4" l="1"/>
  <c r="F79" i="4"/>
  <c r="F78" i="4" s="1"/>
  <c r="F92" i="4" s="1"/>
  <c r="J35" i="4"/>
  <c r="J30" i="4"/>
  <c r="M29" i="4"/>
  <c r="J80" i="4"/>
  <c r="K82" i="4"/>
  <c r="G27" i="5"/>
  <c r="G70" i="4" s="1"/>
  <c r="G68" i="4" s="1"/>
  <c r="H21" i="5"/>
  <c r="E94" i="4"/>
  <c r="D59" i="4"/>
  <c r="D56" i="4" s="1"/>
  <c r="D52" i="4" s="1"/>
  <c r="K86" i="3"/>
  <c r="K91" i="3"/>
  <c r="K92" i="3" s="1"/>
  <c r="E44" i="4"/>
  <c r="E46" i="4" s="1"/>
  <c r="K25" i="4"/>
  <c r="D64" i="4"/>
  <c r="D62" i="4" s="1"/>
  <c r="G42" i="4"/>
  <c r="K22" i="4"/>
  <c r="I29" i="4"/>
  <c r="K29" i="4" s="1"/>
  <c r="E47" i="4" l="1"/>
  <c r="E79" i="4"/>
  <c r="E78" i="4" s="1"/>
  <c r="E92" i="4" s="1"/>
  <c r="E95" i="4" s="1"/>
  <c r="E66" i="4"/>
  <c r="G44" i="4"/>
  <c r="G46" i="4" s="1"/>
  <c r="M35" i="4"/>
  <c r="J36" i="4"/>
  <c r="D73" i="4"/>
  <c r="I35" i="4"/>
  <c r="I30" i="4"/>
  <c r="K35" i="4"/>
  <c r="H22" i="5"/>
  <c r="H29" i="5" s="1"/>
  <c r="H90" i="4" s="1"/>
  <c r="H35" i="5"/>
  <c r="H37" i="5" s="1"/>
  <c r="H40" i="4" s="1"/>
  <c r="G47" i="4" l="1"/>
  <c r="G79" i="4"/>
  <c r="G78" i="4" s="1"/>
  <c r="G92" i="4" s="1"/>
  <c r="H88" i="4"/>
  <c r="I36" i="4"/>
  <c r="F66" i="4"/>
  <c r="E64" i="4"/>
  <c r="E62" i="4" s="1"/>
  <c r="H23" i="5"/>
  <c r="F94" i="4"/>
  <c r="F95" i="4" s="1"/>
  <c r="E59" i="4"/>
  <c r="E56" i="4" s="1"/>
  <c r="E52" i="4" s="1"/>
  <c r="H38" i="4"/>
  <c r="H42" i="4" s="1"/>
  <c r="E73" i="4" l="1"/>
  <c r="H44" i="4"/>
  <c r="H46" i="4" s="1"/>
  <c r="G66" i="4"/>
  <c r="F64" i="4"/>
  <c r="F62" i="4" s="1"/>
  <c r="G94" i="4"/>
  <c r="G95" i="4" s="1"/>
  <c r="F59" i="4"/>
  <c r="F56" i="4" s="1"/>
  <c r="F52" i="4" s="1"/>
  <c r="F73" i="4" s="1"/>
  <c r="H27" i="5"/>
  <c r="H70" i="4" s="1"/>
  <c r="H68" i="4" s="1"/>
  <c r="I21" i="5"/>
  <c r="H94" i="4" l="1"/>
  <c r="G59" i="4"/>
  <c r="G56" i="4" s="1"/>
  <c r="G52" i="4" s="1"/>
  <c r="I35" i="5"/>
  <c r="I37" i="5" s="1"/>
  <c r="I40" i="4" s="1"/>
  <c r="I22" i="5"/>
  <c r="I29" i="5" s="1"/>
  <c r="I90" i="4" s="1"/>
  <c r="I88" i="4" s="1"/>
  <c r="I23" i="5"/>
  <c r="H47" i="4"/>
  <c r="H79" i="4"/>
  <c r="H78" i="4" s="1"/>
  <c r="H92" i="4" s="1"/>
  <c r="H66" i="4"/>
  <c r="G64" i="4"/>
  <c r="G62" i="4" s="1"/>
  <c r="H95" i="4" l="1"/>
  <c r="H59" i="4"/>
  <c r="H56" i="4" s="1"/>
  <c r="H52" i="4" s="1"/>
  <c r="I94" i="4"/>
  <c r="I27" i="5"/>
  <c r="I70" i="4" s="1"/>
  <c r="I68" i="4" s="1"/>
  <c r="J21" i="5"/>
  <c r="I38" i="4"/>
  <c r="G73" i="4"/>
  <c r="H64" i="4"/>
  <c r="H62" i="4" s="1"/>
  <c r="J22" i="5" l="1"/>
  <c r="J29" i="5" s="1"/>
  <c r="J90" i="4" s="1"/>
  <c r="J35" i="5"/>
  <c r="J37" i="5" s="1"/>
  <c r="J40" i="4" s="1"/>
  <c r="I42" i="4"/>
  <c r="H73" i="4"/>
  <c r="J23" i="5" l="1"/>
  <c r="J27" i="5" s="1"/>
  <c r="J70" i="4" s="1"/>
  <c r="J68" i="4" s="1"/>
  <c r="J38" i="4"/>
  <c r="K40" i="4"/>
  <c r="I44" i="4"/>
  <c r="I46" i="4" s="1"/>
  <c r="J88" i="4"/>
  <c r="K90" i="4"/>
  <c r="I79" i="4" l="1"/>
  <c r="I78" i="4" s="1"/>
  <c r="I92" i="4" s="1"/>
  <c r="I95" i="4" s="1"/>
  <c r="I47" i="4"/>
  <c r="I66" i="4"/>
  <c r="K38" i="4"/>
  <c r="J42" i="4"/>
  <c r="K42" i="4"/>
  <c r="J44" i="4" l="1"/>
  <c r="J46" i="4" s="1"/>
  <c r="M42" i="4"/>
  <c r="I64" i="4"/>
  <c r="I62" i="4" s="1"/>
  <c r="J94" i="4"/>
  <c r="I59" i="4"/>
  <c r="I56" i="4" s="1"/>
  <c r="I52" i="4" s="1"/>
  <c r="I73" i="4" s="1"/>
  <c r="J79" i="4" l="1"/>
  <c r="J78" i="4" s="1"/>
  <c r="J92" i="4" s="1"/>
  <c r="J95" i="4" s="1"/>
  <c r="M46" i="4"/>
  <c r="J47" i="4"/>
  <c r="K46" i="4"/>
  <c r="J66" i="4"/>
  <c r="J64" i="4" s="1"/>
  <c r="J62" i="4" s="1"/>
  <c r="J59" i="4" l="1"/>
  <c r="J56" i="4" s="1"/>
  <c r="J52" i="4" s="1"/>
  <c r="J73" i="4" s="1"/>
  <c r="N95" i="4"/>
  <c r="Q95" i="4" s="1"/>
</calcChain>
</file>

<file path=xl/sharedStrings.xml><?xml version="1.0" encoding="utf-8"?>
<sst xmlns="http://schemas.openxmlformats.org/spreadsheetml/2006/main" count="298" uniqueCount="200">
  <si>
    <t xml:space="preserve">The one-stop shop for your startup's success combining financial, legal and governance under one roof. </t>
  </si>
  <si>
    <t>Definitions</t>
  </si>
  <si>
    <t>Term</t>
  </si>
  <si>
    <t>Definition</t>
  </si>
  <si>
    <t>GENERAL</t>
  </si>
  <si>
    <t>Accounts payable</t>
  </si>
  <si>
    <t xml:space="preserve">Amounts owed by an organization to others for goods or services received. Buying from suppliers on credit will generate accounts payable. </t>
  </si>
  <si>
    <t>Accounts receivable</t>
  </si>
  <si>
    <t xml:space="preserve">Amounts due to an organization for goods delivered or services rendered. Selling to customers on credit will generate accounts receivable for a business. </t>
  </si>
  <si>
    <t>Assets</t>
  </si>
  <si>
    <t xml:space="preserve">Resources owned and employed by an organization which confer future economic benefits. </t>
  </si>
  <si>
    <t xml:space="preserve">Balance sheet </t>
  </si>
  <si>
    <t xml:space="preserve">The balance sheet is a "snapshot" of an organization's assets and liabilities on a particular date. </t>
  </si>
  <si>
    <t>Capital employed</t>
  </si>
  <si>
    <t xml:space="preserve">Represents the funds provided to an organization in the form of equity or debt. </t>
  </si>
  <si>
    <t>CAPEX</t>
  </si>
  <si>
    <t>Funds used by a company to acquire or upgrade physical assets like buildings and equipment, aimed at creating future benefits.</t>
  </si>
  <si>
    <t>CAGR</t>
  </si>
  <si>
    <t>CAGR (Compound Annual Growth Rate) is the rate at which an investment grows annually over a specified period, assuming the profits are reinvested at the end of each year.</t>
  </si>
  <si>
    <t>Cash flow statement</t>
  </si>
  <si>
    <t xml:space="preserve">The cash flow statement is a "summarized bank statement" that shows an organization's sources of cash during the financial year and the ways in which the cash has been used during that period. </t>
  </si>
  <si>
    <t>Cost of goods sold</t>
  </si>
  <si>
    <t>The direct cost attributed to the production of the goods sold by a company, including the cost of materials and labor used in creating the product.</t>
  </si>
  <si>
    <t>Current Assets</t>
  </si>
  <si>
    <t xml:space="preserve">Current assets are all assets other than fixed assets. They are either cash or assets expected to be converted into cash or consumed in the business during the year. Current assets include items such as cash, accounts receivable and inventory. </t>
  </si>
  <si>
    <t>Current Liabilities</t>
  </si>
  <si>
    <t xml:space="preserve">An organization's liabilities due within one year. Current liabilities include items such as short term loans, any element of long term loans due within one year, and accounts payable. </t>
  </si>
  <si>
    <t>Debt</t>
  </si>
  <si>
    <t xml:space="preserve">Capital used to finance and organization that is subject to payment of interest over the life of the loan, at the end of which the loan is normally paid. </t>
  </si>
  <si>
    <t>Depreciation</t>
  </si>
  <si>
    <t xml:space="preserve">Depreciation of fixed assets is the process of allocating part of the cost of fixed assets to a particular accounting period. Depreciation is normally changed to the income statement on a straight line basis. </t>
  </si>
  <si>
    <t>Dividends</t>
  </si>
  <si>
    <t xml:space="preserve">A share of a company's net profits distributed by the company to a class of its stockholders. </t>
  </si>
  <si>
    <t>Equity</t>
  </si>
  <si>
    <t xml:space="preserve">Total assets less total liabilities. Also called shareholders' equity, net worth or book value. </t>
  </si>
  <si>
    <t>Fixed assets</t>
  </si>
  <si>
    <t xml:space="preserve">Assets intended for use on a continuing basis in an organization's activities (normally defined as assets an organization intends to keep for more than a year). There are three categories of fixed assets: intangible, tangible and investments. </t>
  </si>
  <si>
    <t>Goodwill</t>
  </si>
  <si>
    <t xml:space="preserve">When one company buys another company it typically pays more than the book value of the net assets acquired (because it is acquiring staff, name/ reputation, and customer relationships). This excess of the purchase price over the fair book value of the net assets is called the goodwill. </t>
  </si>
  <si>
    <t>Income statement</t>
  </si>
  <si>
    <t xml:space="preserve">Is an organization's 'financial history book' and summarizes the revenue, expenses and operating profit for the financial year. </t>
  </si>
  <si>
    <t xml:space="preserve">Indirect labor </t>
  </si>
  <si>
    <t>Refers to the work of employees who do not directly produce goods or services but support the production process, such as supervisors, maintenance staff, and administrative personnel.</t>
  </si>
  <si>
    <t>Inflation</t>
  </si>
  <si>
    <t>The rate at which the general level of prices for goods and services rises, leading to a decrease in purchasing power over time.</t>
  </si>
  <si>
    <t>Intangible fixed assets</t>
  </si>
  <si>
    <t xml:space="preserve">Intangible fixed assets have no "physical" presence. Examples include patents, goodwill, trademarks and brand names. </t>
  </si>
  <si>
    <t xml:space="preserve">Inventory </t>
  </si>
  <si>
    <t xml:space="preserve">Inventory refers to items held for resale and may include raw materials, work in progress and finished goods. </t>
  </si>
  <si>
    <t xml:space="preserve">Liabilities </t>
  </si>
  <si>
    <t xml:space="preserve">Money owed, or other financial obligations to other organizations </t>
  </si>
  <si>
    <t>Net book value</t>
  </si>
  <si>
    <t xml:space="preserve">Net book value typically refers to property plant and equipment (PP&amp;E). The net book value of PP&amp;E is calculated by taking the total gross cost of PP&amp;E and deducting total accumulated depreciation/amortization. </t>
  </si>
  <si>
    <t xml:space="preserve">Net earnings </t>
  </si>
  <si>
    <t xml:space="preserve">The profits retained by an organization after all expenses including interest expenses, taxes and dividends. The retained profits for a given year are reinvested in the business and are added to 'retained earnings' in the balance sheet. </t>
  </si>
  <si>
    <t>Operating profit</t>
  </si>
  <si>
    <t xml:space="preserve">Sales revenues less all operating expenses. Operating profit is calculated before financing costs and taxes. It is often referred to as EBIT. </t>
  </si>
  <si>
    <t xml:space="preserve">Other operating expenses </t>
  </si>
  <si>
    <t>Other expenses you may incur, such as office supplies, repairs, accounting fees, legal costs, etc.</t>
  </si>
  <si>
    <t>Rent &amp; utilities</t>
  </si>
  <si>
    <t>The costs related to renting buildings and the utilities used to keep operating from this building.</t>
  </si>
  <si>
    <t>Reserves</t>
  </si>
  <si>
    <t xml:space="preserve">Reserves are part of shareholders' equity. Reserves are subdivided into revenue reserves, which are available to be distributed to the shareholders by way of dividends, and capital reserves. </t>
  </si>
  <si>
    <t xml:space="preserve">Retained earnings </t>
  </si>
  <si>
    <t xml:space="preserve">Retained earnings in the balance sheet represent all retained profits accumulated over an organization's entire life to date which have been reinvested in the business. As the retained earnings ultimately belong to shareholders, they are included as part of the shareholders' equity. </t>
  </si>
  <si>
    <t xml:space="preserve">Sales &amp; Marketing </t>
  </si>
  <si>
    <t>The costs related to Sales &amp; Marketing</t>
  </si>
  <si>
    <t>Tangible fixed assets</t>
  </si>
  <si>
    <t>Are fixed assets that have physical presence and include things like land, buildings, machinery, equipment, computers…</t>
  </si>
  <si>
    <t>Working Capital</t>
  </si>
  <si>
    <t>Is normally defined as money tied up in the day to day operations of an organization. It is approximately equal to current assets less current liabilities (sometimes exclude other current assets/ liabilities such as cash and non-trade receivables and payables).</t>
  </si>
  <si>
    <t>Period</t>
  </si>
  <si>
    <t>GENERAL ASSUMPTIONS</t>
  </si>
  <si>
    <t>Tax rate</t>
  </si>
  <si>
    <t>(1)</t>
  </si>
  <si>
    <t>Revenue</t>
  </si>
  <si>
    <t>Pricing</t>
  </si>
  <si>
    <t>Volume</t>
  </si>
  <si>
    <t>(Name) Product/service 1</t>
  </si>
  <si>
    <t>(Name) Product/service 2</t>
  </si>
  <si>
    <t>(Name) Product/service 3</t>
  </si>
  <si>
    <t>Total Revenue</t>
  </si>
  <si>
    <t>% of growth</t>
  </si>
  <si>
    <t>(2)</t>
  </si>
  <si>
    <t>Cost of good sold</t>
  </si>
  <si>
    <t>COGS Adjustment</t>
  </si>
  <si>
    <t>Cost of materials (per unit)</t>
  </si>
  <si>
    <t>% of sales price product 1</t>
  </si>
  <si>
    <t>% of sales price product 2</t>
  </si>
  <si>
    <t>% of sales price product 3</t>
  </si>
  <si>
    <t>Total Cost of goods sold</t>
  </si>
  <si>
    <t xml:space="preserve"> </t>
  </si>
  <si>
    <t>% of sales</t>
  </si>
  <si>
    <t>(3)</t>
  </si>
  <si>
    <t>Operating expenses</t>
  </si>
  <si>
    <t>(In)direct labor</t>
  </si>
  <si>
    <t>FTE 1</t>
  </si>
  <si>
    <t>FTE 2</t>
  </si>
  <si>
    <t>FTE 3</t>
  </si>
  <si>
    <t>Rent &amp; Utilities (in €)</t>
  </si>
  <si>
    <t>Sales &amp; Marketing (as a % of sales)</t>
  </si>
  <si>
    <t>(Name) Other operating expense 1</t>
  </si>
  <si>
    <t>(Name) Other operating expense 2</t>
  </si>
  <si>
    <t>(Name) Other operating expense 3</t>
  </si>
  <si>
    <t xml:space="preserve">(In)direct labor </t>
  </si>
  <si>
    <t>Rent &amp; Utilities</t>
  </si>
  <si>
    <t>Sales &amp; Marketing</t>
  </si>
  <si>
    <t>Total OPEX</t>
  </si>
  <si>
    <t>Other operating expenses</t>
  </si>
  <si>
    <t>EBITDA</t>
  </si>
  <si>
    <t>(4)</t>
  </si>
  <si>
    <t>Investing</t>
  </si>
  <si>
    <t>Expansion Capex</t>
  </si>
  <si>
    <t>Maintenance Capex</t>
  </si>
  <si>
    <t>Total Capex</t>
  </si>
  <si>
    <t>Total sales of assets</t>
  </si>
  <si>
    <t>(5)</t>
  </si>
  <si>
    <t>D&amp;A</t>
  </si>
  <si>
    <t>Depreciation periods</t>
  </si>
  <si>
    <t>Total D&amp;A</t>
  </si>
  <si>
    <t>(6)</t>
  </si>
  <si>
    <t>Financing</t>
  </si>
  <si>
    <t>Borrowings</t>
  </si>
  <si>
    <t>Amount [EUR]</t>
  </si>
  <si>
    <t>Duration (in years)</t>
  </si>
  <si>
    <t>Yearly repayment</t>
  </si>
  <si>
    <t>Annual interest rate [%]</t>
  </si>
  <si>
    <t>Starting period</t>
  </si>
  <si>
    <t>Debt 1</t>
  </si>
  <si>
    <t>Debt 2</t>
  </si>
  <si>
    <t>Debt 3</t>
  </si>
  <si>
    <t>Contribution in capital in 2025 only</t>
  </si>
  <si>
    <t>(7)</t>
  </si>
  <si>
    <t>Working capital</t>
  </si>
  <si>
    <t>Days sales outstanding</t>
  </si>
  <si>
    <t>Days in inventory</t>
  </si>
  <si>
    <t>Days payable outstanding</t>
  </si>
  <si>
    <t>Change in working capital</t>
  </si>
  <si>
    <t>END</t>
  </si>
  <si>
    <t>Income Statement</t>
  </si>
  <si>
    <t>Check</t>
  </si>
  <si>
    <t>CAGR FY25 - FY31</t>
  </si>
  <si>
    <t>Gross Profit</t>
  </si>
  <si>
    <t>Gross Profit Margin</t>
  </si>
  <si>
    <t>Operating Expenses (SG&amp;A)</t>
  </si>
  <si>
    <t>EBITDA margin</t>
  </si>
  <si>
    <t>Depreciation &amp; Amortization (D&amp;A)</t>
  </si>
  <si>
    <t>EBIT</t>
  </si>
  <si>
    <t>EBIT margin</t>
  </si>
  <si>
    <t>Other Income/Expenses</t>
  </si>
  <si>
    <t>Financial result</t>
  </si>
  <si>
    <t>Interest Expense</t>
  </si>
  <si>
    <t>EBT</t>
  </si>
  <si>
    <t>Income Taxes</t>
  </si>
  <si>
    <t>Net Income</t>
  </si>
  <si>
    <t xml:space="preserve">Net Income margin </t>
  </si>
  <si>
    <t>Balance Sheet</t>
  </si>
  <si>
    <t>PP&amp;E</t>
  </si>
  <si>
    <t>CURRENT ASSETS</t>
  </si>
  <si>
    <t>Inventory</t>
  </si>
  <si>
    <t>Cash</t>
  </si>
  <si>
    <t>Liabilities</t>
  </si>
  <si>
    <t>SHAREHOLDER'S EQUITY</t>
  </si>
  <si>
    <t xml:space="preserve">Common equity </t>
  </si>
  <si>
    <t>Retained earnings</t>
  </si>
  <si>
    <t>DEBT</t>
  </si>
  <si>
    <t>Financial short &amp; long-term debt</t>
  </si>
  <si>
    <t>Balance check</t>
  </si>
  <si>
    <t xml:space="preserve">Cash Flow Statement </t>
  </si>
  <si>
    <t>Cash Flows from Operating Activities</t>
  </si>
  <si>
    <t>Net income</t>
  </si>
  <si>
    <t xml:space="preserve">Adjustments </t>
  </si>
  <si>
    <t>Changes in Working Capital</t>
  </si>
  <si>
    <t>Cash Flows from Investing Activities</t>
  </si>
  <si>
    <t>Sales of assets</t>
  </si>
  <si>
    <t>Cash Flows from Financing Activities</t>
  </si>
  <si>
    <t>Equity &amp; debt issuances</t>
  </si>
  <si>
    <t>Debt repayments</t>
  </si>
  <si>
    <t>Net Increase (decrease) in Cash</t>
  </si>
  <si>
    <t>Cash at Beginning of Period</t>
  </si>
  <si>
    <t>Cash at End of Period</t>
  </si>
  <si>
    <t>Cash need</t>
  </si>
  <si>
    <t>Year</t>
  </si>
  <si>
    <t>DEBT SCHEDULE</t>
  </si>
  <si>
    <t>New debt issuance</t>
  </si>
  <si>
    <t>Debt outstanding</t>
  </si>
  <si>
    <t>Repayment</t>
  </si>
  <si>
    <t>Ending Debt Balance</t>
  </si>
  <si>
    <t>TOTAL DEBT ISSUED</t>
  </si>
  <si>
    <t>TOTAL DEBT OUTSTANDING</t>
  </si>
  <si>
    <t>TOTAL REPAYMENT</t>
  </si>
  <si>
    <t>Interest table</t>
  </si>
  <si>
    <t>TOTAL INTEREST EXPENSE</t>
  </si>
  <si>
    <t>TOTAL INTEREST INCOME</t>
  </si>
  <si>
    <t>Property, Plant &amp; Equipment (PP&amp;E)</t>
  </si>
  <si>
    <t>Beginning PP&amp;E</t>
  </si>
  <si>
    <t>(Depreciation)</t>
  </si>
  <si>
    <t>(Divestiture)</t>
  </si>
  <si>
    <t>Ending Value</t>
  </si>
  <si>
    <t>H4sIAAAAAAAEAM2QvU7DMBSF0wZEEDyEdyIr/QmlQxYCAokORalYqqo41hWx6tjBP0jpY/SFwY5SGFgYuYPvtaXz3eMTDIIg+HTlu6/LoTuel8zQ6lbKHVq1DWi0YKUiqo3RCyjNpMjGyTjFE5zgJEa55cYqyARYowiP0dKWnNEnaFdyByITlvNTzy++sdsOu+2xuADFCGd7UnLICa3g98vVSjYL+ADe3e4YNc6G04aOe9a7inJZN0SBih6Jrgq2hyAMosOgaLWBGueSc+h0Gj+AcBvosd+/W7fNtEfA62i97lWFUUy8xajWVCrOyp8Mpv77fwmgnM1IStPr0XwyheRmvtlEwz7u87AfTvzwH616cxdfCnA7mCcC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</si>
</sst>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_(* #,##0.00_);_(* \(#,##0.00\);_(* &quot;-&quot;??_);_(@_)"/>
    <numFmt numFmtId="166" formatCode="#,##0&quot; units&quot;"/>
    <numFmt numFmtId="167" formatCode="_-* #,##0\ _€_-;\-* #,##0\ _€_-;_-* &quot;-&quot;??\ _€_-;_-@_-"/>
    <numFmt numFmtId="168" formatCode="#,##0&quot; days&quot;"/>
    <numFmt numFmtId="169" formatCode="_-* #,##0.000000000000\ &quot;€&quot;_-;\-* #,##0.000000000000\ &quot;€&quot;_-;_-* &quot;-&quot;??\ &quot;€&quot;_-;_-@_-"/>
    <numFmt numFmtId="170" formatCode="_-* #,##0_-;\-* #,##0_-;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i/>
      <sz val="11"/>
      <color theme="1"/>
      <name val="Calibri"/>
      <family val="2"/>
      <scheme val="minor"/>
    </font>
    <font>
      <sz val="14"/>
      <color theme="1"/>
      <name val="Calibri"/>
      <family val="2"/>
      <scheme val="minor"/>
    </font>
    <font>
      <i/>
      <sz val="11"/>
      <color theme="4"/>
      <name val="Calibri"/>
      <family val="2"/>
      <scheme val="minor"/>
    </font>
    <font>
      <b/>
      <i/>
      <sz val="11"/>
      <color theme="1"/>
      <name val="Calibri"/>
      <family val="2"/>
      <scheme val="minor"/>
    </font>
    <font>
      <b/>
      <sz val="11"/>
      <name val="Calibri"/>
      <family val="2"/>
      <scheme val="minor"/>
    </font>
    <font>
      <b/>
      <i/>
      <sz val="11"/>
      <color theme="4"/>
      <name val="Calibri"/>
      <family val="2"/>
      <scheme val="minor"/>
    </font>
    <font>
      <i/>
      <sz val="10"/>
      <color theme="1"/>
      <name val="Calibri"/>
      <family val="2"/>
      <scheme val="minor"/>
    </font>
    <font>
      <b/>
      <sz val="14"/>
      <color theme="1"/>
      <name val="Calibri"/>
      <family val="2"/>
      <scheme val="minor"/>
    </font>
    <font>
      <sz val="10"/>
      <color theme="1"/>
      <name val="Calibri"/>
      <family val="2"/>
      <scheme val="minor"/>
    </font>
    <font>
      <b/>
      <sz val="12"/>
      <color theme="1"/>
      <name val="PP Mori"/>
      <family val="3"/>
    </font>
    <font>
      <b/>
      <u/>
      <sz val="11"/>
      <color theme="10"/>
      <name val="Calibri"/>
      <family val="2"/>
      <scheme val="minor"/>
    </font>
    <font>
      <sz val="11"/>
      <color rgb="FF0070C0"/>
      <name val="Calibri"/>
      <family val="2"/>
      <scheme val="minor"/>
    </font>
    <font>
      <b/>
      <sz val="12"/>
      <color rgb="FF0070C0"/>
      <name val="Calibri"/>
      <family val="2"/>
      <scheme val="minor"/>
    </font>
    <font>
      <b/>
      <i/>
      <sz val="12"/>
      <color rgb="FF0070C0"/>
      <name val="Calibri"/>
      <family val="2"/>
      <scheme val="minor"/>
    </font>
    <font>
      <sz val="12"/>
      <color rgb="FF0070C0"/>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1"/>
        <bgColor indexed="64"/>
      </patternFill>
    </fill>
    <fill>
      <patternFill patternType="solid">
        <fgColor theme="1" tint="0.749992370372631"/>
        <bgColor indexed="64"/>
      </patternFill>
    </fill>
    <fill>
      <patternFill patternType="solid">
        <fgColor theme="7" tint="0.59999389629810485"/>
        <bgColor indexed="64"/>
      </patternFill>
    </fill>
    <fill>
      <patternFill patternType="solid">
        <fgColor theme="1" tint="9.9978637043366805E-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bottom style="hair">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hair">
        <color auto="1"/>
      </top>
      <bottom style="hair">
        <color auto="1"/>
      </bottom>
      <diagonal/>
    </border>
    <border>
      <left style="thin">
        <color indexed="64"/>
      </left>
      <right/>
      <top style="thin">
        <color indexed="64"/>
      </top>
      <bottom style="hair">
        <color auto="1"/>
      </bottom>
      <diagonal/>
    </border>
    <border>
      <left style="thin">
        <color auto="1"/>
      </left>
      <right/>
      <top style="hair">
        <color auto="1"/>
      </top>
      <bottom style="thin">
        <color auto="1"/>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165" fontId="1" fillId="0" borderId="0" applyFont="0" applyFill="0" applyBorder="0" applyAlignment="0" applyProtection="0"/>
  </cellStyleXfs>
  <cellXfs count="336">
    <xf numFmtId="0" fontId="0" fillId="0" borderId="0" xfId="0"/>
    <xf numFmtId="0" fontId="5" fillId="0" borderId="0" xfId="2"/>
    <xf numFmtId="0" fontId="3" fillId="0" borderId="0" xfId="0" applyFont="1"/>
    <xf numFmtId="0" fontId="0" fillId="0" borderId="0" xfId="0" applyAlignment="1">
      <alignment horizontal="left" indent="1"/>
    </xf>
    <xf numFmtId="0" fontId="0" fillId="0" borderId="0" xfId="0" applyAlignment="1">
      <alignment horizontal="left"/>
    </xf>
    <xf numFmtId="0" fontId="7" fillId="0" borderId="0" xfId="0" applyFont="1"/>
    <xf numFmtId="0" fontId="9" fillId="0" borderId="4" xfId="0" applyFont="1" applyBorder="1"/>
    <xf numFmtId="0" fontId="9" fillId="0" borderId="5" xfId="0" applyFont="1" applyBorder="1"/>
    <xf numFmtId="9" fontId="9" fillId="0" borderId="5" xfId="0" applyNumberFormat="1" applyFont="1" applyBorder="1"/>
    <xf numFmtId="9" fontId="9" fillId="0" borderId="7" xfId="0" applyNumberFormat="1" applyFont="1" applyBorder="1"/>
    <xf numFmtId="0" fontId="9" fillId="0" borderId="8" xfId="0" applyFont="1" applyBorder="1"/>
    <xf numFmtId="0" fontId="7" fillId="0" borderId="9" xfId="0" applyFont="1" applyBorder="1"/>
    <xf numFmtId="9" fontId="7" fillId="0" borderId="9" xfId="1" applyFont="1" applyBorder="1"/>
    <xf numFmtId="9" fontId="7" fillId="0" borderId="11" xfId="1" applyFont="1" applyBorder="1"/>
    <xf numFmtId="0" fontId="10" fillId="0" borderId="0" xfId="0" applyFont="1"/>
    <xf numFmtId="0" fontId="0" fillId="0" borderId="0" xfId="0" applyAlignment="1">
      <alignment horizontal="right"/>
    </xf>
    <xf numFmtId="0" fontId="9" fillId="0" borderId="4" xfId="0" applyFont="1" applyBorder="1" applyAlignment="1">
      <alignment horizontal="left"/>
    </xf>
    <xf numFmtId="0" fontId="9" fillId="0" borderId="7" xfId="0" applyFont="1" applyBorder="1"/>
    <xf numFmtId="0" fontId="9" fillId="0" borderId="12" xfId="0" applyFont="1" applyBorder="1" applyAlignment="1">
      <alignment horizontal="left"/>
    </xf>
    <xf numFmtId="0" fontId="9" fillId="0" borderId="13" xfId="0" applyFont="1" applyBorder="1"/>
    <xf numFmtId="9" fontId="9" fillId="0" borderId="0" xfId="0" applyNumberFormat="1" applyFont="1"/>
    <xf numFmtId="9" fontId="9" fillId="0" borderId="13" xfId="0" applyNumberFormat="1" applyFont="1" applyBorder="1"/>
    <xf numFmtId="0" fontId="9" fillId="0" borderId="8" xfId="0" applyFont="1" applyBorder="1" applyAlignment="1">
      <alignment horizontal="left"/>
    </xf>
    <xf numFmtId="0" fontId="9" fillId="0" borderId="11" xfId="0" applyFont="1" applyBorder="1"/>
    <xf numFmtId="9" fontId="9" fillId="0" borderId="9" xfId="0" applyNumberFormat="1" applyFont="1" applyBorder="1"/>
    <xf numFmtId="9" fontId="9" fillId="0" borderId="11" xfId="0" applyNumberFormat="1" applyFont="1" applyBorder="1"/>
    <xf numFmtId="0" fontId="7" fillId="0" borderId="12" xfId="0" applyFont="1" applyBorder="1" applyAlignment="1">
      <alignment horizontal="left" indent="1"/>
    </xf>
    <xf numFmtId="164" fontId="7" fillId="0" borderId="0" xfId="0" applyNumberFormat="1" applyFont="1"/>
    <xf numFmtId="164" fontId="7" fillId="0" borderId="13" xfId="0" applyNumberFormat="1" applyFont="1" applyBorder="1"/>
    <xf numFmtId="0" fontId="7" fillId="0" borderId="8" xfId="0" applyFont="1" applyBorder="1" applyAlignment="1">
      <alignment horizontal="left" indent="1"/>
    </xf>
    <xf numFmtId="164" fontId="7" fillId="0" borderId="9" xfId="0" applyNumberFormat="1" applyFont="1" applyBorder="1"/>
    <xf numFmtId="164" fontId="7" fillId="0" borderId="11" xfId="0" applyNumberFormat="1" applyFont="1" applyBorder="1"/>
    <xf numFmtId="0" fontId="8" fillId="0" borderId="0" xfId="0" applyFont="1"/>
    <xf numFmtId="0" fontId="8" fillId="0" borderId="7" xfId="0" applyFont="1" applyBorder="1"/>
    <xf numFmtId="164" fontId="8" fillId="0" borderId="5" xfId="0" applyNumberFormat="1" applyFont="1" applyBorder="1"/>
    <xf numFmtId="164" fontId="8" fillId="0" borderId="15" xfId="0" applyNumberFormat="1" applyFont="1" applyBorder="1"/>
    <xf numFmtId="164" fontId="8" fillId="0" borderId="16" xfId="0" applyNumberFormat="1" applyFont="1" applyBorder="1"/>
    <xf numFmtId="0" fontId="8" fillId="0" borderId="13" xfId="0" applyFont="1" applyBorder="1"/>
    <xf numFmtId="164" fontId="8" fillId="0" borderId="17" xfId="0" applyNumberFormat="1" applyFont="1" applyBorder="1"/>
    <xf numFmtId="164" fontId="8" fillId="0" borderId="18" xfId="0" applyNumberFormat="1" applyFont="1" applyBorder="1"/>
    <xf numFmtId="0" fontId="8" fillId="0" borderId="11" xfId="0" applyFont="1" applyBorder="1"/>
    <xf numFmtId="164" fontId="8" fillId="0" borderId="19" xfId="0" applyNumberFormat="1" applyFont="1" applyBorder="1"/>
    <xf numFmtId="164" fontId="8" fillId="0" borderId="20" xfId="0" applyNumberFormat="1" applyFont="1" applyBorder="1"/>
    <xf numFmtId="164" fontId="8" fillId="0" borderId="21" xfId="0" applyNumberFormat="1" applyFont="1" applyBorder="1"/>
    <xf numFmtId="0" fontId="8" fillId="2" borderId="8" xfId="0" applyFont="1" applyFill="1" applyBorder="1"/>
    <xf numFmtId="0" fontId="8" fillId="2" borderId="9" xfId="0" applyFont="1" applyFill="1" applyBorder="1"/>
    <xf numFmtId="164" fontId="8" fillId="2" borderId="2" xfId="0" applyNumberFormat="1" applyFont="1" applyFill="1" applyBorder="1"/>
    <xf numFmtId="164" fontId="8" fillId="2" borderId="3" xfId="0" applyNumberFormat="1" applyFont="1" applyFill="1" applyBorder="1"/>
    <xf numFmtId="0" fontId="9" fillId="0" borderId="12" xfId="0" applyFont="1" applyBorder="1"/>
    <xf numFmtId="0" fontId="9" fillId="0" borderId="0" xfId="0" applyFont="1"/>
    <xf numFmtId="0" fontId="9" fillId="0" borderId="9" xfId="0" applyFont="1" applyBorder="1"/>
    <xf numFmtId="9" fontId="7" fillId="0" borderId="0" xfId="0" applyNumberFormat="1" applyFont="1"/>
    <xf numFmtId="0" fontId="8" fillId="2" borderId="1" xfId="0" applyFont="1" applyFill="1" applyBorder="1"/>
    <xf numFmtId="3" fontId="8" fillId="2" borderId="2" xfId="0" applyNumberFormat="1" applyFont="1" applyFill="1" applyBorder="1"/>
    <xf numFmtId="0" fontId="8" fillId="2" borderId="2" xfId="0" applyFont="1" applyFill="1" applyBorder="1"/>
    <xf numFmtId="0" fontId="7" fillId="0" borderId="0" xfId="0" applyFont="1" applyAlignment="1">
      <alignment horizontal="right"/>
    </xf>
    <xf numFmtId="0" fontId="7" fillId="0" borderId="5" xfId="0" applyFont="1" applyBorder="1"/>
    <xf numFmtId="164" fontId="7" fillId="0" borderId="5" xfId="0" applyNumberFormat="1" applyFont="1" applyBorder="1"/>
    <xf numFmtId="164" fontId="7" fillId="0" borderId="7" xfId="0" applyNumberFormat="1" applyFont="1" applyBorder="1"/>
    <xf numFmtId="0" fontId="8" fillId="0" borderId="1" xfId="0" applyFont="1" applyBorder="1"/>
    <xf numFmtId="0" fontId="8" fillId="0" borderId="2" xfId="0" applyFont="1" applyBorder="1"/>
    <xf numFmtId="164" fontId="8" fillId="0" borderId="2" xfId="0" applyNumberFormat="1" applyFont="1" applyBorder="1"/>
    <xf numFmtId="164" fontId="8" fillId="0" borderId="3" xfId="0" applyNumberFormat="1" applyFont="1" applyBorder="1"/>
    <xf numFmtId="9" fontId="10" fillId="0" borderId="0" xfId="1" applyFont="1"/>
    <xf numFmtId="0" fontId="8" fillId="0" borderId="6" xfId="0" applyFont="1" applyBorder="1" applyAlignment="1">
      <alignment horizontal="left" vertical="center"/>
    </xf>
    <xf numFmtId="0" fontId="8" fillId="0" borderId="6" xfId="0" applyFont="1" applyBorder="1" applyAlignment="1">
      <alignment horizontal="center" vertical="center" wrapText="1"/>
    </xf>
    <xf numFmtId="167" fontId="8" fillId="0" borderId="6" xfId="3" applyNumberFormat="1" applyFont="1" applyBorder="1" applyAlignment="1">
      <alignment horizontal="center" vertical="center" wrapText="1"/>
    </xf>
    <xf numFmtId="0" fontId="7" fillId="0" borderId="6" xfId="0" applyFont="1" applyBorder="1"/>
    <xf numFmtId="164" fontId="7" fillId="0" borderId="6" xfId="3" applyNumberFormat="1" applyFont="1" applyFill="1" applyBorder="1" applyAlignment="1">
      <alignment horizontal="center"/>
    </xf>
    <xf numFmtId="0" fontId="7" fillId="0" borderId="14" xfId="0" applyFont="1" applyBorder="1"/>
    <xf numFmtId="164" fontId="7" fillId="0" borderId="14" xfId="3" applyNumberFormat="1" applyFont="1" applyFill="1" applyBorder="1" applyAlignment="1">
      <alignment horizontal="center"/>
    </xf>
    <xf numFmtId="0" fontId="7" fillId="0" borderId="10" xfId="0" applyFont="1" applyBorder="1"/>
    <xf numFmtId="164" fontId="7" fillId="0" borderId="10" xfId="3" applyNumberFormat="1" applyFont="1" applyFill="1" applyBorder="1" applyAlignment="1">
      <alignment horizontal="center"/>
    </xf>
    <xf numFmtId="0" fontId="7" fillId="0" borderId="0" xfId="0" applyFont="1" applyAlignment="1">
      <alignment horizontal="center"/>
    </xf>
    <xf numFmtId="0" fontId="7" fillId="0" borderId="4" xfId="0" applyFont="1" applyBorder="1"/>
    <xf numFmtId="0" fontId="7" fillId="0" borderId="12" xfId="0" applyFont="1" applyBorder="1"/>
    <xf numFmtId="0" fontId="7" fillId="0" borderId="8" xfId="0" applyFont="1" applyBorder="1"/>
    <xf numFmtId="0" fontId="13" fillId="0" borderId="0" xfId="0" applyFont="1" applyAlignment="1">
      <alignment horizontal="center"/>
    </xf>
    <xf numFmtId="0" fontId="3" fillId="0" borderId="4" xfId="0" applyFont="1" applyBorder="1" applyAlignment="1">
      <alignment vertical="center" wrapText="1"/>
    </xf>
    <xf numFmtId="0" fontId="3" fillId="0" borderId="5" xfId="0" applyFont="1" applyBorder="1" applyAlignment="1">
      <alignment vertical="center" wrapText="1"/>
    </xf>
    <xf numFmtId="164" fontId="3" fillId="0" borderId="5" xfId="0" applyNumberFormat="1" applyFont="1" applyBorder="1" applyAlignment="1">
      <alignment vertical="center" wrapText="1"/>
    </xf>
    <xf numFmtId="164" fontId="3" fillId="0" borderId="7" xfId="0" applyNumberFormat="1" applyFont="1" applyBorder="1" applyAlignment="1">
      <alignment vertical="center" wrapText="1"/>
    </xf>
    <xf numFmtId="164" fontId="3" fillId="0" borderId="0" xfId="0" applyNumberFormat="1" applyFont="1" applyAlignment="1">
      <alignment vertical="center" wrapText="1"/>
    </xf>
    <xf numFmtId="9" fontId="14" fillId="2" borderId="0" xfId="1" applyFont="1" applyFill="1" applyAlignment="1">
      <alignment horizontal="center"/>
    </xf>
    <xf numFmtId="0" fontId="0" fillId="0" borderId="12" xfId="0" applyBorder="1" applyAlignment="1">
      <alignment horizontal="left" vertical="center" wrapText="1" indent="1"/>
    </xf>
    <xf numFmtId="0" fontId="0" fillId="0" borderId="0" xfId="0" applyAlignment="1">
      <alignment horizontal="left" vertical="center" wrapText="1" indent="1"/>
    </xf>
    <xf numFmtId="164" fontId="0" fillId="0" borderId="0" xfId="3" applyNumberFormat="1" applyFont="1" applyBorder="1" applyAlignment="1">
      <alignment vertical="center" wrapText="1"/>
    </xf>
    <xf numFmtId="164" fontId="0" fillId="0" borderId="13" xfId="3" applyNumberFormat="1" applyFont="1" applyBorder="1" applyAlignment="1">
      <alignment vertical="center" wrapText="1"/>
    </xf>
    <xf numFmtId="164" fontId="10" fillId="0" borderId="0" xfId="0" applyNumberFormat="1" applyFont="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0" borderId="13" xfId="0" applyBorder="1"/>
    <xf numFmtId="164" fontId="3" fillId="0" borderId="13" xfId="0" applyNumberFormat="1" applyFont="1" applyBorder="1" applyAlignment="1">
      <alignment vertical="center" wrapText="1"/>
    </xf>
    <xf numFmtId="0" fontId="0" fillId="0" borderId="12" xfId="0" applyBorder="1" applyAlignment="1">
      <alignment horizontal="left" indent="1"/>
    </xf>
    <xf numFmtId="164" fontId="0" fillId="0" borderId="0" xfId="0" applyNumberFormat="1" applyAlignment="1">
      <alignment horizontal="left" indent="1"/>
    </xf>
    <xf numFmtId="164" fontId="0" fillId="0" borderId="13" xfId="0" applyNumberFormat="1" applyBorder="1" applyAlignment="1">
      <alignment horizontal="left" indent="1"/>
    </xf>
    <xf numFmtId="0" fontId="0" fillId="0" borderId="8" xfId="0" applyBorder="1" applyAlignment="1">
      <alignment vertical="center" wrapText="1"/>
    </xf>
    <xf numFmtId="0" fontId="0" fillId="0" borderId="9" xfId="0" applyBorder="1" applyAlignment="1">
      <alignment vertical="center" wrapText="1"/>
    </xf>
    <xf numFmtId="0" fontId="0" fillId="0" borderId="9" xfId="0" applyBorder="1"/>
    <xf numFmtId="0" fontId="0" fillId="0" borderId="11" xfId="0" applyBorder="1"/>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164" fontId="3" fillId="2" borderId="2" xfId="0" applyNumberFormat="1" applyFont="1" applyFill="1" applyBorder="1" applyAlignment="1">
      <alignment vertical="center" wrapText="1"/>
    </xf>
    <xf numFmtId="164" fontId="3" fillId="2" borderId="3" xfId="0" applyNumberFormat="1" applyFont="1" applyFill="1" applyBorder="1" applyAlignment="1">
      <alignment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9" fontId="15" fillId="0" borderId="5" xfId="1" applyFont="1" applyBorder="1" applyAlignment="1">
      <alignment vertical="center" wrapText="1"/>
    </xf>
    <xf numFmtId="9" fontId="15" fillId="0" borderId="7" xfId="1" applyFont="1" applyBorder="1" applyAlignment="1">
      <alignment vertical="center" wrapText="1"/>
    </xf>
    <xf numFmtId="0" fontId="10" fillId="0" borderId="12" xfId="0" applyFont="1" applyBorder="1" applyAlignment="1">
      <alignment vertical="center" wrapText="1"/>
    </xf>
    <xf numFmtId="0" fontId="10" fillId="0" borderId="0" xfId="0" applyFont="1" applyAlignment="1">
      <alignment vertical="center" wrapText="1"/>
    </xf>
    <xf numFmtId="9" fontId="10" fillId="0" borderId="0" xfId="1" applyFont="1" applyBorder="1" applyAlignment="1">
      <alignment vertical="center" wrapText="1"/>
    </xf>
    <xf numFmtId="9" fontId="10" fillId="0" borderId="13" xfId="1" applyFont="1" applyBorder="1" applyAlignment="1">
      <alignment vertical="center" wrapText="1"/>
    </xf>
    <xf numFmtId="0" fontId="0" fillId="0" borderId="12" xfId="0" applyBorder="1"/>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164" fontId="0" fillId="0" borderId="9" xfId="0" applyNumberFormat="1" applyBorder="1" applyAlignment="1">
      <alignment horizontal="left" indent="1"/>
    </xf>
    <xf numFmtId="164" fontId="0" fillId="0" borderId="11" xfId="0" applyNumberFormat="1" applyBorder="1" applyAlignment="1">
      <alignment horizontal="left" indent="1"/>
    </xf>
    <xf numFmtId="164" fontId="3" fillId="2" borderId="1" xfId="0" applyNumberFormat="1" applyFont="1" applyFill="1" applyBorder="1" applyAlignment="1">
      <alignment vertical="center" wrapText="1"/>
    </xf>
    <xf numFmtId="0" fontId="15" fillId="0" borderId="12" xfId="0" applyFont="1" applyBorder="1" applyAlignment="1">
      <alignment vertical="center" wrapText="1"/>
    </xf>
    <xf numFmtId="9" fontId="15" fillId="0" borderId="0" xfId="1" applyFont="1" applyBorder="1" applyAlignment="1">
      <alignment vertical="center" wrapText="1"/>
    </xf>
    <xf numFmtId="9" fontId="15" fillId="0" borderId="13" xfId="1" applyFont="1" applyBorder="1" applyAlignment="1">
      <alignment vertical="center" wrapText="1"/>
    </xf>
    <xf numFmtId="0" fontId="12" fillId="0" borderId="8" xfId="0" applyFont="1" applyBorder="1" applyAlignment="1">
      <alignment vertical="center" wrapText="1"/>
    </xf>
    <xf numFmtId="9" fontId="12" fillId="0" borderId="9" xfId="1" applyFont="1" applyBorder="1" applyAlignment="1">
      <alignment vertical="center" wrapText="1"/>
    </xf>
    <xf numFmtId="9" fontId="12" fillId="0" borderId="11" xfId="1" applyFont="1" applyBorder="1" applyAlignment="1">
      <alignment vertical="center" wrapText="1"/>
    </xf>
    <xf numFmtId="164" fontId="3" fillId="0" borderId="0" xfId="3" applyNumberFormat="1" applyFont="1" applyBorder="1" applyAlignment="1">
      <alignment vertical="center" wrapText="1"/>
    </xf>
    <xf numFmtId="164" fontId="3" fillId="0" borderId="0" xfId="3" applyNumberFormat="1" applyFont="1" applyBorder="1"/>
    <xf numFmtId="164" fontId="3" fillId="0" borderId="13" xfId="3" applyNumberFormat="1" applyFont="1" applyBorder="1"/>
    <xf numFmtId="164" fontId="0" fillId="0" borderId="0" xfId="0" applyNumberFormat="1" applyAlignment="1">
      <alignment vertical="center" wrapText="1"/>
    </xf>
    <xf numFmtId="164" fontId="0" fillId="0" borderId="0" xfId="0" applyNumberFormat="1"/>
    <xf numFmtId="164" fontId="0" fillId="0" borderId="13" xfId="0" applyNumberFormat="1" applyBorder="1"/>
    <xf numFmtId="0" fontId="0" fillId="0" borderId="4" xfId="0" applyBorder="1" applyAlignment="1">
      <alignment vertical="center" wrapText="1"/>
    </xf>
    <xf numFmtId="0" fontId="0" fillId="0" borderId="5" xfId="0" applyBorder="1" applyAlignment="1">
      <alignment vertical="center" wrapText="1"/>
    </xf>
    <xf numFmtId="0" fontId="0" fillId="0" borderId="5" xfId="0" applyBorder="1"/>
    <xf numFmtId="0" fontId="0" fillId="0" borderId="7" xfId="0" applyBorder="1"/>
    <xf numFmtId="164" fontId="0" fillId="0" borderId="13" xfId="0" applyNumberFormat="1" applyBorder="1" applyAlignment="1">
      <alignment vertical="center" wrapText="1"/>
    </xf>
    <xf numFmtId="9" fontId="3" fillId="0" borderId="0" xfId="0" applyNumberFormat="1" applyFont="1"/>
    <xf numFmtId="164" fontId="3" fillId="0" borderId="2" xfId="0" applyNumberFormat="1" applyFont="1" applyBorder="1" applyAlignment="1">
      <alignment vertical="center" wrapText="1"/>
    </xf>
    <xf numFmtId="164" fontId="3" fillId="0" borderId="3" xfId="0" applyNumberFormat="1" applyFont="1" applyBorder="1" applyAlignment="1">
      <alignment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9" fontId="15" fillId="0" borderId="2" xfId="1" applyFont="1" applyBorder="1" applyAlignment="1">
      <alignment vertical="center" wrapText="1"/>
    </xf>
    <xf numFmtId="9" fontId="15" fillId="0" borderId="3" xfId="1" applyFont="1" applyBorder="1" applyAlignment="1">
      <alignment vertical="center" wrapText="1"/>
    </xf>
    <xf numFmtId="0" fontId="3" fillId="4" borderId="4" xfId="0" applyFont="1" applyFill="1" applyBorder="1"/>
    <xf numFmtId="164" fontId="3" fillId="4" borderId="5" xfId="0" applyNumberFormat="1" applyFont="1" applyFill="1" applyBorder="1"/>
    <xf numFmtId="164" fontId="3" fillId="4" borderId="7" xfId="0" applyNumberFormat="1" applyFont="1" applyFill="1" applyBorder="1"/>
    <xf numFmtId="0" fontId="0" fillId="0" borderId="4" xfId="0" applyBorder="1"/>
    <xf numFmtId="0" fontId="3" fillId="0" borderId="12" xfId="0" applyFont="1" applyBorder="1" applyAlignment="1">
      <alignment horizontal="left" indent="1"/>
    </xf>
    <xf numFmtId="164" fontId="3" fillId="0" borderId="0" xfId="0" applyNumberFormat="1" applyFont="1"/>
    <xf numFmtId="164" fontId="3" fillId="0" borderId="0" xfId="3" applyNumberFormat="1" applyFont="1"/>
    <xf numFmtId="164" fontId="0" fillId="0" borderId="0" xfId="3" applyNumberFormat="1" applyFont="1"/>
    <xf numFmtId="164" fontId="0" fillId="0" borderId="13" xfId="3" applyNumberFormat="1" applyFont="1" applyBorder="1"/>
    <xf numFmtId="164" fontId="0" fillId="0" borderId="0" xfId="3" applyNumberFormat="1" applyFont="1" applyBorder="1" applyAlignment="1"/>
    <xf numFmtId="164" fontId="0" fillId="0" borderId="13" xfId="3" applyNumberFormat="1" applyFont="1" applyBorder="1" applyAlignment="1"/>
    <xf numFmtId="0" fontId="0" fillId="0" borderId="8" xfId="0" applyBorder="1"/>
    <xf numFmtId="0" fontId="3" fillId="4" borderId="12" xfId="0" applyFont="1" applyFill="1" applyBorder="1"/>
    <xf numFmtId="164" fontId="3" fillId="4" borderId="0" xfId="0" applyNumberFormat="1" applyFont="1" applyFill="1"/>
    <xf numFmtId="164" fontId="3" fillId="4" borderId="13" xfId="0" applyNumberFormat="1" applyFont="1" applyFill="1" applyBorder="1"/>
    <xf numFmtId="164" fontId="3" fillId="0" borderId="13" xfId="0" applyNumberFormat="1" applyFont="1" applyBorder="1"/>
    <xf numFmtId="0" fontId="0" fillId="0" borderId="12" xfId="0" applyBorder="1" applyAlignment="1">
      <alignment horizontal="left" indent="2"/>
    </xf>
    <xf numFmtId="164" fontId="3" fillId="0" borderId="0" xfId="3" applyNumberFormat="1" applyFont="1" applyBorder="1" applyAlignment="1"/>
    <xf numFmtId="164" fontId="3" fillId="0" borderId="13" xfId="3" applyNumberFormat="1" applyFont="1" applyBorder="1" applyAlignment="1"/>
    <xf numFmtId="164" fontId="10" fillId="0" borderId="0" xfId="0" applyNumberFormat="1" applyFont="1"/>
    <xf numFmtId="0" fontId="4" fillId="0" borderId="0" xfId="0" applyFont="1"/>
    <xf numFmtId="0" fontId="10" fillId="0" borderId="12" xfId="0" applyFont="1" applyBorder="1" applyAlignment="1">
      <alignment horizontal="left" vertical="center" wrapText="1" indent="1"/>
    </xf>
    <xf numFmtId="164" fontId="16" fillId="0" borderId="0" xfId="0" applyNumberFormat="1" applyFont="1" applyAlignment="1">
      <alignment vertical="center" wrapText="1"/>
    </xf>
    <xf numFmtId="164" fontId="16" fillId="0" borderId="13" xfId="0" applyNumberFormat="1" applyFont="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164" fontId="3" fillId="2" borderId="5" xfId="0" applyNumberFormat="1" applyFont="1" applyFill="1" applyBorder="1" applyAlignment="1">
      <alignment vertical="center" wrapText="1"/>
    </xf>
    <xf numFmtId="164" fontId="3" fillId="2" borderId="7" xfId="0" applyNumberFormat="1" applyFont="1" applyFill="1" applyBorder="1" applyAlignment="1">
      <alignment vertical="center" wrapText="1"/>
    </xf>
    <xf numFmtId="164" fontId="0" fillId="0" borderId="5" xfId="0" applyNumberFormat="1" applyBorder="1" applyAlignment="1">
      <alignment vertical="center" wrapText="1"/>
    </xf>
    <xf numFmtId="164" fontId="0" fillId="0" borderId="7" xfId="0" applyNumberFormat="1" applyBorder="1" applyAlignment="1">
      <alignment vertical="center" wrapText="1"/>
    </xf>
    <xf numFmtId="0" fontId="0" fillId="0" borderId="12" xfId="0" applyBorder="1" applyAlignment="1">
      <alignment vertical="center" wrapText="1"/>
    </xf>
    <xf numFmtId="164" fontId="0" fillId="0" borderId="9" xfId="0" applyNumberFormat="1" applyBorder="1" applyAlignment="1">
      <alignment vertical="center" wrapText="1"/>
    </xf>
    <xf numFmtId="164" fontId="0" fillId="0" borderId="11" xfId="0" applyNumberFormat="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164" fontId="3" fillId="2" borderId="9" xfId="3" applyNumberFormat="1" applyFont="1" applyFill="1" applyBorder="1" applyAlignment="1">
      <alignment vertical="center" wrapText="1"/>
    </xf>
    <xf numFmtId="164" fontId="3" fillId="2" borderId="9" xfId="3" applyNumberFormat="1" applyFont="1" applyFill="1" applyBorder="1"/>
    <xf numFmtId="164" fontId="3" fillId="2" borderId="11" xfId="3" applyNumberFormat="1" applyFont="1" applyFill="1" applyBorder="1"/>
    <xf numFmtId="164" fontId="0" fillId="0" borderId="5" xfId="3" applyNumberFormat="1" applyFont="1" applyBorder="1" applyAlignment="1">
      <alignment vertical="center" wrapText="1"/>
    </xf>
    <xf numFmtId="164" fontId="0" fillId="0" borderId="7" xfId="3" applyNumberFormat="1" applyFont="1" applyBorder="1" applyAlignment="1">
      <alignment vertical="center" wrapText="1"/>
    </xf>
    <xf numFmtId="164" fontId="0" fillId="0" borderId="9" xfId="0" applyNumberFormat="1" applyBorder="1"/>
    <xf numFmtId="164" fontId="0" fillId="0" borderId="11" xfId="0" applyNumberFormat="1" applyBorder="1"/>
    <xf numFmtId="0" fontId="3" fillId="0" borderId="1" xfId="0" applyFont="1" applyBorder="1" applyAlignment="1">
      <alignment vertical="center" wrapText="1"/>
    </xf>
    <xf numFmtId="0" fontId="3" fillId="0" borderId="2" xfId="0" applyFont="1" applyBorder="1" applyAlignment="1">
      <alignment vertical="center" wrapText="1"/>
    </xf>
    <xf numFmtId="164" fontId="0" fillId="0" borderId="2" xfId="0" applyNumberFormat="1" applyBorder="1" applyAlignment="1">
      <alignment vertical="center" wrapText="1"/>
    </xf>
    <xf numFmtId="164" fontId="0" fillId="0" borderId="3" xfId="0" applyNumberFormat="1" applyBorder="1" applyAlignment="1">
      <alignment vertical="center" wrapText="1"/>
    </xf>
    <xf numFmtId="164" fontId="6" fillId="0" borderId="2" xfId="0" applyNumberFormat="1" applyFont="1" applyBorder="1" applyAlignment="1">
      <alignment vertical="center" wrapText="1"/>
    </xf>
    <xf numFmtId="0" fontId="3" fillId="0" borderId="1" xfId="0" applyFont="1" applyBorder="1"/>
    <xf numFmtId="1" fontId="3" fillId="0" borderId="3" xfId="0" applyNumberFormat="1" applyFont="1" applyBorder="1"/>
    <xf numFmtId="169" fontId="0" fillId="0" borderId="0" xfId="0" applyNumberFormat="1"/>
    <xf numFmtId="0" fontId="3" fillId="4" borderId="1" xfId="0" applyFont="1" applyFill="1" applyBorder="1"/>
    <xf numFmtId="0" fontId="0" fillId="4" borderId="2" xfId="0" applyFill="1" applyBorder="1"/>
    <xf numFmtId="0" fontId="0" fillId="4" borderId="3" xfId="0" applyFill="1" applyBorder="1"/>
    <xf numFmtId="164" fontId="0" fillId="0" borderId="0" xfId="3" applyNumberFormat="1" applyFont="1" applyBorder="1"/>
    <xf numFmtId="164" fontId="0" fillId="0" borderId="5" xfId="3" applyNumberFormat="1" applyFont="1" applyBorder="1"/>
    <xf numFmtId="164" fontId="0" fillId="0" borderId="7" xfId="3" applyNumberFormat="1" applyFont="1" applyBorder="1"/>
    <xf numFmtId="164" fontId="3" fillId="0" borderId="2" xfId="3" applyNumberFormat="1" applyFont="1" applyBorder="1"/>
    <xf numFmtId="164" fontId="3" fillId="0" borderId="3" xfId="3" applyNumberFormat="1" applyFont="1" applyBorder="1"/>
    <xf numFmtId="170" fontId="0" fillId="0" borderId="0" xfId="3" applyNumberFormat="1" applyFont="1" applyBorder="1"/>
    <xf numFmtId="170" fontId="0" fillId="0" borderId="13" xfId="3" applyNumberFormat="1" applyFont="1" applyBorder="1"/>
    <xf numFmtId="0" fontId="0" fillId="0" borderId="4" xfId="0" applyBorder="1" applyAlignment="1">
      <alignment horizontal="left" indent="1"/>
    </xf>
    <xf numFmtId="164" fontId="0" fillId="0" borderId="5" xfId="0" applyNumberFormat="1" applyBorder="1"/>
    <xf numFmtId="164" fontId="0" fillId="0" borderId="7" xfId="0" applyNumberFormat="1" applyBorder="1"/>
    <xf numFmtId="0" fontId="0" fillId="0" borderId="8" xfId="0" applyBorder="1" applyAlignment="1">
      <alignment horizontal="left" indent="1"/>
    </xf>
    <xf numFmtId="170" fontId="0" fillId="0" borderId="0" xfId="3" applyNumberFormat="1" applyFont="1"/>
    <xf numFmtId="0" fontId="11" fillId="5" borderId="0" xfId="0" applyFont="1" applyFill="1"/>
    <xf numFmtId="49" fontId="17" fillId="5" borderId="0" xfId="0" applyNumberFormat="1" applyFont="1" applyFill="1" applyAlignment="1">
      <alignment horizontal="right"/>
    </xf>
    <xf numFmtId="0" fontId="17" fillId="5" borderId="0" xfId="0" applyFont="1" applyFill="1"/>
    <xf numFmtId="14" fontId="17" fillId="5" borderId="0" xfId="0" applyNumberFormat="1" applyFont="1" applyFill="1" applyAlignment="1">
      <alignment horizontal="right"/>
    </xf>
    <xf numFmtId="14" fontId="17" fillId="5" borderId="0" xfId="0" applyNumberFormat="1" applyFont="1" applyFill="1"/>
    <xf numFmtId="0" fontId="1" fillId="0" borderId="0" xfId="0" applyFont="1"/>
    <xf numFmtId="0" fontId="1" fillId="5" borderId="0" xfId="0" applyFont="1" applyFill="1"/>
    <xf numFmtId="0" fontId="1" fillId="0" borderId="0" xfId="0" applyFont="1" applyAlignment="1">
      <alignment horizontal="right"/>
    </xf>
    <xf numFmtId="166" fontId="7" fillId="0" borderId="0" xfId="3" applyNumberFormat="1" applyFont="1" applyBorder="1" applyAlignment="1">
      <alignment horizontal="right"/>
    </xf>
    <xf numFmtId="166" fontId="7" fillId="0" borderId="13" xfId="3" applyNumberFormat="1" applyFont="1" applyBorder="1" applyAlignment="1">
      <alignment horizontal="right"/>
    </xf>
    <xf numFmtId="166" fontId="7" fillId="0" borderId="9" xfId="3" applyNumberFormat="1" applyFont="1" applyBorder="1" applyAlignment="1">
      <alignment horizontal="right"/>
    </xf>
    <xf numFmtId="166" fontId="7" fillId="0" borderId="11" xfId="3" applyNumberFormat="1" applyFont="1" applyBorder="1" applyAlignment="1">
      <alignment horizontal="right"/>
    </xf>
    <xf numFmtId="164" fontId="8" fillId="0" borderId="4" xfId="0" applyNumberFormat="1" applyFont="1" applyBorder="1"/>
    <xf numFmtId="164" fontId="8" fillId="0" borderId="12" xfId="0" applyNumberFormat="1" applyFont="1" applyBorder="1"/>
    <xf numFmtId="164" fontId="8" fillId="0" borderId="8" xfId="0" applyNumberFormat="1" applyFont="1" applyBorder="1"/>
    <xf numFmtId="9" fontId="10" fillId="0" borderId="0" xfId="1" applyFont="1" applyAlignment="1">
      <alignment horizontal="right" vertical="center" wrapText="1"/>
    </xf>
    <xf numFmtId="9" fontId="1" fillId="0" borderId="0" xfId="0" applyNumberFormat="1" applyFont="1"/>
    <xf numFmtId="0" fontId="16" fillId="0" borderId="12" xfId="0" applyFont="1" applyBorder="1" applyAlignment="1">
      <alignment horizontal="left" indent="1"/>
    </xf>
    <xf numFmtId="0" fontId="18" fillId="0" borderId="0" xfId="0" applyFont="1"/>
    <xf numFmtId="9" fontId="16" fillId="3" borderId="0" xfId="1" applyFont="1" applyFill="1" applyBorder="1" applyAlignment="1">
      <alignment horizontal="right" indent="1"/>
    </xf>
    <xf numFmtId="9" fontId="16" fillId="3" borderId="13" xfId="1" applyFont="1" applyFill="1" applyBorder="1" applyAlignment="1">
      <alignment horizontal="right" indent="1"/>
    </xf>
    <xf numFmtId="0" fontId="1" fillId="0" borderId="9" xfId="0" applyFont="1" applyBorder="1"/>
    <xf numFmtId="9" fontId="16" fillId="3" borderId="9" xfId="1" applyFont="1" applyFill="1" applyBorder="1" applyAlignment="1">
      <alignment horizontal="right" indent="1"/>
    </xf>
    <xf numFmtId="9" fontId="16" fillId="3" borderId="11" xfId="1" applyFont="1" applyFill="1" applyBorder="1" applyAlignment="1">
      <alignment horizontal="right" indent="1"/>
    </xf>
    <xf numFmtId="0" fontId="16" fillId="0" borderId="2" xfId="0" applyFont="1" applyBorder="1" applyAlignment="1">
      <alignment horizontal="left" indent="1"/>
    </xf>
    <xf numFmtId="9" fontId="10" fillId="0" borderId="0" xfId="1" applyFont="1" applyAlignment="1">
      <alignment vertical="center" wrapText="1"/>
    </xf>
    <xf numFmtId="0" fontId="8" fillId="0" borderId="12" xfId="0" applyFont="1" applyBorder="1"/>
    <xf numFmtId="0" fontId="8" fillId="0" borderId="8" xfId="0" applyFont="1" applyBorder="1"/>
    <xf numFmtId="164" fontId="8" fillId="0" borderId="7" xfId="0" applyNumberFormat="1" applyFont="1" applyBorder="1"/>
    <xf numFmtId="164" fontId="8" fillId="0" borderId="23" xfId="0" applyNumberFormat="1" applyFont="1" applyBorder="1"/>
    <xf numFmtId="164" fontId="8" fillId="0" borderId="24" xfId="0" applyNumberFormat="1" applyFont="1" applyBorder="1"/>
    <xf numFmtId="0" fontId="8" fillId="0" borderId="15" xfId="0" applyFont="1" applyBorder="1"/>
    <xf numFmtId="164" fontId="8" fillId="0" borderId="25" xfId="0" applyNumberFormat="1" applyFont="1" applyBorder="1"/>
    <xf numFmtId="0" fontId="8" fillId="0" borderId="20" xfId="0" applyFont="1" applyBorder="1"/>
    <xf numFmtId="164" fontId="8" fillId="2" borderId="9" xfId="0" applyNumberFormat="1" applyFont="1" applyFill="1" applyBorder="1"/>
    <xf numFmtId="164" fontId="8" fillId="2" borderId="11" xfId="0" applyNumberFormat="1" applyFont="1" applyFill="1" applyBorder="1"/>
    <xf numFmtId="0" fontId="9" fillId="0" borderId="0" xfId="0" applyFont="1" applyAlignment="1">
      <alignment vertical="center" wrapText="1"/>
    </xf>
    <xf numFmtId="9" fontId="9" fillId="0" borderId="0" xfId="1" applyFont="1" applyAlignment="1">
      <alignment vertical="center" wrapText="1"/>
    </xf>
    <xf numFmtId="0" fontId="7" fillId="0" borderId="1" xfId="0" applyFont="1" applyBorder="1"/>
    <xf numFmtId="0" fontId="8" fillId="6" borderId="1" xfId="0" applyFont="1" applyFill="1" applyBorder="1"/>
    <xf numFmtId="0" fontId="7" fillId="6" borderId="2" xfId="0" applyFont="1" applyFill="1" applyBorder="1"/>
    <xf numFmtId="0" fontId="7" fillId="6" borderId="3" xfId="0" applyFont="1" applyFill="1" applyBorder="1"/>
    <xf numFmtId="0" fontId="8" fillId="6" borderId="8" xfId="0" applyFont="1" applyFill="1" applyBorder="1"/>
    <xf numFmtId="0" fontId="8" fillId="6" borderId="2" xfId="0" applyFont="1" applyFill="1" applyBorder="1"/>
    <xf numFmtId="164" fontId="8" fillId="6" borderId="22" xfId="0" applyNumberFormat="1" applyFont="1" applyFill="1" applyBorder="1"/>
    <xf numFmtId="164" fontId="8" fillId="6" borderId="3" xfId="0" applyNumberFormat="1" applyFont="1" applyFill="1" applyBorder="1"/>
    <xf numFmtId="9" fontId="9" fillId="6" borderId="0" xfId="1" applyFont="1" applyFill="1" applyBorder="1" applyAlignment="1">
      <alignment vertical="center" wrapText="1"/>
    </xf>
    <xf numFmtId="9" fontId="9" fillId="6" borderId="9" xfId="1" applyFont="1" applyFill="1" applyBorder="1" applyAlignment="1">
      <alignment vertical="center" wrapText="1"/>
    </xf>
    <xf numFmtId="49" fontId="17" fillId="6" borderId="0" xfId="0" applyNumberFormat="1" applyFont="1" applyFill="1" applyAlignment="1">
      <alignment horizontal="right"/>
    </xf>
    <xf numFmtId="0" fontId="17" fillId="6" borderId="0" xfId="0" applyFont="1" applyFill="1"/>
    <xf numFmtId="0" fontId="11" fillId="6" borderId="0" xfId="0" applyFont="1" applyFill="1"/>
    <xf numFmtId="0" fontId="1" fillId="6" borderId="0" xfId="0" applyFont="1" applyFill="1"/>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14" fontId="3" fillId="5" borderId="5" xfId="0" applyNumberFormat="1" applyFont="1" applyFill="1" applyBorder="1"/>
    <xf numFmtId="14" fontId="3" fillId="5" borderId="5" xfId="0" applyNumberFormat="1" applyFont="1" applyFill="1" applyBorder="1" applyAlignment="1">
      <alignment vertical="center" wrapText="1"/>
    </xf>
    <xf numFmtId="14" fontId="3" fillId="5" borderId="5" xfId="0" applyNumberFormat="1" applyFont="1" applyFill="1" applyBorder="1" applyAlignment="1">
      <alignment horizontal="center"/>
    </xf>
    <xf numFmtId="0" fontId="2" fillId="7" borderId="1" xfId="0" applyFont="1" applyFill="1" applyBorder="1"/>
    <xf numFmtId="0" fontId="4" fillId="7" borderId="2" xfId="0" applyFont="1" applyFill="1" applyBorder="1"/>
    <xf numFmtId="0" fontId="4" fillId="7" borderId="3" xfId="0" applyFont="1" applyFill="1" applyBorder="1"/>
    <xf numFmtId="0" fontId="3" fillId="5" borderId="4" xfId="0" applyFont="1" applyFill="1" applyBorder="1"/>
    <xf numFmtId="0" fontId="3" fillId="5" borderId="5" xfId="0" applyFont="1" applyFill="1" applyBorder="1"/>
    <xf numFmtId="0" fontId="3" fillId="5" borderId="13" xfId="0" applyFont="1" applyFill="1" applyBorder="1"/>
    <xf numFmtId="0" fontId="0" fillId="5" borderId="4" xfId="0" applyFill="1" applyBorder="1"/>
    <xf numFmtId="0" fontId="0" fillId="5" borderId="5" xfId="0" applyFill="1" applyBorder="1"/>
    <xf numFmtId="0" fontId="0" fillId="5" borderId="13" xfId="0" applyFill="1" applyBorder="1"/>
    <xf numFmtId="0" fontId="3" fillId="5" borderId="2" xfId="0" applyFont="1" applyFill="1" applyBorder="1"/>
    <xf numFmtId="0" fontId="3" fillId="5" borderId="3" xfId="0" applyFont="1" applyFill="1" applyBorder="1"/>
    <xf numFmtId="0" fontId="3" fillId="6" borderId="1" xfId="0" applyFont="1" applyFill="1" applyBorder="1"/>
    <xf numFmtId="164" fontId="3" fillId="6" borderId="2" xfId="3" applyNumberFormat="1" applyFont="1" applyFill="1" applyBorder="1"/>
    <xf numFmtId="164" fontId="3" fillId="6" borderId="3" xfId="3" applyNumberFormat="1" applyFont="1" applyFill="1" applyBorder="1"/>
    <xf numFmtId="0" fontId="3" fillId="8" borderId="1" xfId="0" applyFont="1" applyFill="1" applyBorder="1"/>
    <xf numFmtId="164" fontId="3" fillId="8" borderId="2" xfId="3" applyNumberFormat="1" applyFont="1" applyFill="1" applyBorder="1"/>
    <xf numFmtId="164" fontId="3" fillId="8" borderId="3" xfId="3" applyNumberFormat="1" applyFont="1" applyFill="1" applyBorder="1"/>
    <xf numFmtId="0" fontId="3" fillId="9" borderId="1" xfId="0" applyFont="1" applyFill="1" applyBorder="1"/>
    <xf numFmtId="164" fontId="3" fillId="9" borderId="2" xfId="3" applyNumberFormat="1" applyFont="1" applyFill="1" applyBorder="1"/>
    <xf numFmtId="164" fontId="3" fillId="9" borderId="3" xfId="3" applyNumberFormat="1" applyFont="1" applyFill="1" applyBorder="1"/>
    <xf numFmtId="164" fontId="0" fillId="8" borderId="2" xfId="0" applyNumberFormat="1" applyFill="1" applyBorder="1"/>
    <xf numFmtId="164" fontId="0" fillId="8" borderId="3" xfId="0" applyNumberFormat="1" applyFill="1" applyBorder="1"/>
    <xf numFmtId="0" fontId="0" fillId="5" borderId="12" xfId="0" applyFill="1" applyBorder="1"/>
    <xf numFmtId="0" fontId="3" fillId="5" borderId="0" xfId="0" applyFont="1" applyFill="1" applyAlignment="1">
      <alignment horizontal="right"/>
    </xf>
    <xf numFmtId="0" fontId="3" fillId="5" borderId="13" xfId="0" applyFont="1" applyFill="1" applyBorder="1" applyAlignment="1">
      <alignment horizontal="right"/>
    </xf>
    <xf numFmtId="0" fontId="3" fillId="5" borderId="0" xfId="0" applyFont="1" applyFill="1"/>
    <xf numFmtId="0" fontId="2" fillId="10" borderId="0" xfId="0" applyFont="1" applyFill="1"/>
    <xf numFmtId="0" fontId="4" fillId="10" borderId="0" xfId="0" applyFont="1" applyFill="1"/>
    <xf numFmtId="0" fontId="19" fillId="0" borderId="0" xfId="2" applyFont="1"/>
    <xf numFmtId="0" fontId="20" fillId="0" borderId="0" xfId="2" applyFont="1"/>
    <xf numFmtId="0" fontId="21" fillId="0" borderId="0" xfId="0" applyFont="1"/>
    <xf numFmtId="9" fontId="22" fillId="0" borderId="6" xfId="0" applyNumberFormat="1" applyFont="1" applyBorder="1" applyAlignment="1">
      <alignment horizontal="right"/>
    </xf>
    <xf numFmtId="9" fontId="22" fillId="0" borderId="10" xfId="0" applyNumberFormat="1" applyFont="1" applyBorder="1" applyAlignment="1">
      <alignment horizontal="right"/>
    </xf>
    <xf numFmtId="9" fontId="22" fillId="0" borderId="7" xfId="0" applyNumberFormat="1" applyFont="1" applyBorder="1"/>
    <xf numFmtId="9" fontId="22" fillId="0" borderId="13" xfId="0" applyNumberFormat="1" applyFont="1" applyBorder="1"/>
    <xf numFmtId="9" fontId="22" fillId="0" borderId="11" xfId="0" applyNumberFormat="1" applyFont="1" applyBorder="1"/>
    <xf numFmtId="164" fontId="22" fillId="0" borderId="14" xfId="0" applyNumberFormat="1" applyFont="1" applyBorder="1"/>
    <xf numFmtId="164" fontId="22" fillId="0" borderId="10" xfId="0" applyNumberFormat="1" applyFont="1" applyBorder="1"/>
    <xf numFmtId="166" fontId="22" fillId="0" borderId="14" xfId="3" applyNumberFormat="1" applyFont="1" applyFill="1" applyBorder="1" applyAlignment="1">
      <alignment horizontal="right"/>
    </xf>
    <xf numFmtId="166" fontId="22" fillId="0" borderId="10" xfId="3" applyNumberFormat="1" applyFont="1" applyFill="1" applyBorder="1" applyAlignment="1">
      <alignment horizontal="right"/>
    </xf>
    <xf numFmtId="9" fontId="23" fillId="0" borderId="6" xfId="0" applyNumberFormat="1" applyFont="1" applyBorder="1"/>
    <xf numFmtId="9" fontId="23" fillId="0" borderId="14" xfId="0" applyNumberFormat="1" applyFont="1" applyBorder="1"/>
    <xf numFmtId="9" fontId="23" fillId="0" borderId="10" xfId="0" applyNumberFormat="1" applyFont="1" applyBorder="1"/>
    <xf numFmtId="164" fontId="22" fillId="0" borderId="22" xfId="0" applyNumberFormat="1" applyFont="1" applyBorder="1"/>
    <xf numFmtId="164" fontId="22" fillId="0" borderId="13" xfId="0" applyNumberFormat="1" applyFont="1" applyBorder="1"/>
    <xf numFmtId="164" fontId="22" fillId="0" borderId="11" xfId="0" applyNumberFormat="1" applyFont="1" applyBorder="1"/>
    <xf numFmtId="164" fontId="22" fillId="0" borderId="22" xfId="3" applyNumberFormat="1" applyFont="1" applyFill="1" applyBorder="1" applyAlignment="1"/>
    <xf numFmtId="9" fontId="22" fillId="0" borderId="22" xfId="0" applyNumberFormat="1" applyFont="1" applyBorder="1"/>
    <xf numFmtId="164" fontId="22" fillId="0" borderId="15" xfId="0" applyNumberFormat="1" applyFont="1" applyBorder="1"/>
    <xf numFmtId="164" fontId="22" fillId="0" borderId="16" xfId="0" applyNumberFormat="1" applyFont="1" applyBorder="1"/>
    <xf numFmtId="164" fontId="22" fillId="0" borderId="20" xfId="0" applyNumberFormat="1" applyFont="1" applyBorder="1"/>
    <xf numFmtId="164" fontId="22" fillId="0" borderId="21" xfId="0" applyNumberFormat="1" applyFont="1" applyBorder="1"/>
    <xf numFmtId="164" fontId="22" fillId="0" borderId="2" xfId="0" applyNumberFormat="1" applyFont="1" applyBorder="1"/>
    <xf numFmtId="164" fontId="22" fillId="0" borderId="3" xfId="0" applyNumberFormat="1" applyFont="1" applyBorder="1"/>
    <xf numFmtId="0" fontId="22" fillId="0" borderId="22" xfId="3" applyNumberFormat="1" applyFont="1" applyFill="1" applyBorder="1" applyAlignment="1">
      <alignment horizontal="center"/>
    </xf>
    <xf numFmtId="14" fontId="24" fillId="0" borderId="4" xfId="0" applyNumberFormat="1" applyFont="1" applyBorder="1" applyAlignment="1">
      <alignment horizontal="left"/>
    </xf>
    <xf numFmtId="14" fontId="24" fillId="0" borderId="12" xfId="0" applyNumberFormat="1" applyFont="1" applyBorder="1" applyAlignment="1">
      <alignment horizontal="left"/>
    </xf>
    <xf numFmtId="14" fontId="24" fillId="0" borderId="8" xfId="0" applyNumberFormat="1" applyFont="1" applyBorder="1" applyAlignment="1">
      <alignment horizontal="left"/>
    </xf>
    <xf numFmtId="164" fontId="22" fillId="0" borderId="6" xfId="0" applyNumberFormat="1" applyFont="1" applyBorder="1" applyAlignment="1">
      <alignment horizontal="center"/>
    </xf>
    <xf numFmtId="0" fontId="22" fillId="0" borderId="6" xfId="0" applyFont="1" applyBorder="1" applyAlignment="1">
      <alignment horizontal="center"/>
    </xf>
    <xf numFmtId="164" fontId="22" fillId="0" borderId="14" xfId="0" applyNumberFormat="1" applyFont="1" applyBorder="1" applyAlignment="1">
      <alignment horizontal="center"/>
    </xf>
    <xf numFmtId="0" fontId="22" fillId="0" borderId="14" xfId="0" applyFont="1" applyBorder="1" applyAlignment="1">
      <alignment horizontal="center"/>
    </xf>
    <xf numFmtId="164" fontId="22" fillId="0" borderId="10" xfId="0" applyNumberFormat="1" applyFont="1" applyBorder="1" applyAlignment="1">
      <alignment horizontal="center"/>
    </xf>
    <xf numFmtId="0" fontId="22" fillId="0" borderId="10" xfId="0" applyFont="1" applyBorder="1" applyAlignment="1">
      <alignment horizontal="center"/>
    </xf>
    <xf numFmtId="9" fontId="22" fillId="0" borderId="6" xfId="0" applyNumberFormat="1" applyFont="1" applyBorder="1" applyAlignment="1">
      <alignment horizontal="center"/>
    </xf>
    <xf numFmtId="9" fontId="22" fillId="0" borderId="14" xfId="0" applyNumberFormat="1" applyFont="1" applyBorder="1" applyAlignment="1">
      <alignment horizontal="center"/>
    </xf>
    <xf numFmtId="9" fontId="22" fillId="0" borderId="10" xfId="0" applyNumberFormat="1" applyFont="1" applyBorder="1" applyAlignment="1">
      <alignment horizontal="center"/>
    </xf>
    <xf numFmtId="164" fontId="22" fillId="6" borderId="3" xfId="0" applyNumberFormat="1" applyFont="1" applyFill="1" applyBorder="1"/>
    <xf numFmtId="168" fontId="22" fillId="0" borderId="5" xfId="0" applyNumberFormat="1" applyFont="1" applyBorder="1" applyAlignment="1">
      <alignment horizontal="center"/>
    </xf>
    <xf numFmtId="168" fontId="22" fillId="0" borderId="0" xfId="0" applyNumberFormat="1" applyFont="1" applyAlignment="1">
      <alignment horizontal="center"/>
    </xf>
    <xf numFmtId="164" fontId="22" fillId="0" borderId="2" xfId="0" applyNumberFormat="1" applyFont="1" applyBorder="1" applyAlignment="1">
      <alignment horizontal="center"/>
    </xf>
  </cellXfs>
  <cellStyles count="4">
    <cellStyle name="Comma 2" xfId="3" xr:uid="{B81A2980-0D09-485E-A959-875941BA1417}"/>
    <cellStyle name="Hyperlink" xfId="2" builtinId="8"/>
    <cellStyle name="Normal" xfId="0" builtinId="0"/>
    <cellStyle name="Per cent" xfId="1" builtinId="5"/>
  </cellStyles>
  <dxfs count="1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ups.be/" TargetMode="External"/><Relationship Id="rId1" Type="http://schemas.openxmlformats.org/officeDocument/2006/relationships/hyperlink" Target="https://dups.be/en/contact/"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dups.be/" TargetMode="External"/><Relationship Id="rId1" Type="http://schemas.openxmlformats.org/officeDocument/2006/relationships/hyperlink" Target="https://dups.be/en/contac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dups.be/" TargetMode="External"/><Relationship Id="rId1" Type="http://schemas.openxmlformats.org/officeDocument/2006/relationships/hyperlink" Target="https://dups.be/en/contact/"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dups.be/" TargetMode="External"/><Relationship Id="rId1" Type="http://schemas.openxmlformats.org/officeDocument/2006/relationships/hyperlink" Target="https://dups.be/en/contact/"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304800</xdr:colOff>
      <xdr:row>6</xdr:row>
      <xdr:rowOff>129540</xdr:rowOff>
    </xdr:to>
    <xdr:sp macro="" textlink="">
      <xdr:nvSpPr>
        <xdr:cNvPr id="3" name="AutoShape 2">
          <a:extLst>
            <a:ext uri="{FF2B5EF4-FFF2-40B4-BE49-F238E27FC236}">
              <a16:creationId xmlns:a16="http://schemas.microsoft.com/office/drawing/2014/main" id="{5CB79915-8C19-4AA4-8029-E21F89F2BD6B}"/>
            </a:ext>
          </a:extLst>
        </xdr:cNvPr>
        <xdr:cNvSpPr>
          <a:spLocks noChangeAspect="1" noChangeArrowheads="1"/>
        </xdr:cNvSpPr>
      </xdr:nvSpPr>
      <xdr:spPr bwMode="auto">
        <a:xfrm>
          <a:off x="3400425" y="962025"/>
          <a:ext cx="304800" cy="3200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5331852</xdr:colOff>
      <xdr:row>1</xdr:row>
      <xdr:rowOff>91198</xdr:rowOff>
    </xdr:from>
    <xdr:to>
      <xdr:col>2</xdr:col>
      <xdr:colOff>7272965</xdr:colOff>
      <xdr:row>3</xdr:row>
      <xdr:rowOff>105141</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B6F0D66-8C69-48C5-8071-16653AD2D8A6}"/>
            </a:ext>
          </a:extLst>
        </xdr:cNvPr>
        <xdr:cNvSpPr/>
      </xdr:nvSpPr>
      <xdr:spPr>
        <a:xfrm>
          <a:off x="8732277" y="281698"/>
          <a:ext cx="1941113" cy="404468"/>
        </a:xfrm>
        <a:prstGeom prst="round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latin typeface="PP Mori" pitchFamily="50" charset="0"/>
              <a:cs typeface="Aharoni" panose="02010803020104030203" pitchFamily="2" charset="-79"/>
            </a:rPr>
            <a:t>BOOK A MEETING</a:t>
          </a:r>
          <a:endParaRPr lang="en-BE" sz="1400" b="1">
            <a:solidFill>
              <a:schemeClr val="tx1"/>
            </a:solidFill>
            <a:latin typeface="PP Mori" pitchFamily="50" charset="0"/>
            <a:cs typeface="Aharoni" panose="02010803020104030203" pitchFamily="2" charset="-79"/>
          </a:endParaRPr>
        </a:p>
      </xdr:txBody>
    </xdr:sp>
    <xdr:clientData/>
  </xdr:twoCellAnchor>
  <xdr:twoCellAnchor editAs="oneCell">
    <xdr:from>
      <xdr:col>0</xdr:col>
      <xdr:colOff>47625</xdr:colOff>
      <xdr:row>1</xdr:row>
      <xdr:rowOff>47625</xdr:rowOff>
    </xdr:from>
    <xdr:to>
      <xdr:col>1</xdr:col>
      <xdr:colOff>15408</xdr:colOff>
      <xdr:row>4</xdr:row>
      <xdr:rowOff>19050</xdr:rowOff>
    </xdr:to>
    <xdr:pic>
      <xdr:nvPicPr>
        <xdr:cNvPr id="7" name="Picture 6">
          <a:hlinkClick xmlns:r="http://schemas.openxmlformats.org/officeDocument/2006/relationships" r:id="rId2"/>
          <a:extLst>
            <a:ext uri="{FF2B5EF4-FFF2-40B4-BE49-F238E27FC236}">
              <a16:creationId xmlns:a16="http://schemas.microsoft.com/office/drawing/2014/main" id="{51496D54-CDAF-FA96-7B18-144E2D5E34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238125"/>
          <a:ext cx="1215558"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5331852</xdr:colOff>
      <xdr:row>1</xdr:row>
      <xdr:rowOff>91198</xdr:rowOff>
    </xdr:from>
    <xdr:to>
      <xdr:col>2</xdr:col>
      <xdr:colOff>7272965</xdr:colOff>
      <xdr:row>3</xdr:row>
      <xdr:rowOff>105141</xdr:rowOff>
    </xdr:to>
    <xdr:sp macro="" textlink="">
      <xdr:nvSpPr>
        <xdr:cNvPr id="7" name="Rectangle: Rounded Corners 3">
          <a:hlinkClick xmlns:r="http://schemas.openxmlformats.org/officeDocument/2006/relationships" r:id="rId1"/>
          <a:extLst>
            <a:ext uri="{FF2B5EF4-FFF2-40B4-BE49-F238E27FC236}">
              <a16:creationId xmlns:a16="http://schemas.microsoft.com/office/drawing/2014/main" id="{5AD2BF39-6C51-4C54-8D65-25EDEB17D692}"/>
            </a:ext>
          </a:extLst>
        </xdr:cNvPr>
        <xdr:cNvSpPr/>
      </xdr:nvSpPr>
      <xdr:spPr>
        <a:xfrm>
          <a:off x="8732277" y="281698"/>
          <a:ext cx="1941113" cy="413993"/>
        </a:xfrm>
        <a:prstGeom prst="round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latin typeface="PP Mori" pitchFamily="50" charset="0"/>
              <a:cs typeface="Aharoni" panose="02010803020104030203" pitchFamily="2" charset="-79"/>
            </a:rPr>
            <a:t>BOOK A MEETING</a:t>
          </a:r>
          <a:endParaRPr lang="en-BE" sz="1400" b="1">
            <a:solidFill>
              <a:schemeClr val="tx1"/>
            </a:solidFill>
            <a:latin typeface="PP Mori" pitchFamily="50" charset="0"/>
            <a:cs typeface="Aharoni" panose="02010803020104030203" pitchFamily="2" charset="-79"/>
          </a:endParaRPr>
        </a:p>
      </xdr:txBody>
    </xdr:sp>
    <xdr:clientData/>
  </xdr:twoCellAnchor>
  <xdr:oneCellAnchor>
    <xdr:from>
      <xdr:col>0</xdr:col>
      <xdr:colOff>89647</xdr:colOff>
      <xdr:row>1</xdr:row>
      <xdr:rowOff>2801</xdr:rowOff>
    </xdr:from>
    <xdr:ext cx="1215558" cy="545394"/>
    <xdr:pic>
      <xdr:nvPicPr>
        <xdr:cNvPr id="2" name="Picture 4">
          <a:hlinkClick xmlns:r="http://schemas.openxmlformats.org/officeDocument/2006/relationships" r:id="rId2"/>
          <a:extLst>
            <a:ext uri="{FF2B5EF4-FFF2-40B4-BE49-F238E27FC236}">
              <a16:creationId xmlns:a16="http://schemas.microsoft.com/office/drawing/2014/main" id="{8B43E3DF-03D8-4FC8-A830-96F419E802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647" y="182095"/>
          <a:ext cx="1215558" cy="545394"/>
        </a:xfrm>
        <a:prstGeom prst="rect">
          <a:avLst/>
        </a:prstGeom>
      </xdr:spPr>
    </xdr:pic>
    <xdr:clientData/>
  </xdr:oneCellAnchor>
  <xdr:twoCellAnchor>
    <xdr:from>
      <xdr:col>6</xdr:col>
      <xdr:colOff>257738</xdr:colOff>
      <xdr:row>1</xdr:row>
      <xdr:rowOff>100854</xdr:rowOff>
    </xdr:from>
    <xdr:to>
      <xdr:col>7</xdr:col>
      <xdr:colOff>999822</xdr:colOff>
      <xdr:row>3</xdr:row>
      <xdr:rowOff>111435</xdr:rowOff>
    </xdr:to>
    <xdr:sp macro="" textlink="">
      <xdr:nvSpPr>
        <xdr:cNvPr id="3" name="Rectangle: Rounded Corners 5">
          <a:hlinkClick xmlns:r="http://schemas.openxmlformats.org/officeDocument/2006/relationships" r:id="rId1"/>
          <a:extLst>
            <a:ext uri="{FF2B5EF4-FFF2-40B4-BE49-F238E27FC236}">
              <a16:creationId xmlns:a16="http://schemas.microsoft.com/office/drawing/2014/main" id="{06B7840B-D678-4E86-8267-247AE9B52AD3}"/>
            </a:ext>
          </a:extLst>
        </xdr:cNvPr>
        <xdr:cNvSpPr/>
      </xdr:nvSpPr>
      <xdr:spPr>
        <a:xfrm>
          <a:off x="9020738" y="291354"/>
          <a:ext cx="1941113" cy="413993"/>
        </a:xfrm>
        <a:prstGeom prst="round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latin typeface="PP Mori" pitchFamily="50" charset="0"/>
              <a:cs typeface="Aharoni" panose="02010803020104030203" pitchFamily="2" charset="-79"/>
            </a:rPr>
            <a:t>BOOK A MEETING</a:t>
          </a:r>
          <a:endParaRPr lang="en-BE" sz="1400" b="1">
            <a:solidFill>
              <a:schemeClr val="tx1"/>
            </a:solidFill>
            <a:latin typeface="PP Mori" pitchFamily="50" charset="0"/>
            <a:cs typeface="Aharoni" panose="02010803020104030203" pitchFamily="2" charset="-79"/>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5331852</xdr:colOff>
      <xdr:row>1</xdr:row>
      <xdr:rowOff>91198</xdr:rowOff>
    </xdr:from>
    <xdr:to>
      <xdr:col>2</xdr:col>
      <xdr:colOff>7272965</xdr:colOff>
      <xdr:row>3</xdr:row>
      <xdr:rowOff>105141</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99A0EAB3-678B-4D9B-B824-CAFAB28DA087}"/>
            </a:ext>
          </a:extLst>
        </xdr:cNvPr>
        <xdr:cNvSpPr/>
      </xdr:nvSpPr>
      <xdr:spPr>
        <a:xfrm>
          <a:off x="8732277" y="281698"/>
          <a:ext cx="1941113" cy="413993"/>
        </a:xfrm>
        <a:prstGeom prst="round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latin typeface="PP Mori" pitchFamily="50" charset="0"/>
              <a:cs typeface="Aharoni" panose="02010803020104030203" pitchFamily="2" charset="-79"/>
            </a:rPr>
            <a:t>BOOK A MEETING</a:t>
          </a:r>
          <a:endParaRPr lang="en-BE" sz="1400" b="1">
            <a:solidFill>
              <a:schemeClr val="tx1"/>
            </a:solidFill>
            <a:latin typeface="PP Mori" pitchFamily="50" charset="0"/>
            <a:cs typeface="Aharoni" panose="02010803020104030203" pitchFamily="2" charset="-79"/>
          </a:endParaRPr>
        </a:p>
      </xdr:txBody>
    </xdr:sp>
    <xdr:clientData/>
  </xdr:twoCellAnchor>
  <xdr:twoCellAnchor editAs="oneCell">
    <xdr:from>
      <xdr:col>0</xdr:col>
      <xdr:colOff>47625</xdr:colOff>
      <xdr:row>1</xdr:row>
      <xdr:rowOff>2801</xdr:rowOff>
    </xdr:from>
    <xdr:to>
      <xdr:col>0</xdr:col>
      <xdr:colOff>1259261</xdr:colOff>
      <xdr:row>3</xdr:row>
      <xdr:rowOff>174251</xdr:rowOff>
    </xdr:to>
    <xdr:pic>
      <xdr:nvPicPr>
        <xdr:cNvPr id="5" name="Picture 4">
          <a:hlinkClick xmlns:r="http://schemas.openxmlformats.org/officeDocument/2006/relationships" r:id="rId2"/>
          <a:extLst>
            <a:ext uri="{FF2B5EF4-FFF2-40B4-BE49-F238E27FC236}">
              <a16:creationId xmlns:a16="http://schemas.microsoft.com/office/drawing/2014/main" id="{8065999F-157D-4B81-9D1F-B8A875D0BA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193301"/>
          <a:ext cx="1211636" cy="574862"/>
        </a:xfrm>
        <a:prstGeom prst="rect">
          <a:avLst/>
        </a:prstGeom>
      </xdr:spPr>
    </xdr:pic>
    <xdr:clientData/>
  </xdr:twoCellAnchor>
  <xdr:twoCellAnchor>
    <xdr:from>
      <xdr:col>7</xdr:col>
      <xdr:colOff>0</xdr:colOff>
      <xdr:row>1</xdr:row>
      <xdr:rowOff>67234</xdr:rowOff>
    </xdr:from>
    <xdr:to>
      <xdr:col>9</xdr:col>
      <xdr:colOff>80936</xdr:colOff>
      <xdr:row>3</xdr:row>
      <xdr:rowOff>77815</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77AEB6CE-F778-45EF-AA5F-F64E5C8BD075}"/>
            </a:ext>
          </a:extLst>
        </xdr:cNvPr>
        <xdr:cNvSpPr/>
      </xdr:nvSpPr>
      <xdr:spPr>
        <a:xfrm>
          <a:off x="9121588" y="257734"/>
          <a:ext cx="1941113" cy="413993"/>
        </a:xfrm>
        <a:prstGeom prst="round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latin typeface="PP Mori" pitchFamily="50" charset="0"/>
              <a:cs typeface="Aharoni" panose="02010803020104030203" pitchFamily="2" charset="-79"/>
            </a:rPr>
            <a:t>BOOK A MEETING</a:t>
          </a:r>
          <a:endParaRPr lang="en-BE" sz="1400" b="1">
            <a:solidFill>
              <a:schemeClr val="tx1"/>
            </a:solidFill>
            <a:latin typeface="PP Mori" pitchFamily="50" charset="0"/>
            <a:cs typeface="Aharoni" panose="02010803020104030203" pitchFamily="2" charset="-79"/>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5331852</xdr:colOff>
      <xdr:row>1</xdr:row>
      <xdr:rowOff>91198</xdr:rowOff>
    </xdr:from>
    <xdr:to>
      <xdr:col>2</xdr:col>
      <xdr:colOff>7272965</xdr:colOff>
      <xdr:row>3</xdr:row>
      <xdr:rowOff>105141</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2341FEEC-2EAD-4CD5-9FA7-2764F726D612}"/>
            </a:ext>
          </a:extLst>
        </xdr:cNvPr>
        <xdr:cNvSpPr/>
      </xdr:nvSpPr>
      <xdr:spPr>
        <a:xfrm>
          <a:off x="8732277" y="281698"/>
          <a:ext cx="1941113" cy="413993"/>
        </a:xfrm>
        <a:prstGeom prst="round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latin typeface="PP Mori" pitchFamily="50" charset="0"/>
              <a:cs typeface="Aharoni" panose="02010803020104030203" pitchFamily="2" charset="-79"/>
            </a:rPr>
            <a:t>BOOK A MEETING</a:t>
          </a:r>
          <a:endParaRPr lang="en-BE" sz="1400" b="1">
            <a:solidFill>
              <a:schemeClr val="tx1"/>
            </a:solidFill>
            <a:latin typeface="PP Mori" pitchFamily="50" charset="0"/>
            <a:cs typeface="Aharoni" panose="02010803020104030203" pitchFamily="2" charset="-79"/>
          </a:endParaRPr>
        </a:p>
      </xdr:txBody>
    </xdr:sp>
    <xdr:clientData/>
  </xdr:twoCellAnchor>
  <xdr:twoCellAnchor editAs="oneCell">
    <xdr:from>
      <xdr:col>0</xdr:col>
      <xdr:colOff>57150</xdr:colOff>
      <xdr:row>0</xdr:row>
      <xdr:rowOff>180975</xdr:rowOff>
    </xdr:from>
    <xdr:to>
      <xdr:col>0</xdr:col>
      <xdr:colOff>1272708</xdr:colOff>
      <xdr:row>3</xdr:row>
      <xdr:rowOff>161925</xdr:rowOff>
    </xdr:to>
    <xdr:pic>
      <xdr:nvPicPr>
        <xdr:cNvPr id="5" name="Picture 4">
          <a:hlinkClick xmlns:r="http://schemas.openxmlformats.org/officeDocument/2006/relationships" r:id="rId2"/>
          <a:extLst>
            <a:ext uri="{FF2B5EF4-FFF2-40B4-BE49-F238E27FC236}">
              <a16:creationId xmlns:a16="http://schemas.microsoft.com/office/drawing/2014/main" id="{4922CD54-0B44-4F04-88E2-962AF22E75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180975"/>
          <a:ext cx="1215558" cy="571500"/>
        </a:xfrm>
        <a:prstGeom prst="rect">
          <a:avLst/>
        </a:prstGeom>
      </xdr:spPr>
    </xdr:pic>
    <xdr:clientData/>
  </xdr:twoCellAnchor>
  <xdr:twoCellAnchor>
    <xdr:from>
      <xdr:col>9</xdr:col>
      <xdr:colOff>0</xdr:colOff>
      <xdr:row>1</xdr:row>
      <xdr:rowOff>95250</xdr:rowOff>
    </xdr:from>
    <xdr:to>
      <xdr:col>11</xdr:col>
      <xdr:colOff>588563</xdr:colOff>
      <xdr:row>3</xdr:row>
      <xdr:rowOff>109193</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F80C2AF3-9535-4429-82C0-5672777B6B6D}"/>
            </a:ext>
          </a:extLst>
        </xdr:cNvPr>
        <xdr:cNvSpPr/>
      </xdr:nvSpPr>
      <xdr:spPr>
        <a:xfrm>
          <a:off x="8829675" y="285750"/>
          <a:ext cx="1941113" cy="413993"/>
        </a:xfrm>
        <a:prstGeom prst="round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tx1"/>
              </a:solidFill>
              <a:latin typeface="PP Mori" pitchFamily="50" charset="0"/>
              <a:cs typeface="Aharoni" panose="02010803020104030203" pitchFamily="2" charset="-79"/>
            </a:rPr>
            <a:t>BOOK A MEETING</a:t>
          </a:r>
          <a:endParaRPr lang="en-BE" sz="1400" b="1">
            <a:solidFill>
              <a:schemeClr val="tx1"/>
            </a:solidFill>
            <a:latin typeface="PP Mori" pitchFamily="50" charset="0"/>
            <a:cs typeface="Aharoni" panose="02010803020104030203" pitchFamily="2" charset="-79"/>
          </a:endParaRPr>
        </a:p>
      </xdr:txBody>
    </xdr:sp>
    <xdr:clientData/>
  </xdr:twoCellAnchor>
</xdr:wsDr>
</file>

<file path=xl/theme/theme1.xml><?xml version="1.0" encoding="utf-8"?>
<a:theme xmlns:a="http://schemas.openxmlformats.org/drawingml/2006/main" name="Dups">
  <a:themeElements>
    <a:clrScheme name="Dups">
      <a:dk1>
        <a:srgbClr val="39362C"/>
      </a:dk1>
      <a:lt1>
        <a:srgbClr val="F6F9F4"/>
      </a:lt1>
      <a:dk2>
        <a:srgbClr val="E8E994"/>
      </a:dk2>
      <a:lt2>
        <a:srgbClr val="F6F9F4"/>
      </a:lt2>
      <a:accent1>
        <a:srgbClr val="39362C"/>
      </a:accent1>
      <a:accent2>
        <a:srgbClr val="D2CFC5"/>
      </a:accent2>
      <a:accent3>
        <a:srgbClr val="A59F8B"/>
      </a:accent3>
      <a:accent4>
        <a:srgbClr val="E8E994"/>
      </a:accent4>
      <a:accent5>
        <a:srgbClr val="FAFAE9"/>
      </a:accent5>
      <a:accent6>
        <a:srgbClr val="F5F6D4"/>
      </a:accent6>
      <a:hlink>
        <a:srgbClr val="000000"/>
      </a:hlink>
      <a:folHlink>
        <a:srgbClr val="919191"/>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3">
            <a:lumMod val="40000"/>
            <a:lumOff val="60000"/>
          </a:schemeClr>
        </a:solidFill>
        <a:ln>
          <a:noFill/>
        </a:ln>
      </a:spPr>
      <a:bodyPr rtlCol="0" anchor="ctr"/>
      <a:lstStyle>
        <a:defPPr algn="ctr">
          <a:defRPr sz="1400" dirty="0" smtClean="0">
            <a:solidFill>
              <a:schemeClr val="tx1"/>
            </a:solidFill>
            <a:cs typeface="Arial" panose="020B0604020202020204" pitchFamily="34" charset="0"/>
          </a:defRPr>
        </a:defPPr>
      </a:lstStyle>
      <a:style>
        <a:lnRef idx="2">
          <a:schemeClr val="accent1">
            <a:shade val="15000"/>
          </a:schemeClr>
        </a:lnRef>
        <a:fillRef idx="1">
          <a:schemeClr val="accent1"/>
        </a:fillRef>
        <a:effectRef idx="0">
          <a:schemeClr val="accent1"/>
        </a:effectRef>
        <a:fontRef idx="minor">
          <a:schemeClr val="lt1"/>
        </a:fontRef>
      </a:style>
    </a:spDef>
    <a:lnDef>
      <a:spPr>
        <a:ln w="9525"/>
      </a:spPr>
      <a:bodyPr/>
      <a:lstStyle/>
      <a:style>
        <a:lnRef idx="2">
          <a:schemeClr val="accent1"/>
        </a:lnRef>
        <a:fillRef idx="0">
          <a:schemeClr val="accent1"/>
        </a:fillRef>
        <a:effectRef idx="1">
          <a:schemeClr val="accent1"/>
        </a:effectRef>
        <a:fontRef idx="minor">
          <a:schemeClr val="tx1"/>
        </a:fontRef>
      </a:style>
    </a:lnDef>
    <a:txDef>
      <a:spPr>
        <a:noFill/>
      </a:spPr>
      <a:bodyPr wrap="square" rtlCol="0">
        <a:spAutoFit/>
      </a:bodyPr>
      <a:lstStyle>
        <a:defPPr marL="7701" marR="3081" algn="l">
          <a:lnSpc>
            <a:spcPct val="132700"/>
          </a:lnSpc>
          <a:spcBef>
            <a:spcPts val="55"/>
          </a:spcBef>
          <a:defRPr sz="1100" dirty="0" err="1" smtClean="0">
            <a:cs typeface="Arial"/>
          </a:defRPr>
        </a:defPPr>
      </a:lstStyle>
    </a:txDef>
  </a:objectDefaults>
  <a:extraClrSchemeLst/>
  <a:extLst>
    <a:ext uri="{05A4C25C-085E-4340-85A3-A5531E510DB2}">
      <thm15:themeFamily xmlns:thm15="http://schemas.microsoft.com/office/thememl/2012/main" name="Dups" id="{AF8CFD0B-F9A5-4BD9-9A7B-E0FEEA33AD5A}" vid="{ABA68DDE-7BD4-43B0-ABE0-36BD39A998DE}"/>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7D7D-8549-4C12-8C7E-37248A082992}">
  <dimension ref="A1:C52"/>
  <sheetViews>
    <sheetView showGridLines="0" zoomScale="85" zoomScaleNormal="85" workbookViewId="0">
      <selection activeCell="A19" sqref="A19"/>
    </sheetView>
  </sheetViews>
  <sheetFormatPr defaultRowHeight="14.4" x14ac:dyDescent="0.3"/>
  <cols>
    <col min="1" max="1" width="18.6640625" customWidth="1"/>
    <col min="2" max="2" width="32.33203125" customWidth="1"/>
    <col min="3" max="3" width="255.6640625" bestFit="1" customWidth="1"/>
  </cols>
  <sheetData>
    <row r="1" spans="1:3" x14ac:dyDescent="0.3">
      <c r="A1" s="1"/>
      <c r="B1" s="1"/>
    </row>
    <row r="2" spans="1:3" x14ac:dyDescent="0.3">
      <c r="A2" s="1"/>
      <c r="B2" s="1"/>
    </row>
    <row r="3" spans="1:3" ht="16.2" x14ac:dyDescent="0.35">
      <c r="A3" s="1"/>
      <c r="B3" s="293" t="s">
        <v>0</v>
      </c>
    </row>
    <row r="4" spans="1:3" x14ac:dyDescent="0.3">
      <c r="A4" s="1"/>
      <c r="B4" s="1"/>
    </row>
    <row r="6" spans="1:3" x14ac:dyDescent="0.3">
      <c r="B6" s="291" t="s">
        <v>1</v>
      </c>
      <c r="C6" s="292"/>
    </row>
    <row r="7" spans="1:3" x14ac:dyDescent="0.3">
      <c r="B7" s="290" t="s">
        <v>2</v>
      </c>
      <c r="C7" s="290" t="s">
        <v>3</v>
      </c>
    </row>
    <row r="8" spans="1:3" x14ac:dyDescent="0.3">
      <c r="B8" s="2" t="s">
        <v>4</v>
      </c>
    </row>
    <row r="9" spans="1:3" x14ac:dyDescent="0.3">
      <c r="B9" s="3" t="s">
        <v>5</v>
      </c>
      <c r="C9" t="s">
        <v>6</v>
      </c>
    </row>
    <row r="10" spans="1:3" x14ac:dyDescent="0.3">
      <c r="B10" s="3" t="s">
        <v>7</v>
      </c>
      <c r="C10" t="s">
        <v>8</v>
      </c>
    </row>
    <row r="11" spans="1:3" x14ac:dyDescent="0.3">
      <c r="B11" s="3" t="s">
        <v>9</v>
      </c>
      <c r="C11" t="s">
        <v>10</v>
      </c>
    </row>
    <row r="12" spans="1:3" x14ac:dyDescent="0.3">
      <c r="B12" s="3" t="s">
        <v>11</v>
      </c>
      <c r="C12" t="s">
        <v>12</v>
      </c>
    </row>
    <row r="13" spans="1:3" x14ac:dyDescent="0.3">
      <c r="B13" s="3" t="s">
        <v>13</v>
      </c>
      <c r="C13" t="s">
        <v>14</v>
      </c>
    </row>
    <row r="14" spans="1:3" x14ac:dyDescent="0.3">
      <c r="B14" s="3" t="s">
        <v>15</v>
      </c>
      <c r="C14" t="s">
        <v>16</v>
      </c>
    </row>
    <row r="15" spans="1:3" x14ac:dyDescent="0.3">
      <c r="B15" s="3" t="s">
        <v>17</v>
      </c>
      <c r="C15" t="s">
        <v>18</v>
      </c>
    </row>
    <row r="16" spans="1:3" x14ac:dyDescent="0.3">
      <c r="B16" s="3" t="s">
        <v>19</v>
      </c>
      <c r="C16" t="s">
        <v>20</v>
      </c>
    </row>
    <row r="17" spans="2:3" x14ac:dyDescent="0.3">
      <c r="B17" s="3" t="s">
        <v>21</v>
      </c>
      <c r="C17" t="s">
        <v>22</v>
      </c>
    </row>
    <row r="18" spans="2:3" x14ac:dyDescent="0.3">
      <c r="B18" s="3" t="s">
        <v>23</v>
      </c>
      <c r="C18" t="s">
        <v>24</v>
      </c>
    </row>
    <row r="19" spans="2:3" x14ac:dyDescent="0.3">
      <c r="B19" s="3" t="s">
        <v>25</v>
      </c>
      <c r="C19" t="s">
        <v>26</v>
      </c>
    </row>
    <row r="20" spans="2:3" x14ac:dyDescent="0.3">
      <c r="B20" s="3" t="s">
        <v>27</v>
      </c>
      <c r="C20" t="s">
        <v>28</v>
      </c>
    </row>
    <row r="21" spans="2:3" x14ac:dyDescent="0.3">
      <c r="B21" s="3" t="s">
        <v>29</v>
      </c>
      <c r="C21" t="s">
        <v>30</v>
      </c>
    </row>
    <row r="22" spans="2:3" x14ac:dyDescent="0.3">
      <c r="B22" s="3" t="s">
        <v>31</v>
      </c>
      <c r="C22" t="s">
        <v>32</v>
      </c>
    </row>
    <row r="23" spans="2:3" x14ac:dyDescent="0.3">
      <c r="B23" s="3" t="s">
        <v>33</v>
      </c>
      <c r="C23" t="s">
        <v>34</v>
      </c>
    </row>
    <row r="24" spans="2:3" x14ac:dyDescent="0.3">
      <c r="B24" s="3" t="s">
        <v>35</v>
      </c>
      <c r="C24" t="s">
        <v>36</v>
      </c>
    </row>
    <row r="25" spans="2:3" x14ac:dyDescent="0.3">
      <c r="B25" s="3" t="s">
        <v>37</v>
      </c>
      <c r="C25" t="s">
        <v>38</v>
      </c>
    </row>
    <row r="26" spans="2:3" x14ac:dyDescent="0.3">
      <c r="B26" s="3" t="s">
        <v>39</v>
      </c>
      <c r="C26" t="s">
        <v>40</v>
      </c>
    </row>
    <row r="27" spans="2:3" x14ac:dyDescent="0.3">
      <c r="B27" s="3" t="s">
        <v>41</v>
      </c>
      <c r="C27" t="s">
        <v>42</v>
      </c>
    </row>
    <row r="28" spans="2:3" x14ac:dyDescent="0.3">
      <c r="B28" s="3" t="s">
        <v>43</v>
      </c>
      <c r="C28" t="s">
        <v>44</v>
      </c>
    </row>
    <row r="29" spans="2:3" x14ac:dyDescent="0.3">
      <c r="B29" s="3" t="s">
        <v>45</v>
      </c>
      <c r="C29" t="s">
        <v>46</v>
      </c>
    </row>
    <row r="30" spans="2:3" x14ac:dyDescent="0.3">
      <c r="B30" s="3" t="s">
        <v>47</v>
      </c>
      <c r="C30" t="s">
        <v>48</v>
      </c>
    </row>
    <row r="31" spans="2:3" x14ac:dyDescent="0.3">
      <c r="B31" s="3" t="s">
        <v>49</v>
      </c>
      <c r="C31" t="s">
        <v>50</v>
      </c>
    </row>
    <row r="32" spans="2:3" x14ac:dyDescent="0.3">
      <c r="B32" s="3" t="s">
        <v>51</v>
      </c>
      <c r="C32" t="s">
        <v>52</v>
      </c>
    </row>
    <row r="33" spans="2:3" x14ac:dyDescent="0.3">
      <c r="B33" s="3" t="s">
        <v>53</v>
      </c>
      <c r="C33" t="s">
        <v>54</v>
      </c>
    </row>
    <row r="34" spans="2:3" x14ac:dyDescent="0.3">
      <c r="B34" s="3" t="s">
        <v>55</v>
      </c>
      <c r="C34" t="s">
        <v>56</v>
      </c>
    </row>
    <row r="35" spans="2:3" x14ac:dyDescent="0.3">
      <c r="B35" s="3" t="s">
        <v>57</v>
      </c>
      <c r="C35" t="s">
        <v>58</v>
      </c>
    </row>
    <row r="36" spans="2:3" x14ac:dyDescent="0.3">
      <c r="B36" s="3" t="s">
        <v>59</v>
      </c>
      <c r="C36" t="s">
        <v>60</v>
      </c>
    </row>
    <row r="37" spans="2:3" ht="13.5" customHeight="1" x14ac:dyDescent="0.3">
      <c r="B37" s="3" t="s">
        <v>61</v>
      </c>
      <c r="C37" t="s">
        <v>62</v>
      </c>
    </row>
    <row r="38" spans="2:3" ht="13.5" customHeight="1" x14ac:dyDescent="0.3">
      <c r="B38" s="3" t="s">
        <v>63</v>
      </c>
      <c r="C38" t="s">
        <v>64</v>
      </c>
    </row>
    <row r="39" spans="2:3" x14ac:dyDescent="0.3">
      <c r="B39" s="3" t="s">
        <v>65</v>
      </c>
      <c r="C39" t="s">
        <v>66</v>
      </c>
    </row>
    <row r="40" spans="2:3" x14ac:dyDescent="0.3">
      <c r="B40" s="3" t="s">
        <v>67</v>
      </c>
      <c r="C40" t="s">
        <v>68</v>
      </c>
    </row>
    <row r="41" spans="2:3" x14ac:dyDescent="0.3">
      <c r="B41" s="3" t="s">
        <v>69</v>
      </c>
      <c r="C41" t="s">
        <v>70</v>
      </c>
    </row>
    <row r="43" spans="2:3" x14ac:dyDescent="0.3">
      <c r="B43" s="4"/>
    </row>
    <row r="49" spans="2:2" x14ac:dyDescent="0.3">
      <c r="B49" s="3"/>
    </row>
    <row r="50" spans="2:2" x14ac:dyDescent="0.3">
      <c r="B50" s="2"/>
    </row>
    <row r="52" spans="2:2" x14ac:dyDescent="0.3">
      <c r="B52"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2C10C-4787-4BA4-8708-524E7E4DFF47}">
  <dimension ref="A1"/>
  <sheetViews>
    <sheetView workbookViewId="0"/>
  </sheetViews>
  <sheetFormatPr defaultRowHeight="14.4" x14ac:dyDescent="0.3"/>
  <sheetData>
    <row r="1" spans="1:1" x14ac:dyDescent="0.3">
      <c r="A1" t="s">
        <v>199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378C-08DA-41E9-8DA5-6DDF30F6035B}">
  <sheetPr>
    <tabColor theme="0" tint="-9.9978637043366805E-2"/>
  </sheetPr>
  <dimension ref="A1:M136"/>
  <sheetViews>
    <sheetView showGridLines="0" topLeftCell="A44" zoomScale="85" zoomScaleNormal="85" workbookViewId="0">
      <selection activeCell="E49" sqref="E49"/>
    </sheetView>
  </sheetViews>
  <sheetFormatPr defaultColWidth="9.109375" defaultRowHeight="14.4" x14ac:dyDescent="0.3"/>
  <cols>
    <col min="1" max="1" width="19.6640625" style="213" customWidth="1"/>
    <col min="2" max="2" width="5" style="213" customWidth="1"/>
    <col min="3" max="3" width="52.5546875" style="213" customWidth="1"/>
    <col min="4" max="4" width="14.109375" style="213" bestFit="1" customWidth="1"/>
    <col min="5" max="5" width="20.6640625" style="213" customWidth="1"/>
    <col min="6" max="6" width="20.33203125" style="213" customWidth="1"/>
    <col min="7" max="10" width="18" style="213" customWidth="1"/>
    <col min="11" max="11" width="17.109375" style="213" customWidth="1"/>
    <col min="12" max="12" width="9.109375" style="213"/>
    <col min="13" max="13" width="46.5546875" style="213" bestFit="1" customWidth="1"/>
    <col min="14" max="16384" width="9.109375" style="213"/>
  </cols>
  <sheetData>
    <row r="1" spans="1:11" customFormat="1" x14ac:dyDescent="0.3">
      <c r="A1" s="1"/>
      <c r="B1" s="1"/>
    </row>
    <row r="2" spans="1:11" customFormat="1" x14ac:dyDescent="0.3">
      <c r="A2" s="1"/>
      <c r="B2" s="294"/>
    </row>
    <row r="3" spans="1:11" customFormat="1" ht="16.2" x14ac:dyDescent="0.35">
      <c r="A3" s="1"/>
      <c r="B3" s="293" t="s">
        <v>0</v>
      </c>
    </row>
    <row r="4" spans="1:11" customFormat="1" x14ac:dyDescent="0.3">
      <c r="A4" s="1"/>
      <c r="B4" s="1"/>
    </row>
    <row r="5" spans="1:11" customFormat="1" x14ac:dyDescent="0.3"/>
    <row r="6" spans="1:11" x14ac:dyDescent="0.3">
      <c r="E6" s="295">
        <v>1</v>
      </c>
      <c r="F6" s="213">
        <f t="shared" ref="F6:K6" si="0">E6+1</f>
        <v>2</v>
      </c>
      <c r="G6" s="213">
        <f t="shared" si="0"/>
        <v>3</v>
      </c>
      <c r="H6" s="213">
        <f t="shared" si="0"/>
        <v>4</v>
      </c>
      <c r="I6" s="213">
        <f t="shared" si="0"/>
        <v>5</v>
      </c>
      <c r="J6" s="213">
        <f t="shared" si="0"/>
        <v>6</v>
      </c>
      <c r="K6" s="213">
        <f t="shared" si="0"/>
        <v>7</v>
      </c>
    </row>
    <row r="7" spans="1:11" ht="18" x14ac:dyDescent="0.35">
      <c r="B7" s="209"/>
      <c r="C7" s="210" t="s">
        <v>71</v>
      </c>
      <c r="D7" s="211"/>
      <c r="E7" s="211" t="str">
        <f ca="1">"31/12/"&amp;YEAR(TODAY())</f>
        <v>31/12/2025</v>
      </c>
      <c r="F7" s="211" t="str">
        <f ca="1">"31/12/"&amp;YEAR(TODAY())+1</f>
        <v>31/12/2026</v>
      </c>
      <c r="G7" s="212">
        <f ca="1">EOMONTH(F7,12)</f>
        <v>46752</v>
      </c>
      <c r="H7" s="212">
        <f ca="1">EOMONTH(G7,12)</f>
        <v>47118</v>
      </c>
      <c r="I7" s="212">
        <f ca="1">EOMONTH(H7,12)</f>
        <v>47483</v>
      </c>
      <c r="J7" s="212">
        <f ca="1">EOMONTH(I7,12)</f>
        <v>47848</v>
      </c>
      <c r="K7" s="212">
        <f ca="1">EOMONTH(J7,12)</f>
        <v>48213</v>
      </c>
    </row>
    <row r="9" spans="1:11" ht="15.6" x14ac:dyDescent="0.3">
      <c r="A9" s="5"/>
      <c r="B9" s="5"/>
      <c r="C9" s="247" t="s">
        <v>72</v>
      </c>
      <c r="D9" s="248"/>
      <c r="E9" s="248"/>
      <c r="F9" s="248"/>
      <c r="G9" s="248"/>
      <c r="H9" s="248"/>
      <c r="I9" s="248"/>
      <c r="J9" s="248"/>
      <c r="K9" s="249"/>
    </row>
    <row r="10" spans="1:11" ht="15.6" x14ac:dyDescent="0.3">
      <c r="A10" s="5"/>
      <c r="B10" s="5"/>
      <c r="C10" s="6" t="s">
        <v>43</v>
      </c>
      <c r="D10" s="7"/>
      <c r="E10" s="296">
        <v>0.02</v>
      </c>
      <c r="F10" s="8">
        <f>E10</f>
        <v>0.02</v>
      </c>
      <c r="G10" s="8">
        <f t="shared" ref="F10:K11" si="1">F10</f>
        <v>0.02</v>
      </c>
      <c r="H10" s="8">
        <f t="shared" si="1"/>
        <v>0.02</v>
      </c>
      <c r="I10" s="8">
        <f t="shared" si="1"/>
        <v>0.02</v>
      </c>
      <c r="J10" s="8">
        <f t="shared" si="1"/>
        <v>0.02</v>
      </c>
      <c r="K10" s="9">
        <f t="shared" si="1"/>
        <v>0.02</v>
      </c>
    </row>
    <row r="11" spans="1:11" ht="15.6" x14ac:dyDescent="0.3">
      <c r="A11" s="5"/>
      <c r="B11" s="5"/>
      <c r="C11" s="10" t="s">
        <v>73</v>
      </c>
      <c r="D11" s="11"/>
      <c r="E11" s="297">
        <v>0.25</v>
      </c>
      <c r="F11" s="12">
        <f t="shared" si="1"/>
        <v>0.25</v>
      </c>
      <c r="G11" s="12">
        <f t="shared" si="1"/>
        <v>0.25</v>
      </c>
      <c r="H11" s="12">
        <f t="shared" si="1"/>
        <v>0.25</v>
      </c>
      <c r="I11" s="12">
        <f t="shared" si="1"/>
        <v>0.25</v>
      </c>
      <c r="J11" s="12">
        <f t="shared" si="1"/>
        <v>0.25</v>
      </c>
      <c r="K11" s="13">
        <f t="shared" si="1"/>
        <v>0.25</v>
      </c>
    </row>
    <row r="12" spans="1:11" x14ac:dyDescent="0.3">
      <c r="C12" s="14"/>
      <c r="E12" s="215"/>
    </row>
    <row r="13" spans="1:11" ht="18" x14ac:dyDescent="0.35">
      <c r="B13" s="209" t="s">
        <v>74</v>
      </c>
      <c r="C13" s="210" t="s">
        <v>75</v>
      </c>
      <c r="D13" s="208"/>
      <c r="E13" s="214"/>
      <c r="F13" s="214"/>
      <c r="G13" s="214"/>
      <c r="H13" s="214"/>
      <c r="I13" s="214"/>
      <c r="J13" s="214"/>
      <c r="K13" s="214"/>
    </row>
    <row r="15" spans="1:11" ht="15.6" x14ac:dyDescent="0.3">
      <c r="A15" s="5"/>
      <c r="B15" s="5"/>
      <c r="C15" s="247" t="s">
        <v>17</v>
      </c>
      <c r="D15" s="248"/>
      <c r="E15" s="248"/>
      <c r="F15" s="248"/>
      <c r="G15" s="248"/>
      <c r="H15" s="248"/>
      <c r="I15" s="248"/>
      <c r="J15" s="248"/>
      <c r="K15" s="249"/>
    </row>
    <row r="16" spans="1:11" ht="15.6" x14ac:dyDescent="0.3">
      <c r="A16" s="5"/>
      <c r="B16" s="5"/>
      <c r="C16" s="16" t="str">
        <f>"CAGR (volume) " &amp; C32</f>
        <v>CAGR (volume) (Name) Product/service 1</v>
      </c>
      <c r="D16" s="17"/>
      <c r="E16" s="298">
        <v>0.2</v>
      </c>
      <c r="F16" s="8">
        <f>E16</f>
        <v>0.2</v>
      </c>
      <c r="G16" s="8">
        <f>F16</f>
        <v>0.2</v>
      </c>
      <c r="H16" s="8">
        <f t="shared" ref="F16:K18" si="2">G16</f>
        <v>0.2</v>
      </c>
      <c r="I16" s="8">
        <f t="shared" si="2"/>
        <v>0.2</v>
      </c>
      <c r="J16" s="8">
        <f t="shared" si="2"/>
        <v>0.2</v>
      </c>
      <c r="K16" s="9">
        <f t="shared" si="2"/>
        <v>0.2</v>
      </c>
    </row>
    <row r="17" spans="1:11" ht="15.6" x14ac:dyDescent="0.3">
      <c r="A17" s="5"/>
      <c r="B17" s="5"/>
      <c r="C17" s="18" t="str">
        <f>"CAGR (volume) " &amp; C33</f>
        <v>CAGR (volume) (Name) Product/service 2</v>
      </c>
      <c r="D17" s="19"/>
      <c r="E17" s="299">
        <v>0.3</v>
      </c>
      <c r="F17" s="20">
        <f t="shared" si="2"/>
        <v>0.3</v>
      </c>
      <c r="G17" s="20">
        <f t="shared" si="2"/>
        <v>0.3</v>
      </c>
      <c r="H17" s="20">
        <f t="shared" si="2"/>
        <v>0.3</v>
      </c>
      <c r="I17" s="20">
        <f t="shared" si="2"/>
        <v>0.3</v>
      </c>
      <c r="J17" s="20">
        <f t="shared" si="2"/>
        <v>0.3</v>
      </c>
      <c r="K17" s="21">
        <f t="shared" si="2"/>
        <v>0.3</v>
      </c>
    </row>
    <row r="18" spans="1:11" ht="15.6" x14ac:dyDescent="0.3">
      <c r="A18" s="5"/>
      <c r="B18" s="5"/>
      <c r="C18" s="22" t="str">
        <f>"CAGR (volume) " &amp; C34</f>
        <v>CAGR (volume) (Name) Product/service 3</v>
      </c>
      <c r="D18" s="23"/>
      <c r="E18" s="300">
        <v>0.4</v>
      </c>
      <c r="F18" s="24">
        <f t="shared" si="2"/>
        <v>0.4</v>
      </c>
      <c r="G18" s="24">
        <f t="shared" si="2"/>
        <v>0.4</v>
      </c>
      <c r="H18" s="24">
        <f t="shared" si="2"/>
        <v>0.4</v>
      </c>
      <c r="I18" s="24">
        <f t="shared" si="2"/>
        <v>0.4</v>
      </c>
      <c r="J18" s="24">
        <f t="shared" si="2"/>
        <v>0.4</v>
      </c>
      <c r="K18" s="25">
        <f t="shared" si="2"/>
        <v>0.4</v>
      </c>
    </row>
    <row r="19" spans="1:11" ht="15.6" x14ac:dyDescent="0.3">
      <c r="A19" s="5"/>
      <c r="B19" s="5"/>
      <c r="C19" s="5"/>
      <c r="D19" s="5"/>
      <c r="E19" s="5"/>
      <c r="F19" s="5"/>
      <c r="G19" s="5"/>
      <c r="H19" s="5"/>
      <c r="I19" s="5"/>
      <c r="J19" s="5"/>
      <c r="K19" s="5"/>
    </row>
    <row r="20" spans="1:11" ht="15.6" x14ac:dyDescent="0.3">
      <c r="A20" s="5"/>
      <c r="B20" s="5"/>
      <c r="C20" s="5"/>
      <c r="D20" s="5"/>
      <c r="E20" s="5"/>
      <c r="F20" s="5"/>
      <c r="G20" s="5"/>
      <c r="H20" s="5"/>
      <c r="I20" s="5"/>
      <c r="J20" s="5"/>
      <c r="K20" s="5"/>
    </row>
    <row r="21" spans="1:11" ht="15.6" x14ac:dyDescent="0.3">
      <c r="A21" s="5"/>
      <c r="B21" s="5"/>
      <c r="C21" s="247" t="s">
        <v>76</v>
      </c>
      <c r="D21" s="248"/>
      <c r="E21" s="248"/>
      <c r="F21" s="248"/>
      <c r="G21" s="248"/>
      <c r="H21" s="248"/>
      <c r="I21" s="248"/>
      <c r="J21" s="248"/>
      <c r="K21" s="249"/>
    </row>
    <row r="22" spans="1:11" ht="15.6" x14ac:dyDescent="0.3">
      <c r="A22" s="5"/>
      <c r="B22" s="5"/>
      <c r="C22" s="26" t="str">
        <f>"Price - " &amp; C32</f>
        <v>Price - (Name) Product/service 1</v>
      </c>
      <c r="D22" s="5"/>
      <c r="E22" s="301">
        <v>100</v>
      </c>
      <c r="F22" s="27">
        <f t="shared" ref="F22:K22" si="3">E22*(1+F10)</f>
        <v>102</v>
      </c>
      <c r="G22" s="27">
        <f t="shared" si="3"/>
        <v>104.04</v>
      </c>
      <c r="H22" s="27">
        <f t="shared" si="3"/>
        <v>106.1208</v>
      </c>
      <c r="I22" s="27">
        <f t="shared" si="3"/>
        <v>108.243216</v>
      </c>
      <c r="J22" s="27">
        <f t="shared" si="3"/>
        <v>110.40808032000001</v>
      </c>
      <c r="K22" s="28">
        <f t="shared" si="3"/>
        <v>112.61624192640001</v>
      </c>
    </row>
    <row r="23" spans="1:11" ht="15.6" x14ac:dyDescent="0.3">
      <c r="A23" s="5"/>
      <c r="B23" s="5"/>
      <c r="C23" s="26" t="str">
        <f>"Price - " &amp; C33</f>
        <v>Price - (Name) Product/service 2</v>
      </c>
      <c r="D23" s="5"/>
      <c r="E23" s="301">
        <v>150</v>
      </c>
      <c r="F23" s="27">
        <f t="shared" ref="F23:K23" si="4">E23*(1+F10)</f>
        <v>153</v>
      </c>
      <c r="G23" s="27">
        <f t="shared" si="4"/>
        <v>156.06</v>
      </c>
      <c r="H23" s="27">
        <f t="shared" si="4"/>
        <v>159.18120000000002</v>
      </c>
      <c r="I23" s="27">
        <f t="shared" si="4"/>
        <v>162.36482400000003</v>
      </c>
      <c r="J23" s="27">
        <f t="shared" si="4"/>
        <v>165.61212048000004</v>
      </c>
      <c r="K23" s="28">
        <f t="shared" si="4"/>
        <v>168.92436288960005</v>
      </c>
    </row>
    <row r="24" spans="1:11" ht="15.6" x14ac:dyDescent="0.3">
      <c r="A24" s="5"/>
      <c r="B24" s="5"/>
      <c r="C24" s="29" t="str">
        <f>"Price - " &amp; C34</f>
        <v>Price - (Name) Product/service 3</v>
      </c>
      <c r="D24" s="11"/>
      <c r="E24" s="302">
        <v>200</v>
      </c>
      <c r="F24" s="30">
        <f t="shared" ref="F24:K24" si="5">E24*(1+F10)</f>
        <v>204</v>
      </c>
      <c r="G24" s="30">
        <f t="shared" si="5"/>
        <v>208.08</v>
      </c>
      <c r="H24" s="30">
        <f t="shared" si="5"/>
        <v>212.24160000000001</v>
      </c>
      <c r="I24" s="30">
        <f t="shared" si="5"/>
        <v>216.48643200000001</v>
      </c>
      <c r="J24" s="30">
        <f t="shared" si="5"/>
        <v>220.81616064000002</v>
      </c>
      <c r="K24" s="31">
        <f t="shared" si="5"/>
        <v>225.23248385280002</v>
      </c>
    </row>
    <row r="25" spans="1:11" ht="15.6" x14ac:dyDescent="0.3">
      <c r="A25" s="5"/>
      <c r="B25" s="5"/>
      <c r="C25" s="5"/>
      <c r="D25" s="5"/>
      <c r="E25" s="5"/>
      <c r="F25" s="5"/>
      <c r="G25" s="5"/>
      <c r="H25" s="5"/>
      <c r="I25" s="5"/>
      <c r="J25" s="5"/>
      <c r="K25" s="5"/>
    </row>
    <row r="26" spans="1:11" ht="15.6" x14ac:dyDescent="0.3">
      <c r="A26" s="5"/>
      <c r="B26" s="5"/>
      <c r="C26" s="247" t="s">
        <v>77</v>
      </c>
      <c r="D26" s="248"/>
      <c r="E26" s="248"/>
      <c r="F26" s="248"/>
      <c r="G26" s="248"/>
      <c r="H26" s="248"/>
      <c r="I26" s="248"/>
      <c r="J26" s="248"/>
      <c r="K26" s="249"/>
    </row>
    <row r="27" spans="1:11" ht="15.6" x14ac:dyDescent="0.3">
      <c r="A27" s="5"/>
      <c r="B27" s="5"/>
      <c r="C27" s="26" t="str">
        <f>"Volume - " &amp; C32</f>
        <v>Volume - (Name) Product/service 1</v>
      </c>
      <c r="D27" s="5"/>
      <c r="E27" s="303">
        <v>1000</v>
      </c>
      <c r="F27" s="216">
        <f t="shared" ref="F27:K29" si="6">E27*(1+F16)</f>
        <v>1200</v>
      </c>
      <c r="G27" s="216">
        <f t="shared" si="6"/>
        <v>1440</v>
      </c>
      <c r="H27" s="216">
        <f t="shared" si="6"/>
        <v>1728</v>
      </c>
      <c r="I27" s="216">
        <f t="shared" si="6"/>
        <v>2073.6</v>
      </c>
      <c r="J27" s="216">
        <f t="shared" si="6"/>
        <v>2488.3199999999997</v>
      </c>
      <c r="K27" s="217">
        <f t="shared" si="6"/>
        <v>2985.9839999999995</v>
      </c>
    </row>
    <row r="28" spans="1:11" ht="15.6" x14ac:dyDescent="0.3">
      <c r="A28" s="5"/>
      <c r="B28" s="5"/>
      <c r="C28" s="26" t="str">
        <f>"Volume - " &amp; C33</f>
        <v>Volume - (Name) Product/service 2</v>
      </c>
      <c r="D28" s="5"/>
      <c r="E28" s="303">
        <v>500</v>
      </c>
      <c r="F28" s="216">
        <f t="shared" si="6"/>
        <v>650</v>
      </c>
      <c r="G28" s="216">
        <f t="shared" si="6"/>
        <v>845</v>
      </c>
      <c r="H28" s="216">
        <f>G28*(1+H17)</f>
        <v>1098.5</v>
      </c>
      <c r="I28" s="216">
        <f t="shared" si="6"/>
        <v>1428.05</v>
      </c>
      <c r="J28" s="216">
        <f t="shared" si="6"/>
        <v>1856.4649999999999</v>
      </c>
      <c r="K28" s="217">
        <f t="shared" si="6"/>
        <v>2413.4045000000001</v>
      </c>
    </row>
    <row r="29" spans="1:11" ht="15.6" x14ac:dyDescent="0.3">
      <c r="A29" s="5"/>
      <c r="B29" s="5"/>
      <c r="C29" s="29" t="str">
        <f>"Volume - " &amp; C34</f>
        <v>Volume - (Name) Product/service 3</v>
      </c>
      <c r="D29" s="11"/>
      <c r="E29" s="304">
        <v>250</v>
      </c>
      <c r="F29" s="218">
        <f t="shared" si="6"/>
        <v>350</v>
      </c>
      <c r="G29" s="218">
        <f t="shared" si="6"/>
        <v>489.99999999999994</v>
      </c>
      <c r="H29" s="218">
        <f>G29*(1+H18)</f>
        <v>685.99999999999989</v>
      </c>
      <c r="I29" s="218">
        <f>H29*(1+I18)</f>
        <v>960.39999999999975</v>
      </c>
      <c r="J29" s="218">
        <f t="shared" si="6"/>
        <v>1344.5599999999995</v>
      </c>
      <c r="K29" s="219">
        <f t="shared" si="6"/>
        <v>1882.3839999999991</v>
      </c>
    </row>
    <row r="30" spans="1:11" ht="15.6" x14ac:dyDescent="0.3">
      <c r="A30" s="5"/>
      <c r="B30" s="5"/>
      <c r="C30" s="5"/>
      <c r="D30" s="5"/>
      <c r="E30" s="5"/>
      <c r="F30" s="5"/>
      <c r="G30" s="5"/>
      <c r="H30" s="5"/>
      <c r="I30" s="5"/>
      <c r="J30" s="5"/>
      <c r="K30" s="5"/>
    </row>
    <row r="31" spans="1:11" ht="15.6" x14ac:dyDescent="0.3">
      <c r="A31" s="5"/>
      <c r="B31" s="5"/>
      <c r="C31" s="5"/>
      <c r="D31" s="5"/>
      <c r="E31" s="5"/>
      <c r="F31" s="5"/>
      <c r="G31" s="5"/>
      <c r="H31" s="5"/>
      <c r="I31" s="5"/>
      <c r="J31" s="5"/>
      <c r="K31" s="5"/>
    </row>
    <row r="32" spans="1:11" ht="15.6" x14ac:dyDescent="0.3">
      <c r="A32" s="32"/>
      <c r="B32" s="32"/>
      <c r="C32" s="220" t="s">
        <v>78</v>
      </c>
      <c r="D32" s="33"/>
      <c r="E32" s="34">
        <f>E22*E27</f>
        <v>100000</v>
      </c>
      <c r="F32" s="35">
        <f t="shared" ref="F32:K32" si="7">F22*F27</f>
        <v>122400</v>
      </c>
      <c r="G32" s="35">
        <f t="shared" si="7"/>
        <v>149817.60000000001</v>
      </c>
      <c r="H32" s="35">
        <f>H22*H27</f>
        <v>183376.74240000002</v>
      </c>
      <c r="I32" s="35">
        <f t="shared" si="7"/>
        <v>224453.1326976</v>
      </c>
      <c r="J32" s="35">
        <f>J22*J27</f>
        <v>274730.63442186237</v>
      </c>
      <c r="K32" s="36">
        <f t="shared" si="7"/>
        <v>336270.29653235956</v>
      </c>
    </row>
    <row r="33" spans="1:11" ht="15.6" x14ac:dyDescent="0.3">
      <c r="A33" s="32"/>
      <c r="B33" s="32"/>
      <c r="C33" s="221" t="s">
        <v>79</v>
      </c>
      <c r="D33" s="37"/>
      <c r="E33" s="38">
        <f>E23*E28</f>
        <v>75000</v>
      </c>
      <c r="F33" s="38">
        <f>F23*F28</f>
        <v>99450</v>
      </c>
      <c r="G33" s="38">
        <f>G23*G28</f>
        <v>131870.70000000001</v>
      </c>
      <c r="H33" s="38">
        <f>H23*H28</f>
        <v>174860.54820000002</v>
      </c>
      <c r="I33" s="38">
        <f>I23*I28</f>
        <v>231865.08691320004</v>
      </c>
      <c r="J33" s="38">
        <f>J23*J28</f>
        <v>307453.10524690326</v>
      </c>
      <c r="K33" s="39">
        <f>K23*K28</f>
        <v>407682.81755739375</v>
      </c>
    </row>
    <row r="34" spans="1:11" ht="15.6" x14ac:dyDescent="0.3">
      <c r="A34" s="32"/>
      <c r="B34" s="32"/>
      <c r="C34" s="222" t="s">
        <v>80</v>
      </c>
      <c r="D34" s="40"/>
      <c r="E34" s="41">
        <f>E24*E29</f>
        <v>50000</v>
      </c>
      <c r="F34" s="42">
        <f>F24*F29</f>
        <v>71400</v>
      </c>
      <c r="G34" s="42">
        <f>G24*G29</f>
        <v>101959.2</v>
      </c>
      <c r="H34" s="42">
        <f>H24*H29</f>
        <v>145597.73759999999</v>
      </c>
      <c r="I34" s="42">
        <f>I24*I29</f>
        <v>207913.56929279995</v>
      </c>
      <c r="J34" s="42">
        <f>J24*J29</f>
        <v>296900.57695011829</v>
      </c>
      <c r="K34" s="43">
        <f>K24*K29</f>
        <v>423974.02388476889</v>
      </c>
    </row>
    <row r="35" spans="1:11" ht="15.6" x14ac:dyDescent="0.3">
      <c r="A35" s="32"/>
      <c r="B35" s="32"/>
      <c r="C35" s="44" t="s">
        <v>81</v>
      </c>
      <c r="D35" s="45"/>
      <c r="E35" s="46">
        <f t="shared" ref="E35:K35" si="8">SUM(E32:E34)</f>
        <v>225000</v>
      </c>
      <c r="F35" s="46">
        <f t="shared" si="8"/>
        <v>293250</v>
      </c>
      <c r="G35" s="46">
        <f t="shared" si="8"/>
        <v>383647.50000000006</v>
      </c>
      <c r="H35" s="46">
        <f t="shared" si="8"/>
        <v>503835.02820000006</v>
      </c>
      <c r="I35" s="46">
        <f t="shared" si="8"/>
        <v>664231.78890359995</v>
      </c>
      <c r="J35" s="46">
        <f t="shared" si="8"/>
        <v>879084.31661888387</v>
      </c>
      <c r="K35" s="47">
        <f t="shared" si="8"/>
        <v>1167927.1379745221</v>
      </c>
    </row>
    <row r="36" spans="1:11" x14ac:dyDescent="0.3">
      <c r="C36" s="110" t="s">
        <v>82</v>
      </c>
      <c r="E36" s="223" t="str">
        <f>IFERROR((E35/D35)-1,"N/A")</f>
        <v>N/A</v>
      </c>
      <c r="F36" s="223">
        <f t="shared" ref="F36:K36" si="9">IFERROR((F35/E35)-1,"N/A")</f>
        <v>0.30333333333333323</v>
      </c>
      <c r="G36" s="223">
        <f t="shared" si="9"/>
        <v>0.30826086956521759</v>
      </c>
      <c r="H36" s="223">
        <f t="shared" si="9"/>
        <v>0.31327593220338978</v>
      </c>
      <c r="I36" s="223">
        <f t="shared" si="9"/>
        <v>0.31835174556368773</v>
      </c>
      <c r="J36" s="223">
        <f t="shared" si="9"/>
        <v>0.32346017053764564</v>
      </c>
      <c r="K36" s="223">
        <f t="shared" si="9"/>
        <v>0.32857237456650301</v>
      </c>
    </row>
    <row r="38" spans="1:11" ht="18" x14ac:dyDescent="0.35">
      <c r="B38" s="209" t="s">
        <v>83</v>
      </c>
      <c r="C38" s="210" t="s">
        <v>84</v>
      </c>
      <c r="D38" s="208"/>
      <c r="E38" s="214"/>
      <c r="F38" s="214"/>
      <c r="G38" s="214"/>
      <c r="H38" s="214"/>
      <c r="I38" s="214"/>
      <c r="J38" s="214"/>
      <c r="K38" s="214"/>
    </row>
    <row r="40" spans="1:11" ht="15.6" x14ac:dyDescent="0.3">
      <c r="A40" s="5"/>
      <c r="B40" s="5"/>
      <c r="C40" s="247" t="s">
        <v>85</v>
      </c>
      <c r="D40" s="248"/>
      <c r="E40" s="248"/>
      <c r="F40" s="248"/>
      <c r="G40" s="248"/>
      <c r="H40" s="248"/>
      <c r="I40" s="248"/>
      <c r="J40" s="248"/>
      <c r="K40" s="249"/>
    </row>
    <row r="41" spans="1:11" ht="15.6" x14ac:dyDescent="0.3">
      <c r="A41" s="5"/>
      <c r="B41" s="5"/>
      <c r="C41" s="6" t="str">
        <f xml:space="preserve"> "Cost of goods sold adjustment based on volume - " &amp; C32</f>
        <v>Cost of goods sold adjustment based on volume - (Name) Product/service 1</v>
      </c>
      <c r="D41" s="7"/>
      <c r="E41" s="7"/>
      <c r="F41" s="305">
        <v>0.02</v>
      </c>
      <c r="G41" s="8">
        <f>F41</f>
        <v>0.02</v>
      </c>
      <c r="H41" s="8">
        <f>G41</f>
        <v>0.02</v>
      </c>
      <c r="I41" s="8">
        <f>H41</f>
        <v>0.02</v>
      </c>
      <c r="J41" s="8">
        <f>I41</f>
        <v>0.02</v>
      </c>
      <c r="K41" s="9">
        <f>J41</f>
        <v>0.02</v>
      </c>
    </row>
    <row r="42" spans="1:11" ht="15.6" x14ac:dyDescent="0.3">
      <c r="A42" s="5"/>
      <c r="B42" s="5"/>
      <c r="C42" s="48" t="str">
        <f xml:space="preserve"> "Cost of goods sold adjustment based on volume - " &amp; C33</f>
        <v>Cost of goods sold adjustment based on volume - (Name) Product/service 2</v>
      </c>
      <c r="D42" s="49"/>
      <c r="E42" s="49"/>
      <c r="F42" s="306">
        <v>0.03</v>
      </c>
      <c r="G42" s="20">
        <f t="shared" ref="G42:K43" si="10">F42</f>
        <v>0.03</v>
      </c>
      <c r="H42" s="20">
        <f t="shared" si="10"/>
        <v>0.03</v>
      </c>
      <c r="I42" s="20">
        <f t="shared" si="10"/>
        <v>0.03</v>
      </c>
      <c r="J42" s="20">
        <f t="shared" si="10"/>
        <v>0.03</v>
      </c>
      <c r="K42" s="21">
        <f t="shared" si="10"/>
        <v>0.03</v>
      </c>
    </row>
    <row r="43" spans="1:11" ht="15.6" x14ac:dyDescent="0.3">
      <c r="A43" s="5"/>
      <c r="B43" s="5"/>
      <c r="C43" s="10" t="str">
        <f xml:space="preserve"> "Cost of goods sold adjustment based on volume - " &amp; C34</f>
        <v>Cost of goods sold adjustment based on volume - (Name) Product/service 3</v>
      </c>
      <c r="D43" s="50"/>
      <c r="E43" s="50"/>
      <c r="F43" s="307">
        <v>0.04</v>
      </c>
      <c r="G43" s="24">
        <f t="shared" si="10"/>
        <v>0.04</v>
      </c>
      <c r="H43" s="24">
        <f t="shared" si="10"/>
        <v>0.04</v>
      </c>
      <c r="I43" s="24">
        <f t="shared" si="10"/>
        <v>0.04</v>
      </c>
      <c r="J43" s="24">
        <f t="shared" si="10"/>
        <v>0.04</v>
      </c>
      <c r="K43" s="25">
        <f t="shared" si="10"/>
        <v>0.04</v>
      </c>
    </row>
    <row r="44" spans="1:11" x14ac:dyDescent="0.3">
      <c r="F44" s="224"/>
      <c r="G44" s="224"/>
      <c r="H44" s="224"/>
      <c r="I44" s="224"/>
      <c r="J44" s="224"/>
      <c r="K44" s="224"/>
    </row>
    <row r="45" spans="1:11" x14ac:dyDescent="0.3">
      <c r="F45" s="224"/>
      <c r="G45" s="224"/>
      <c r="H45" s="224"/>
      <c r="I45" s="224"/>
      <c r="J45" s="224"/>
      <c r="K45" s="224"/>
    </row>
    <row r="46" spans="1:11" ht="15.6" x14ac:dyDescent="0.3">
      <c r="A46" s="5"/>
      <c r="B46" s="5"/>
      <c r="C46" s="247" t="s">
        <v>86</v>
      </c>
      <c r="D46" s="248"/>
      <c r="E46" s="248"/>
      <c r="F46" s="248"/>
      <c r="G46" s="248"/>
      <c r="H46" s="248"/>
      <c r="I46" s="248"/>
      <c r="J46" s="248"/>
      <c r="K46" s="249"/>
    </row>
    <row r="47" spans="1:11" ht="15.6" x14ac:dyDescent="0.3">
      <c r="A47" s="5"/>
      <c r="B47" s="5"/>
      <c r="C47" s="26" t="str">
        <f>"Cost of material - " &amp; C32</f>
        <v>Cost of material - (Name) Product/service 1</v>
      </c>
      <c r="D47" s="5"/>
      <c r="E47" s="308">
        <v>20</v>
      </c>
      <c r="F47" s="27">
        <f t="shared" ref="F47:K47" si="11">E47*(1-F$41)</f>
        <v>19.600000000000001</v>
      </c>
      <c r="G47" s="27">
        <f t="shared" si="11"/>
        <v>19.208000000000002</v>
      </c>
      <c r="H47" s="27">
        <f t="shared" si="11"/>
        <v>18.823840000000001</v>
      </c>
      <c r="I47" s="27">
        <f t="shared" si="11"/>
        <v>18.447363200000002</v>
      </c>
      <c r="J47" s="27">
        <f t="shared" si="11"/>
        <v>18.078415936000003</v>
      </c>
      <c r="K47" s="28">
        <f t="shared" si="11"/>
        <v>17.716847617280003</v>
      </c>
    </row>
    <row r="48" spans="1:11" x14ac:dyDescent="0.3">
      <c r="C48" s="225" t="s">
        <v>87</v>
      </c>
      <c r="D48" s="226"/>
      <c r="E48" s="227">
        <f t="shared" ref="E48:K48" si="12">E47/E22</f>
        <v>0.2</v>
      </c>
      <c r="F48" s="227">
        <f t="shared" si="12"/>
        <v>0.19215686274509805</v>
      </c>
      <c r="G48" s="227">
        <f t="shared" si="12"/>
        <v>0.18462129950019224</v>
      </c>
      <c r="H48" s="227">
        <f t="shared" si="12"/>
        <v>0.17738124853940038</v>
      </c>
      <c r="I48" s="227">
        <f t="shared" si="12"/>
        <v>0.17042512114569841</v>
      </c>
      <c r="J48" s="227">
        <f t="shared" si="12"/>
        <v>0.16374178306155338</v>
      </c>
      <c r="K48" s="228">
        <f t="shared" si="12"/>
        <v>0.15732053666698267</v>
      </c>
    </row>
    <row r="49" spans="1:13" ht="15.6" x14ac:dyDescent="0.3">
      <c r="A49" s="5"/>
      <c r="B49" s="5"/>
      <c r="C49" s="26" t="str">
        <f>"Cost of material - " &amp; C33</f>
        <v>Cost of material - (Name) Product/service 2</v>
      </c>
      <c r="D49" s="5"/>
      <c r="E49" s="308">
        <v>40</v>
      </c>
      <c r="F49" s="27">
        <f t="shared" ref="F49:K49" si="13">E49*(1-F$42)</f>
        <v>38.799999999999997</v>
      </c>
      <c r="G49" s="27">
        <f t="shared" si="13"/>
        <v>37.635999999999996</v>
      </c>
      <c r="H49" s="27">
        <f t="shared" si="13"/>
        <v>36.506919999999994</v>
      </c>
      <c r="I49" s="27">
        <f t="shared" si="13"/>
        <v>35.411712399999992</v>
      </c>
      <c r="J49" s="27">
        <f t="shared" si="13"/>
        <v>34.34936102799999</v>
      </c>
      <c r="K49" s="28">
        <f t="shared" si="13"/>
        <v>33.318880197159991</v>
      </c>
    </row>
    <row r="50" spans="1:13" x14ac:dyDescent="0.3">
      <c r="C50" s="225" t="s">
        <v>88</v>
      </c>
      <c r="E50" s="227">
        <f t="shared" ref="E50:K50" si="14">E49/E23</f>
        <v>0.26666666666666666</v>
      </c>
      <c r="F50" s="227">
        <f t="shared" si="14"/>
        <v>0.25359477124183005</v>
      </c>
      <c r="G50" s="227">
        <f t="shared" si="14"/>
        <v>0.24116365500448542</v>
      </c>
      <c r="H50" s="227">
        <f t="shared" si="14"/>
        <v>0.22934190721014786</v>
      </c>
      <c r="I50" s="227">
        <f t="shared" si="14"/>
        <v>0.21809965685670923</v>
      </c>
      <c r="J50" s="227">
        <f t="shared" si="14"/>
        <v>0.20740849720687049</v>
      </c>
      <c r="K50" s="228">
        <f t="shared" si="14"/>
        <v>0.19724141401045528</v>
      </c>
    </row>
    <row r="51" spans="1:13" ht="15.6" x14ac:dyDescent="0.3">
      <c r="A51" s="5"/>
      <c r="B51" s="5"/>
      <c r="C51" s="26" t="str">
        <f>"Cost of material - " &amp; C34</f>
        <v>Cost of material - (Name) Product/service 3</v>
      </c>
      <c r="D51" s="5"/>
      <c r="E51" s="308">
        <v>60</v>
      </c>
      <c r="F51" s="27">
        <f t="shared" ref="F51:K51" si="15">E51*(1-F$43)</f>
        <v>57.599999999999994</v>
      </c>
      <c r="G51" s="27">
        <f t="shared" si="15"/>
        <v>55.295999999999992</v>
      </c>
      <c r="H51" s="27">
        <f t="shared" si="15"/>
        <v>53.08415999999999</v>
      </c>
      <c r="I51" s="27">
        <f t="shared" si="15"/>
        <v>50.960793599999988</v>
      </c>
      <c r="J51" s="27">
        <f t="shared" si="15"/>
        <v>48.922361855999988</v>
      </c>
      <c r="K51" s="28">
        <f t="shared" si="15"/>
        <v>46.965467381759986</v>
      </c>
    </row>
    <row r="52" spans="1:13" x14ac:dyDescent="0.3">
      <c r="C52" s="225" t="s">
        <v>89</v>
      </c>
      <c r="D52" s="229"/>
      <c r="E52" s="230">
        <f t="shared" ref="E52:K52" si="16">E51/E24</f>
        <v>0.3</v>
      </c>
      <c r="F52" s="230">
        <f t="shared" si="16"/>
        <v>0.28235294117647058</v>
      </c>
      <c r="G52" s="230">
        <f t="shared" si="16"/>
        <v>0.26574394463667816</v>
      </c>
      <c r="H52" s="230">
        <f t="shared" si="16"/>
        <v>0.25011194789334412</v>
      </c>
      <c r="I52" s="230">
        <f t="shared" si="16"/>
        <v>0.23539948037020622</v>
      </c>
      <c r="J52" s="230">
        <f t="shared" si="16"/>
        <v>0.22155245211313526</v>
      </c>
      <c r="K52" s="231">
        <f t="shared" si="16"/>
        <v>0.20851995493000966</v>
      </c>
    </row>
    <row r="53" spans="1:13" x14ac:dyDescent="0.3">
      <c r="C53" s="232"/>
      <c r="E53" s="227"/>
      <c r="F53" s="227"/>
      <c r="G53" s="227"/>
      <c r="H53" s="227"/>
      <c r="I53" s="227"/>
      <c r="J53" s="227"/>
      <c r="K53" s="227"/>
    </row>
    <row r="54" spans="1:13" ht="15.6" x14ac:dyDescent="0.3">
      <c r="A54" s="5"/>
      <c r="B54" s="5"/>
      <c r="C54" s="250" t="s">
        <v>77</v>
      </c>
      <c r="D54" s="248"/>
      <c r="E54" s="248"/>
      <c r="F54" s="248"/>
      <c r="G54" s="248"/>
      <c r="H54" s="248"/>
      <c r="I54" s="248"/>
      <c r="J54" s="248"/>
      <c r="K54" s="249"/>
    </row>
    <row r="55" spans="1:13" ht="15.6" x14ac:dyDescent="0.3">
      <c r="A55" s="5"/>
      <c r="B55" s="5"/>
      <c r="C55" s="26" t="str">
        <f>C27</f>
        <v>Volume - (Name) Product/service 1</v>
      </c>
      <c r="D55" s="5"/>
      <c r="E55" s="216">
        <f t="shared" ref="E55:K57" si="17">E27</f>
        <v>1000</v>
      </c>
      <c r="F55" s="216">
        <f t="shared" si="17"/>
        <v>1200</v>
      </c>
      <c r="G55" s="216">
        <f t="shared" si="17"/>
        <v>1440</v>
      </c>
      <c r="H55" s="216">
        <f t="shared" si="17"/>
        <v>1728</v>
      </c>
      <c r="I55" s="216">
        <f t="shared" si="17"/>
        <v>2073.6</v>
      </c>
      <c r="J55" s="216">
        <f t="shared" si="17"/>
        <v>2488.3199999999997</v>
      </c>
      <c r="K55" s="217">
        <f t="shared" si="17"/>
        <v>2985.9839999999995</v>
      </c>
    </row>
    <row r="56" spans="1:13" ht="15.6" x14ac:dyDescent="0.3">
      <c r="A56" s="5"/>
      <c r="B56" s="5"/>
      <c r="C56" s="26" t="str">
        <f>C28</f>
        <v>Volume - (Name) Product/service 2</v>
      </c>
      <c r="D56" s="5"/>
      <c r="E56" s="216">
        <f t="shared" si="17"/>
        <v>500</v>
      </c>
      <c r="F56" s="216">
        <f t="shared" si="17"/>
        <v>650</v>
      </c>
      <c r="G56" s="216">
        <f t="shared" si="17"/>
        <v>845</v>
      </c>
      <c r="H56" s="216">
        <f t="shared" si="17"/>
        <v>1098.5</v>
      </c>
      <c r="I56" s="216">
        <f t="shared" si="17"/>
        <v>1428.05</v>
      </c>
      <c r="J56" s="216">
        <f t="shared" si="17"/>
        <v>1856.4649999999999</v>
      </c>
      <c r="K56" s="217">
        <f t="shared" si="17"/>
        <v>2413.4045000000001</v>
      </c>
    </row>
    <row r="57" spans="1:13" ht="15.6" x14ac:dyDescent="0.3">
      <c r="A57" s="5"/>
      <c r="B57" s="5"/>
      <c r="C57" s="29" t="str">
        <f>C29</f>
        <v>Volume - (Name) Product/service 3</v>
      </c>
      <c r="D57" s="11"/>
      <c r="E57" s="218">
        <f t="shared" si="17"/>
        <v>250</v>
      </c>
      <c r="F57" s="218">
        <f t="shared" si="17"/>
        <v>350</v>
      </c>
      <c r="G57" s="218">
        <f t="shared" si="17"/>
        <v>489.99999999999994</v>
      </c>
      <c r="H57" s="218">
        <f t="shared" si="17"/>
        <v>685.99999999999989</v>
      </c>
      <c r="I57" s="218">
        <f t="shared" si="17"/>
        <v>960.39999999999975</v>
      </c>
      <c r="J57" s="218">
        <f t="shared" si="17"/>
        <v>1344.5599999999995</v>
      </c>
      <c r="K57" s="219">
        <f t="shared" si="17"/>
        <v>1882.3839999999991</v>
      </c>
    </row>
    <row r="59" spans="1:13" ht="15.6" x14ac:dyDescent="0.3">
      <c r="A59" s="5"/>
      <c r="B59" s="5"/>
      <c r="C59" s="5"/>
      <c r="D59" s="5"/>
      <c r="E59" s="5"/>
      <c r="F59" s="5"/>
      <c r="G59" s="5"/>
      <c r="H59" s="5"/>
      <c r="I59" s="5"/>
      <c r="J59" s="5"/>
      <c r="K59" s="5"/>
    </row>
    <row r="60" spans="1:13" ht="15.6" x14ac:dyDescent="0.3">
      <c r="A60" s="32"/>
      <c r="B60" s="32"/>
      <c r="C60" s="220" t="str">
        <f>C32</f>
        <v>(Name) Product/service 1</v>
      </c>
      <c r="D60" s="33"/>
      <c r="E60" s="34">
        <f t="shared" ref="E60:K60" si="18">E47*E55</f>
        <v>20000</v>
      </c>
      <c r="F60" s="35">
        <f t="shared" si="18"/>
        <v>23520</v>
      </c>
      <c r="G60" s="35">
        <f t="shared" si="18"/>
        <v>27659.520000000004</v>
      </c>
      <c r="H60" s="35">
        <f t="shared" si="18"/>
        <v>32527.595520000003</v>
      </c>
      <c r="I60" s="35">
        <f t="shared" si="18"/>
        <v>38252.452331519999</v>
      </c>
      <c r="J60" s="35">
        <f t="shared" si="18"/>
        <v>44984.88394186752</v>
      </c>
      <c r="K60" s="36">
        <f t="shared" si="18"/>
        <v>52902.2235156362</v>
      </c>
    </row>
    <row r="61" spans="1:13" ht="15.6" x14ac:dyDescent="0.3">
      <c r="A61" s="32"/>
      <c r="B61" s="32"/>
      <c r="C61" s="221" t="str">
        <f>C33</f>
        <v>(Name) Product/service 2</v>
      </c>
      <c r="D61" s="37"/>
      <c r="E61" s="38">
        <f t="shared" ref="E61:K61" si="19">E49*E56</f>
        <v>20000</v>
      </c>
      <c r="F61" s="38">
        <f t="shared" si="19"/>
        <v>25219.999999999996</v>
      </c>
      <c r="G61" s="38">
        <f t="shared" si="19"/>
        <v>31802.419999999995</v>
      </c>
      <c r="H61" s="38">
        <f t="shared" si="19"/>
        <v>40102.851619999994</v>
      </c>
      <c r="I61" s="38">
        <f t="shared" si="19"/>
        <v>50569.695892819989</v>
      </c>
      <c r="J61" s="38">
        <f t="shared" si="19"/>
        <v>63768.386520845997</v>
      </c>
      <c r="K61" s="39">
        <f t="shared" si="19"/>
        <v>80411.93540278681</v>
      </c>
    </row>
    <row r="62" spans="1:13" ht="15.6" x14ac:dyDescent="0.3">
      <c r="A62" s="32"/>
      <c r="B62" s="32"/>
      <c r="C62" s="222" t="str">
        <f>C34</f>
        <v>(Name) Product/service 3</v>
      </c>
      <c r="D62" s="40"/>
      <c r="E62" s="41">
        <f t="shared" ref="E62:K62" si="20">E51*E57</f>
        <v>15000</v>
      </c>
      <c r="F62" s="42">
        <f t="shared" si="20"/>
        <v>20159.999999999996</v>
      </c>
      <c r="G62" s="42">
        <f t="shared" si="20"/>
        <v>27095.039999999994</v>
      </c>
      <c r="H62" s="42">
        <f t="shared" si="20"/>
        <v>36415.733759999988</v>
      </c>
      <c r="I62" s="42">
        <f t="shared" si="20"/>
        <v>48942.746173439977</v>
      </c>
      <c r="J62" s="42">
        <f t="shared" si="20"/>
        <v>65779.050857103313</v>
      </c>
      <c r="K62" s="43">
        <f t="shared" si="20"/>
        <v>88407.044351946854</v>
      </c>
    </row>
    <row r="63" spans="1:13" ht="15.6" x14ac:dyDescent="0.3">
      <c r="A63" s="32"/>
      <c r="B63" s="32"/>
      <c r="C63" s="44" t="s">
        <v>90</v>
      </c>
      <c r="D63" s="45"/>
      <c r="E63" s="46">
        <f t="shared" ref="E63:K63" si="21">SUM(E60:E62)</f>
        <v>55000</v>
      </c>
      <c r="F63" s="46">
        <f t="shared" si="21"/>
        <v>68900</v>
      </c>
      <c r="G63" s="46">
        <f t="shared" si="21"/>
        <v>86556.98</v>
      </c>
      <c r="H63" s="46">
        <f t="shared" si="21"/>
        <v>109046.18089999999</v>
      </c>
      <c r="I63" s="46">
        <f t="shared" si="21"/>
        <v>137764.89439777998</v>
      </c>
      <c r="J63" s="46">
        <f t="shared" si="21"/>
        <v>174532.32131981684</v>
      </c>
      <c r="K63" s="47">
        <f t="shared" si="21"/>
        <v>221721.20327036985</v>
      </c>
      <c r="M63" s="213" t="s">
        <v>91</v>
      </c>
    </row>
    <row r="64" spans="1:13" x14ac:dyDescent="0.3">
      <c r="C64" s="110" t="s">
        <v>92</v>
      </c>
      <c r="E64" s="233">
        <f t="shared" ref="E64:K64" si="22">E63/E35</f>
        <v>0.24444444444444444</v>
      </c>
      <c r="F64" s="233">
        <f t="shared" si="22"/>
        <v>0.2349531116794544</v>
      </c>
      <c r="G64" s="233">
        <f t="shared" si="22"/>
        <v>0.22561591043861873</v>
      </c>
      <c r="H64" s="233">
        <f t="shared" si="22"/>
        <v>0.21643231374677965</v>
      </c>
      <c r="I64" s="233">
        <f t="shared" si="22"/>
        <v>0.20740484978169843</v>
      </c>
      <c r="J64" s="233">
        <f t="shared" si="22"/>
        <v>0.19853877269827711</v>
      </c>
      <c r="K64" s="233">
        <f t="shared" si="22"/>
        <v>0.18984163999724324</v>
      </c>
    </row>
    <row r="66" spans="1:13" ht="18" x14ac:dyDescent="0.35">
      <c r="B66" s="209" t="s">
        <v>93</v>
      </c>
      <c r="C66" s="210" t="s">
        <v>94</v>
      </c>
      <c r="D66" s="208"/>
      <c r="E66" s="214"/>
      <c r="F66" s="214"/>
      <c r="G66" s="214"/>
      <c r="H66" s="214"/>
      <c r="I66" s="214"/>
      <c r="J66" s="214"/>
      <c r="K66" s="214"/>
    </row>
    <row r="68" spans="1:13" ht="15.6" x14ac:dyDescent="0.3">
      <c r="A68" s="5"/>
      <c r="B68" s="5"/>
      <c r="C68" s="247" t="s">
        <v>95</v>
      </c>
      <c r="D68" s="251"/>
      <c r="E68" s="252">
        <f t="shared" ref="E68:K68" si="23">SUM(E69:E71)</f>
        <v>45000</v>
      </c>
      <c r="F68" s="253">
        <f t="shared" si="23"/>
        <v>87000</v>
      </c>
      <c r="G68" s="253">
        <f t="shared" si="23"/>
        <v>127000</v>
      </c>
      <c r="H68" s="253">
        <f t="shared" si="23"/>
        <v>133000</v>
      </c>
      <c r="I68" s="253">
        <f t="shared" si="23"/>
        <v>142000</v>
      </c>
      <c r="J68" s="253">
        <f t="shared" si="23"/>
        <v>143000</v>
      </c>
      <c r="K68" s="253">
        <f t="shared" si="23"/>
        <v>144000</v>
      </c>
      <c r="M68" s="213" t="s">
        <v>91</v>
      </c>
    </row>
    <row r="69" spans="1:13" ht="15.6" x14ac:dyDescent="0.3">
      <c r="A69" s="5"/>
      <c r="B69" s="5"/>
      <c r="C69" s="234" t="s">
        <v>96</v>
      </c>
      <c r="D69" s="37"/>
      <c r="E69" s="309">
        <v>45000</v>
      </c>
      <c r="F69" s="309">
        <v>47000</v>
      </c>
      <c r="G69" s="309">
        <v>50000</v>
      </c>
      <c r="H69" s="309">
        <v>55000</v>
      </c>
      <c r="I69" s="309">
        <v>60000</v>
      </c>
      <c r="J69" s="309">
        <v>60000</v>
      </c>
      <c r="K69" s="309">
        <v>60000</v>
      </c>
    </row>
    <row r="70" spans="1:13" ht="15.6" x14ac:dyDescent="0.3">
      <c r="A70" s="5"/>
      <c r="B70" s="5"/>
      <c r="C70" s="234" t="s">
        <v>97</v>
      </c>
      <c r="D70" s="37"/>
      <c r="E70" s="309">
        <v>0</v>
      </c>
      <c r="F70" s="309">
        <v>40000</v>
      </c>
      <c r="G70" s="309">
        <v>42000</v>
      </c>
      <c r="H70" s="309">
        <v>42000</v>
      </c>
      <c r="I70" s="309">
        <v>45000</v>
      </c>
      <c r="J70" s="309">
        <v>45000</v>
      </c>
      <c r="K70" s="309">
        <v>45000</v>
      </c>
    </row>
    <row r="71" spans="1:13" ht="15.6" x14ac:dyDescent="0.3">
      <c r="A71" s="5"/>
      <c r="B71" s="5"/>
      <c r="C71" s="235" t="s">
        <v>98</v>
      </c>
      <c r="D71" s="40"/>
      <c r="E71" s="310">
        <v>0</v>
      </c>
      <c r="F71" s="310">
        <v>0</v>
      </c>
      <c r="G71" s="310">
        <v>35000</v>
      </c>
      <c r="H71" s="310">
        <v>36000</v>
      </c>
      <c r="I71" s="310">
        <v>37000</v>
      </c>
      <c r="J71" s="310">
        <v>38000</v>
      </c>
      <c r="K71" s="310">
        <v>39000</v>
      </c>
    </row>
    <row r="72" spans="1:13" ht="9.9" customHeight="1" x14ac:dyDescent="0.3">
      <c r="A72" s="5"/>
      <c r="B72" s="5"/>
      <c r="C72" s="5"/>
      <c r="D72" s="5"/>
      <c r="E72" s="5"/>
      <c r="F72" s="5"/>
      <c r="G72" s="5"/>
      <c r="H72" s="5"/>
      <c r="I72" s="5"/>
      <c r="J72" s="5"/>
      <c r="K72" s="5"/>
    </row>
    <row r="73" spans="1:13" ht="15.6" x14ac:dyDescent="0.3">
      <c r="A73" s="5"/>
      <c r="B73" s="5"/>
      <c r="C73" s="247" t="s">
        <v>99</v>
      </c>
      <c r="D73" s="248"/>
      <c r="E73" s="311">
        <v>20000</v>
      </c>
      <c r="F73" s="311">
        <v>22000</v>
      </c>
      <c r="G73" s="311">
        <v>24000</v>
      </c>
      <c r="H73" s="311">
        <v>26000</v>
      </c>
      <c r="I73" s="311">
        <v>28000</v>
      </c>
      <c r="J73" s="311">
        <v>30000</v>
      </c>
      <c r="K73" s="311">
        <v>32000</v>
      </c>
    </row>
    <row r="74" spans="1:13" ht="9.9" customHeight="1" x14ac:dyDescent="0.3">
      <c r="A74" s="5"/>
      <c r="B74" s="5"/>
      <c r="C74" s="5"/>
      <c r="D74" s="5"/>
      <c r="E74" s="5"/>
      <c r="F74" s="5"/>
      <c r="G74" s="5"/>
      <c r="H74" s="5"/>
      <c r="I74" s="5"/>
      <c r="J74" s="5"/>
      <c r="K74" s="5"/>
    </row>
    <row r="75" spans="1:13" ht="15.6" x14ac:dyDescent="0.3">
      <c r="A75" s="5"/>
      <c r="B75" s="5"/>
      <c r="C75" s="247" t="s">
        <v>100</v>
      </c>
      <c r="D75" s="248"/>
      <c r="E75" s="312">
        <v>0.25</v>
      </c>
      <c r="F75" s="312">
        <v>0.15</v>
      </c>
      <c r="G75" s="312">
        <v>0.15</v>
      </c>
      <c r="H75" s="312">
        <v>0.1</v>
      </c>
      <c r="I75" s="312">
        <v>0.1</v>
      </c>
      <c r="J75" s="312">
        <v>0.05</v>
      </c>
      <c r="K75" s="312">
        <v>0.05</v>
      </c>
    </row>
    <row r="76" spans="1:13" ht="9.9" customHeight="1" x14ac:dyDescent="0.3">
      <c r="A76" s="5" t="s">
        <v>91</v>
      </c>
      <c r="B76" s="5"/>
      <c r="C76" s="5"/>
      <c r="D76" s="5"/>
      <c r="E76" s="5"/>
      <c r="F76" s="5"/>
      <c r="G76" s="5"/>
      <c r="H76" s="5"/>
      <c r="I76" s="5"/>
      <c r="J76" s="5"/>
      <c r="K76" s="5"/>
    </row>
    <row r="77" spans="1:13" ht="15.6" x14ac:dyDescent="0.3">
      <c r="A77" s="32"/>
      <c r="B77" s="32"/>
      <c r="C77" s="247" t="s">
        <v>57</v>
      </c>
      <c r="D77" s="251"/>
      <c r="E77" s="252">
        <f t="shared" ref="E77:K77" si="24">SUM(E78:E80)</f>
        <v>1750</v>
      </c>
      <c r="F77" s="253">
        <f t="shared" si="24"/>
        <v>1750</v>
      </c>
      <c r="G77" s="253">
        <f t="shared" si="24"/>
        <v>1750</v>
      </c>
      <c r="H77" s="253">
        <f t="shared" si="24"/>
        <v>1750</v>
      </c>
      <c r="I77" s="253">
        <f t="shared" si="24"/>
        <v>1750</v>
      </c>
      <c r="J77" s="253">
        <f t="shared" si="24"/>
        <v>1750</v>
      </c>
      <c r="K77" s="253">
        <f t="shared" si="24"/>
        <v>1750</v>
      </c>
    </row>
    <row r="78" spans="1:13" ht="15.6" x14ac:dyDescent="0.3">
      <c r="A78" s="5"/>
      <c r="B78" s="5"/>
      <c r="C78" s="234" t="s">
        <v>101</v>
      </c>
      <c r="D78" s="37"/>
      <c r="E78" s="309">
        <v>1000</v>
      </c>
      <c r="F78" s="309">
        <v>1000</v>
      </c>
      <c r="G78" s="309">
        <v>1000</v>
      </c>
      <c r="H78" s="309">
        <v>1000</v>
      </c>
      <c r="I78" s="309">
        <v>1000</v>
      </c>
      <c r="J78" s="309">
        <v>1000</v>
      </c>
      <c r="K78" s="309">
        <v>1000</v>
      </c>
    </row>
    <row r="79" spans="1:13" ht="15.6" x14ac:dyDescent="0.3">
      <c r="A79" s="5"/>
      <c r="B79" s="5"/>
      <c r="C79" s="234" t="s">
        <v>102</v>
      </c>
      <c r="D79" s="37"/>
      <c r="E79" s="309">
        <v>500</v>
      </c>
      <c r="F79" s="309">
        <v>500</v>
      </c>
      <c r="G79" s="309">
        <v>500</v>
      </c>
      <c r="H79" s="309">
        <v>500</v>
      </c>
      <c r="I79" s="309">
        <v>500</v>
      </c>
      <c r="J79" s="309">
        <v>500</v>
      </c>
      <c r="K79" s="309">
        <v>500</v>
      </c>
    </row>
    <row r="80" spans="1:13" ht="15.6" x14ac:dyDescent="0.3">
      <c r="A80" s="5"/>
      <c r="B80" s="5"/>
      <c r="C80" s="235" t="s">
        <v>103</v>
      </c>
      <c r="D80" s="40"/>
      <c r="E80" s="310">
        <v>250</v>
      </c>
      <c r="F80" s="310">
        <v>250</v>
      </c>
      <c r="G80" s="310">
        <v>250</v>
      </c>
      <c r="H80" s="310">
        <v>250</v>
      </c>
      <c r="I80" s="310">
        <v>250</v>
      </c>
      <c r="J80" s="310">
        <v>250</v>
      </c>
      <c r="K80" s="310">
        <v>250</v>
      </c>
    </row>
    <row r="81" spans="1:13" ht="15.6" x14ac:dyDescent="0.3">
      <c r="A81" s="5"/>
      <c r="B81" s="5"/>
      <c r="C81" s="32"/>
      <c r="D81" s="5"/>
      <c r="E81" s="51"/>
      <c r="F81" s="51"/>
      <c r="G81" s="51"/>
      <c r="H81" s="51"/>
      <c r="I81" s="51"/>
      <c r="J81" s="51"/>
      <c r="K81" s="51"/>
    </row>
    <row r="82" spans="1:13" ht="15.6" x14ac:dyDescent="0.3">
      <c r="A82" s="32"/>
      <c r="B82" s="32"/>
      <c r="C82" s="220" t="s">
        <v>104</v>
      </c>
      <c r="D82" s="33"/>
      <c r="E82" s="220">
        <f>E68</f>
        <v>45000</v>
      </c>
      <c r="F82" s="34">
        <f t="shared" ref="F82:K82" si="25">F68</f>
        <v>87000</v>
      </c>
      <c r="G82" s="34">
        <f t="shared" si="25"/>
        <v>127000</v>
      </c>
      <c r="H82" s="34">
        <f t="shared" si="25"/>
        <v>133000</v>
      </c>
      <c r="I82" s="34">
        <f t="shared" si="25"/>
        <v>142000</v>
      </c>
      <c r="J82" s="34">
        <f t="shared" si="25"/>
        <v>143000</v>
      </c>
      <c r="K82" s="236">
        <f t="shared" si="25"/>
        <v>144000</v>
      </c>
    </row>
    <row r="83" spans="1:13" ht="15.6" x14ac:dyDescent="0.3">
      <c r="A83" s="32"/>
      <c r="B83" s="32"/>
      <c r="C83" s="221" t="s">
        <v>105</v>
      </c>
      <c r="D83" s="37"/>
      <c r="E83" s="237">
        <f t="shared" ref="E83:K83" si="26">E73</f>
        <v>20000</v>
      </c>
      <c r="F83" s="38">
        <f t="shared" si="26"/>
        <v>22000</v>
      </c>
      <c r="G83" s="38">
        <f t="shared" si="26"/>
        <v>24000</v>
      </c>
      <c r="H83" s="38">
        <f t="shared" si="26"/>
        <v>26000</v>
      </c>
      <c r="I83" s="38">
        <f t="shared" si="26"/>
        <v>28000</v>
      </c>
      <c r="J83" s="38">
        <f t="shared" si="26"/>
        <v>30000</v>
      </c>
      <c r="K83" s="39">
        <f t="shared" si="26"/>
        <v>32000</v>
      </c>
    </row>
    <row r="84" spans="1:13" ht="15.6" x14ac:dyDescent="0.3">
      <c r="A84" s="32"/>
      <c r="B84" s="32"/>
      <c r="C84" s="222" t="s">
        <v>106</v>
      </c>
      <c r="D84" s="40"/>
      <c r="E84" s="222">
        <f t="shared" ref="E84:K84" si="27">E75*E$35</f>
        <v>56250</v>
      </c>
      <c r="F84" s="42">
        <f t="shared" si="27"/>
        <v>43987.5</v>
      </c>
      <c r="G84" s="42">
        <f t="shared" si="27"/>
        <v>57547.125000000007</v>
      </c>
      <c r="H84" s="42">
        <f t="shared" si="27"/>
        <v>50383.502820000009</v>
      </c>
      <c r="I84" s="42">
        <f t="shared" si="27"/>
        <v>66423.178890359995</v>
      </c>
      <c r="J84" s="42">
        <f t="shared" si="27"/>
        <v>43954.215830944195</v>
      </c>
      <c r="K84" s="43">
        <f t="shared" si="27"/>
        <v>58396.35689872611</v>
      </c>
    </row>
    <row r="85" spans="1:13" ht="15.6" x14ac:dyDescent="0.3">
      <c r="A85" s="32"/>
      <c r="B85" s="32"/>
      <c r="C85" s="44" t="s">
        <v>107</v>
      </c>
      <c r="D85" s="45"/>
      <c r="E85" s="46">
        <f t="shared" ref="E85:K85" si="28">SUM(E82:E84)</f>
        <v>121250</v>
      </c>
      <c r="F85" s="46">
        <f t="shared" si="28"/>
        <v>152987.5</v>
      </c>
      <c r="G85" s="46">
        <f t="shared" si="28"/>
        <v>208547.125</v>
      </c>
      <c r="H85" s="46">
        <f t="shared" si="28"/>
        <v>209383.50281999999</v>
      </c>
      <c r="I85" s="46">
        <f t="shared" si="28"/>
        <v>236423.17889036</v>
      </c>
      <c r="J85" s="46">
        <f t="shared" si="28"/>
        <v>216954.21583094419</v>
      </c>
      <c r="K85" s="47">
        <f t="shared" si="28"/>
        <v>234396.35689872611</v>
      </c>
    </row>
    <row r="86" spans="1:13" x14ac:dyDescent="0.3">
      <c r="C86" s="233" t="s">
        <v>92</v>
      </c>
      <c r="D86" s="233"/>
      <c r="E86" s="233">
        <f t="shared" ref="E86:K86" si="29">E85/E35</f>
        <v>0.53888888888888886</v>
      </c>
      <c r="F86" s="233">
        <f t="shared" si="29"/>
        <v>0.52169650468883211</v>
      </c>
      <c r="G86" s="233">
        <f t="shared" si="29"/>
        <v>0.54359047041880881</v>
      </c>
      <c r="H86" s="233">
        <f t="shared" si="29"/>
        <v>0.41557948753194679</v>
      </c>
      <c r="I86" s="233">
        <f t="shared" si="29"/>
        <v>0.35593475476475894</v>
      </c>
      <c r="J86" s="233">
        <f t="shared" si="29"/>
        <v>0.24679568470222407</v>
      </c>
      <c r="K86" s="233">
        <f t="shared" si="29"/>
        <v>0.20069433210125423</v>
      </c>
    </row>
    <row r="88" spans="1:13" ht="15.6" x14ac:dyDescent="0.3">
      <c r="A88" s="5"/>
      <c r="B88" s="5"/>
      <c r="C88" s="52" t="s">
        <v>108</v>
      </c>
      <c r="D88" s="53"/>
      <c r="E88" s="46">
        <f>E77</f>
        <v>1750</v>
      </c>
      <c r="F88" s="46">
        <f t="shared" ref="F88:K88" si="30">F77</f>
        <v>1750</v>
      </c>
      <c r="G88" s="46">
        <f t="shared" si="30"/>
        <v>1750</v>
      </c>
      <c r="H88" s="46">
        <f t="shared" si="30"/>
        <v>1750</v>
      </c>
      <c r="I88" s="46">
        <f t="shared" si="30"/>
        <v>1750</v>
      </c>
      <c r="J88" s="46">
        <f t="shared" si="30"/>
        <v>1750</v>
      </c>
      <c r="K88" s="47">
        <f t="shared" si="30"/>
        <v>1750</v>
      </c>
    </row>
    <row r="89" spans="1:13" x14ac:dyDescent="0.3">
      <c r="C89" s="233" t="s">
        <v>92</v>
      </c>
      <c r="D89" s="233"/>
      <c r="E89" s="233">
        <f t="shared" ref="E89:K89" si="31">E88/E35</f>
        <v>7.7777777777777776E-3</v>
      </c>
      <c r="F89" s="233">
        <f t="shared" si="31"/>
        <v>5.9676044330775786E-3</v>
      </c>
      <c r="G89" s="233">
        <f t="shared" si="31"/>
        <v>4.561478961807388E-3</v>
      </c>
      <c r="H89" s="233">
        <f t="shared" si="31"/>
        <v>3.4733591395025593E-3</v>
      </c>
      <c r="I89" s="233">
        <f t="shared" si="31"/>
        <v>2.6346224755195778E-3</v>
      </c>
      <c r="J89" s="233">
        <f t="shared" si="31"/>
        <v>1.9907077932305906E-3</v>
      </c>
      <c r="K89" s="233">
        <f t="shared" si="31"/>
        <v>1.4983811430522437E-3</v>
      </c>
    </row>
    <row r="91" spans="1:13" ht="15.6" x14ac:dyDescent="0.3">
      <c r="A91" s="5"/>
      <c r="B91" s="5"/>
      <c r="C91" s="52" t="s">
        <v>109</v>
      </c>
      <c r="D91" s="54"/>
      <c r="E91" s="46">
        <f t="shared" ref="E91:K91" si="32">E35-E63-E85-E88</f>
        <v>47000</v>
      </c>
      <c r="F91" s="46">
        <f t="shared" si="32"/>
        <v>69612.5</v>
      </c>
      <c r="G91" s="46">
        <f t="shared" si="32"/>
        <v>86793.395000000077</v>
      </c>
      <c r="H91" s="46">
        <f t="shared" si="32"/>
        <v>183655.34448000009</v>
      </c>
      <c r="I91" s="46">
        <f t="shared" si="32"/>
        <v>288293.71561546001</v>
      </c>
      <c r="J91" s="46">
        <f t="shared" si="32"/>
        <v>485847.77946812281</v>
      </c>
      <c r="K91" s="47">
        <f t="shared" si="32"/>
        <v>710059.57780542609</v>
      </c>
    </row>
    <row r="92" spans="1:13" x14ac:dyDescent="0.3">
      <c r="C92" s="110" t="s">
        <v>92</v>
      </c>
      <c r="E92" s="233">
        <f t="shared" ref="E92:K92" si="33">E91/E35</f>
        <v>0.2088888888888889</v>
      </c>
      <c r="F92" s="233">
        <f t="shared" si="33"/>
        <v>0.23738277919863598</v>
      </c>
      <c r="G92" s="233">
        <f t="shared" si="33"/>
        <v>0.22623214018076507</v>
      </c>
      <c r="H92" s="233">
        <f t="shared" si="33"/>
        <v>0.364514839581771</v>
      </c>
      <c r="I92" s="233">
        <f t="shared" si="33"/>
        <v>0.43402577297802308</v>
      </c>
      <c r="J92" s="233">
        <f t="shared" si="33"/>
        <v>0.55267483480626822</v>
      </c>
      <c r="K92" s="233">
        <f t="shared" si="33"/>
        <v>0.60796564675845022</v>
      </c>
    </row>
    <row r="93" spans="1:13" x14ac:dyDescent="0.3">
      <c r="C93" s="110"/>
      <c r="E93" s="233"/>
      <c r="F93" s="233"/>
      <c r="G93" s="233"/>
      <c r="H93" s="233"/>
      <c r="I93" s="233"/>
      <c r="J93" s="233"/>
      <c r="K93" s="233"/>
    </row>
    <row r="94" spans="1:13" ht="18" x14ac:dyDescent="0.35">
      <c r="B94" s="209" t="s">
        <v>110</v>
      </c>
      <c r="C94" s="210" t="s">
        <v>111</v>
      </c>
      <c r="D94" s="208"/>
      <c r="E94" s="214"/>
      <c r="F94" s="214"/>
      <c r="G94" s="214"/>
      <c r="H94" s="214"/>
      <c r="I94" s="214"/>
      <c r="J94" s="214"/>
      <c r="K94" s="214"/>
    </row>
    <row r="95" spans="1:13" x14ac:dyDescent="0.3">
      <c r="C95" s="110"/>
      <c r="E95" s="233"/>
      <c r="F95" s="233"/>
      <c r="G95" s="233"/>
      <c r="H95" s="233"/>
      <c r="I95" s="233"/>
      <c r="J95" s="233"/>
      <c r="K95" s="233"/>
      <c r="M95" s="213" t="s">
        <v>91</v>
      </c>
    </row>
    <row r="96" spans="1:13" ht="15.6" x14ac:dyDescent="0.3">
      <c r="C96" s="238" t="s">
        <v>112</v>
      </c>
      <c r="D96" s="239"/>
      <c r="E96" s="313">
        <v>250000</v>
      </c>
      <c r="F96" s="313">
        <v>250000</v>
      </c>
      <c r="G96" s="313">
        <v>0</v>
      </c>
      <c r="H96" s="313">
        <v>0</v>
      </c>
      <c r="I96" s="313">
        <v>250000</v>
      </c>
      <c r="J96" s="313">
        <v>0</v>
      </c>
      <c r="K96" s="314">
        <v>0</v>
      </c>
      <c r="M96" s="213" t="s">
        <v>91</v>
      </c>
    </row>
    <row r="97" spans="1:13" ht="15.6" x14ac:dyDescent="0.3">
      <c r="A97" s="5"/>
      <c r="B97" s="5"/>
      <c r="C97" s="240" t="s">
        <v>113</v>
      </c>
      <c r="D97" s="241"/>
      <c r="E97" s="315">
        <v>5000</v>
      </c>
      <c r="F97" s="315">
        <v>10000</v>
      </c>
      <c r="G97" s="315">
        <v>15000</v>
      </c>
      <c r="H97" s="315">
        <v>20000</v>
      </c>
      <c r="I97" s="315">
        <v>25000</v>
      </c>
      <c r="J97" s="315">
        <v>30000</v>
      </c>
      <c r="K97" s="316">
        <v>35000</v>
      </c>
    </row>
    <row r="98" spans="1:13" ht="15.6" x14ac:dyDescent="0.3">
      <c r="A98" s="5"/>
      <c r="B98" s="5"/>
      <c r="C98" s="44" t="s">
        <v>114</v>
      </c>
      <c r="D98" s="45"/>
      <c r="E98" s="242">
        <f t="shared" ref="E98:K98" si="34">E97+E96</f>
        <v>255000</v>
      </c>
      <c r="F98" s="242">
        <f t="shared" si="34"/>
        <v>260000</v>
      </c>
      <c r="G98" s="242">
        <f t="shared" si="34"/>
        <v>15000</v>
      </c>
      <c r="H98" s="242">
        <f t="shared" si="34"/>
        <v>20000</v>
      </c>
      <c r="I98" s="242">
        <f t="shared" si="34"/>
        <v>275000</v>
      </c>
      <c r="J98" s="242">
        <f t="shared" si="34"/>
        <v>30000</v>
      </c>
      <c r="K98" s="243">
        <f t="shared" si="34"/>
        <v>35000</v>
      </c>
      <c r="M98" s="213" t="s">
        <v>91</v>
      </c>
    </row>
    <row r="99" spans="1:13" x14ac:dyDescent="0.3">
      <c r="C99" s="110" t="s">
        <v>92</v>
      </c>
      <c r="E99" s="233">
        <f t="shared" ref="E99:K99" si="35">E98/E$35</f>
        <v>1.1333333333333333</v>
      </c>
      <c r="F99" s="233">
        <f t="shared" si="35"/>
        <v>0.88661551577152597</v>
      </c>
      <c r="G99" s="233">
        <f t="shared" si="35"/>
        <v>3.9098391101206179E-2</v>
      </c>
      <c r="H99" s="233">
        <f t="shared" si="35"/>
        <v>3.9695533022886392E-2</v>
      </c>
      <c r="I99" s="233">
        <f t="shared" si="35"/>
        <v>0.41401210329593363</v>
      </c>
      <c r="J99" s="233">
        <f t="shared" si="35"/>
        <v>3.4126419312524407E-2</v>
      </c>
      <c r="K99" s="233">
        <f t="shared" si="35"/>
        <v>2.9967622861044874E-2</v>
      </c>
    </row>
    <row r="100" spans="1:13" x14ac:dyDescent="0.3">
      <c r="C100" s="110"/>
      <c r="E100" s="233"/>
      <c r="F100" s="233"/>
      <c r="G100" s="233"/>
      <c r="H100" s="233"/>
      <c r="I100" s="233"/>
      <c r="J100" s="233"/>
      <c r="K100" s="233"/>
    </row>
    <row r="101" spans="1:13" ht="15.6" x14ac:dyDescent="0.3">
      <c r="A101" s="5"/>
      <c r="B101" s="5"/>
      <c r="C101" s="59" t="s">
        <v>115</v>
      </c>
      <c r="D101" s="60"/>
      <c r="E101" s="317">
        <v>0</v>
      </c>
      <c r="F101" s="317">
        <v>0</v>
      </c>
      <c r="G101" s="317">
        <v>0</v>
      </c>
      <c r="H101" s="317">
        <v>50000</v>
      </c>
      <c r="I101" s="317">
        <v>0</v>
      </c>
      <c r="J101" s="317">
        <v>0</v>
      </c>
      <c r="K101" s="318">
        <v>0</v>
      </c>
      <c r="M101" s="213" t="s">
        <v>91</v>
      </c>
    </row>
    <row r="102" spans="1:13" x14ac:dyDescent="0.3">
      <c r="C102" s="110" t="s">
        <v>92</v>
      </c>
      <c r="E102" s="233">
        <f t="shared" ref="E102:K102" si="36">E101/E$35</f>
        <v>0</v>
      </c>
      <c r="F102" s="233">
        <f t="shared" si="36"/>
        <v>0</v>
      </c>
      <c r="G102" s="233">
        <f t="shared" si="36"/>
        <v>0</v>
      </c>
      <c r="H102" s="233">
        <f t="shared" si="36"/>
        <v>9.9238832557215981E-2</v>
      </c>
      <c r="I102" s="233">
        <f t="shared" si="36"/>
        <v>0</v>
      </c>
      <c r="J102" s="233">
        <f t="shared" si="36"/>
        <v>0</v>
      </c>
      <c r="K102" s="233">
        <f t="shared" si="36"/>
        <v>0</v>
      </c>
    </row>
    <row r="103" spans="1:13" x14ac:dyDescent="0.3">
      <c r="C103" s="110"/>
      <c r="E103" s="233"/>
      <c r="F103" s="233"/>
      <c r="G103" s="233"/>
      <c r="H103" s="233"/>
      <c r="I103" s="233"/>
      <c r="J103" s="233"/>
      <c r="K103" s="233"/>
    </row>
    <row r="104" spans="1:13" ht="18" x14ac:dyDescent="0.35">
      <c r="B104" s="209" t="s">
        <v>116</v>
      </c>
      <c r="C104" s="210" t="s">
        <v>117</v>
      </c>
      <c r="D104" s="208"/>
      <c r="E104" s="214"/>
      <c r="F104" s="214"/>
      <c r="G104" s="214"/>
      <c r="H104" s="214"/>
      <c r="I104" s="214"/>
      <c r="J104" s="214"/>
      <c r="K104" s="214"/>
    </row>
    <row r="106" spans="1:13" ht="15.6" x14ac:dyDescent="0.3">
      <c r="A106" s="5"/>
      <c r="B106" s="5"/>
      <c r="C106" s="55" t="s">
        <v>118</v>
      </c>
      <c r="D106" s="319">
        <v>5</v>
      </c>
      <c r="E106" s="5"/>
      <c r="F106" s="5"/>
      <c r="G106" s="5"/>
      <c r="H106" s="5"/>
      <c r="I106" s="5"/>
      <c r="J106" s="5"/>
      <c r="K106" s="5"/>
    </row>
    <row r="107" spans="1:13" ht="15.6" x14ac:dyDescent="0.3">
      <c r="A107" s="5"/>
      <c r="B107" s="5"/>
      <c r="C107" s="244"/>
      <c r="D107" s="5"/>
      <c r="E107" s="245"/>
      <c r="F107" s="245"/>
      <c r="G107" s="245"/>
      <c r="H107" s="245"/>
      <c r="I107" s="245"/>
      <c r="J107" s="245"/>
      <c r="K107" s="245"/>
    </row>
    <row r="108" spans="1:13" ht="15.6" x14ac:dyDescent="0.3">
      <c r="A108" s="5"/>
      <c r="B108" s="5"/>
      <c r="C108" s="320">
        <v>46022</v>
      </c>
      <c r="D108" s="56"/>
      <c r="E108" s="57">
        <f>$E$98/$D$106</f>
        <v>51000</v>
      </c>
      <c r="F108" s="57">
        <f>IF(E108&lt;$E$98,$E$98/$D$106,0)</f>
        <v>51000</v>
      </c>
      <c r="G108" s="57">
        <f>IF(SUM(E108,F108)&lt;$E$98,$E$98/$D$106,0)</f>
        <v>51000</v>
      </c>
      <c r="H108" s="57">
        <f>IF(SUM(E108,F108,G108)&lt;$E$98,$E$98/$D$106,0)</f>
        <v>51000</v>
      </c>
      <c r="I108" s="57">
        <f>IF(SUM(E108,F108,G108,H108)&lt;$E$98,$E$98/$D$106,0)</f>
        <v>51000</v>
      </c>
      <c r="J108" s="57">
        <f>IF(SUM(E108,F108,G108,H108,I108)&lt;$E$98,$E$98/$D$106,0)</f>
        <v>0</v>
      </c>
      <c r="K108" s="58">
        <f>IF(SUM(E108,F108,G108,H108,I108,J108)&lt;$E$98,$E$98/$D$106,0)</f>
        <v>0</v>
      </c>
    </row>
    <row r="109" spans="1:13" ht="15.6" x14ac:dyDescent="0.3">
      <c r="A109" s="5"/>
      <c r="B109" s="5"/>
      <c r="C109" s="321">
        <v>46387</v>
      </c>
      <c r="D109" s="5"/>
      <c r="E109" s="254"/>
      <c r="F109" s="27">
        <f>$F$98/$D$106</f>
        <v>52000</v>
      </c>
      <c r="G109" s="27">
        <f>IF(SUM(F109)&lt;$F$98,$F$98/$D$106,0)</f>
        <v>52000</v>
      </c>
      <c r="H109" s="27">
        <f>IF(SUM(F109,G109)&lt;$F$98,$F$98/$D$106,0)</f>
        <v>52000</v>
      </c>
      <c r="I109" s="27">
        <f>IF(SUM(F109,G109,H109)&lt;$F$98,$F$98/$D$106,0)</f>
        <v>52000</v>
      </c>
      <c r="J109" s="27">
        <f>IF(SUM(F109,G109,H109,I109)&lt;$F$98,$F$98/$D$106,0)</f>
        <v>52000</v>
      </c>
      <c r="K109" s="28">
        <f>IF(SUM(F109,G109,H109,I109,J109)&lt;$F$98,$F$98/$D$106,0)</f>
        <v>0</v>
      </c>
    </row>
    <row r="110" spans="1:13" ht="15.6" x14ac:dyDescent="0.3">
      <c r="A110" s="5"/>
      <c r="B110" s="5"/>
      <c r="C110" s="321">
        <v>46752</v>
      </c>
      <c r="D110" s="5"/>
      <c r="E110" s="254"/>
      <c r="F110" s="254"/>
      <c r="G110" s="27">
        <f>$G$98/$D$106</f>
        <v>3000</v>
      </c>
      <c r="H110" s="27">
        <f>IF(SUM(G110)&lt;$G$98,$G$98/$D$106,0)</f>
        <v>3000</v>
      </c>
      <c r="I110" s="27">
        <f>IF(SUM(G110,H110)&lt;$G$98,$G$98/$D$106,0)</f>
        <v>3000</v>
      </c>
      <c r="J110" s="27">
        <f>IF(SUM(G110,H110,I110)&lt;$G$98,$G$98/$D$106,0)</f>
        <v>3000</v>
      </c>
      <c r="K110" s="28">
        <f>IF(SUM(G110,H110,I110,J110)&lt;$G$98,$G$98/$D$106,0)</f>
        <v>3000</v>
      </c>
    </row>
    <row r="111" spans="1:13" ht="15.6" x14ac:dyDescent="0.3">
      <c r="A111" s="5"/>
      <c r="B111" s="5"/>
      <c r="C111" s="321">
        <v>47118</v>
      </c>
      <c r="D111" s="5"/>
      <c r="E111" s="254"/>
      <c r="F111" s="254"/>
      <c r="G111" s="254"/>
      <c r="H111" s="27">
        <f>$H$98/$D$106</f>
        <v>4000</v>
      </c>
      <c r="I111" s="27">
        <f>IF(SUM(H111)&lt;$H$98,$H$98/$D$106,0)</f>
        <v>4000</v>
      </c>
      <c r="J111" s="27">
        <f>IF(SUM(H111,I111)&lt;$H$98,$H$98/$D$106,0)</f>
        <v>4000</v>
      </c>
      <c r="K111" s="28">
        <f>IF(SUM(H111,I111,J111)&lt;$H$98,$H$98/$D$106,0)</f>
        <v>4000</v>
      </c>
    </row>
    <row r="112" spans="1:13" ht="15.6" x14ac:dyDescent="0.3">
      <c r="A112" s="5"/>
      <c r="B112" s="5"/>
      <c r="C112" s="321">
        <v>47483</v>
      </c>
      <c r="D112" s="5"/>
      <c r="E112" s="254"/>
      <c r="F112" s="254"/>
      <c r="G112" s="254"/>
      <c r="H112" s="254"/>
      <c r="I112" s="27">
        <f>$I$98/$D$106</f>
        <v>55000</v>
      </c>
      <c r="J112" s="27">
        <f>IF(SUM(I112)&lt;$I$98,$I$98/$D$106,0)</f>
        <v>55000</v>
      </c>
      <c r="K112" s="28">
        <f>IF(SUM(I112,J112)&lt;$I$98,$I$98/$D$106,0)</f>
        <v>55000</v>
      </c>
    </row>
    <row r="113" spans="1:11" ht="15.6" x14ac:dyDescent="0.3">
      <c r="A113" s="5"/>
      <c r="B113" s="5"/>
      <c r="C113" s="321">
        <v>47848</v>
      </c>
      <c r="D113" s="5"/>
      <c r="E113" s="254"/>
      <c r="F113" s="254"/>
      <c r="G113" s="254"/>
      <c r="H113" s="254"/>
      <c r="I113" s="254"/>
      <c r="J113" s="27">
        <f>$J$98/$D$106</f>
        <v>6000</v>
      </c>
      <c r="K113" s="28">
        <f>IF(SUM(J113)&lt;$J$98,$J$98/$D$106,0)</f>
        <v>6000</v>
      </c>
    </row>
    <row r="114" spans="1:11" ht="15.6" x14ac:dyDescent="0.3">
      <c r="A114" s="5"/>
      <c r="B114" s="5"/>
      <c r="C114" s="322">
        <v>48213</v>
      </c>
      <c r="D114" s="11"/>
      <c r="E114" s="255"/>
      <c r="F114" s="255"/>
      <c r="G114" s="255"/>
      <c r="H114" s="255"/>
      <c r="I114" s="255"/>
      <c r="J114" s="255"/>
      <c r="K114" s="31">
        <f>$K$98/$D$106</f>
        <v>7000</v>
      </c>
    </row>
    <row r="115" spans="1:11" ht="15.6" x14ac:dyDescent="0.3">
      <c r="A115" s="5"/>
      <c r="B115" s="5"/>
      <c r="C115" s="244"/>
      <c r="D115" s="5"/>
      <c r="E115" s="245"/>
      <c r="F115" s="245"/>
      <c r="G115" s="245"/>
      <c r="H115" s="245"/>
      <c r="I115" s="245"/>
      <c r="J115" s="245"/>
      <c r="K115" s="245"/>
    </row>
    <row r="116" spans="1:11" ht="15.6" x14ac:dyDescent="0.3">
      <c r="A116" s="5"/>
      <c r="B116" s="5"/>
      <c r="C116" s="59" t="s">
        <v>119</v>
      </c>
      <c r="D116" s="60"/>
      <c r="E116" s="61">
        <f>SUM(E108:E114)</f>
        <v>51000</v>
      </c>
      <c r="F116" s="61">
        <f t="shared" ref="F116:K116" si="37">SUM(F108:F114)</f>
        <v>103000</v>
      </c>
      <c r="G116" s="61">
        <f t="shared" si="37"/>
        <v>106000</v>
      </c>
      <c r="H116" s="61">
        <f t="shared" si="37"/>
        <v>110000</v>
      </c>
      <c r="I116" s="61">
        <f t="shared" si="37"/>
        <v>165000</v>
      </c>
      <c r="J116" s="61">
        <f t="shared" si="37"/>
        <v>120000</v>
      </c>
      <c r="K116" s="62">
        <f t="shared" si="37"/>
        <v>75000</v>
      </c>
    </row>
    <row r="117" spans="1:11" x14ac:dyDescent="0.3">
      <c r="C117" s="110" t="s">
        <v>92</v>
      </c>
      <c r="E117" s="233">
        <f t="shared" ref="E117:K117" si="38">E116/E$35</f>
        <v>0.22666666666666666</v>
      </c>
      <c r="F117" s="233">
        <f t="shared" si="38"/>
        <v>0.35123614663256608</v>
      </c>
      <c r="G117" s="233">
        <f t="shared" si="38"/>
        <v>0.27629529711519035</v>
      </c>
      <c r="H117" s="233">
        <f t="shared" si="38"/>
        <v>0.21832543162587517</v>
      </c>
      <c r="I117" s="233">
        <f t="shared" si="38"/>
        <v>0.24840726197756016</v>
      </c>
      <c r="J117" s="233">
        <f t="shared" si="38"/>
        <v>0.13650567725009763</v>
      </c>
      <c r="K117" s="233">
        <f t="shared" si="38"/>
        <v>6.4216334702239017E-2</v>
      </c>
    </row>
    <row r="118" spans="1:11" ht="15.6" x14ac:dyDescent="0.3">
      <c r="C118" s="49"/>
      <c r="E118" s="63"/>
      <c r="F118" s="63"/>
      <c r="G118" s="63"/>
      <c r="H118" s="63"/>
      <c r="I118" s="63"/>
      <c r="J118" s="63"/>
      <c r="K118" s="63"/>
    </row>
    <row r="119" spans="1:11" ht="18" x14ac:dyDescent="0.35">
      <c r="B119" s="209" t="s">
        <v>120</v>
      </c>
      <c r="C119" s="210" t="s">
        <v>121</v>
      </c>
      <c r="D119" s="208"/>
      <c r="E119" s="214"/>
      <c r="F119" s="214"/>
      <c r="G119" s="214"/>
      <c r="H119" s="214"/>
      <c r="I119" s="214"/>
      <c r="J119" s="214"/>
      <c r="K119" s="214"/>
    </row>
    <row r="121" spans="1:11" ht="49.95" customHeight="1" x14ac:dyDescent="0.3">
      <c r="A121" s="5"/>
      <c r="B121" s="5"/>
      <c r="C121" s="64" t="s">
        <v>122</v>
      </c>
      <c r="D121" s="65" t="s">
        <v>123</v>
      </c>
      <c r="E121" s="66" t="s">
        <v>124</v>
      </c>
      <c r="F121" s="65" t="s">
        <v>125</v>
      </c>
      <c r="G121" s="65" t="s">
        <v>126</v>
      </c>
      <c r="H121" s="65" t="s">
        <v>127</v>
      </c>
      <c r="J121" s="5"/>
      <c r="K121" s="5"/>
    </row>
    <row r="122" spans="1:11" ht="15.6" x14ac:dyDescent="0.3">
      <c r="A122" s="5"/>
      <c r="B122" s="5"/>
      <c r="C122" s="67" t="s">
        <v>128</v>
      </c>
      <c r="D122" s="323">
        <v>150000</v>
      </c>
      <c r="E122" s="324">
        <v>3</v>
      </c>
      <c r="F122" s="68">
        <f>D122/E122</f>
        <v>50000</v>
      </c>
      <c r="G122" s="329">
        <v>0.04</v>
      </c>
      <c r="H122" s="324">
        <v>2025</v>
      </c>
      <c r="J122" s="5"/>
      <c r="K122" s="5" t="s">
        <v>91</v>
      </c>
    </row>
    <row r="123" spans="1:11" ht="15.6" x14ac:dyDescent="0.3">
      <c r="A123" s="5"/>
      <c r="B123" s="5"/>
      <c r="C123" s="69" t="s">
        <v>129</v>
      </c>
      <c r="D123" s="325">
        <v>0</v>
      </c>
      <c r="E123" s="326">
        <v>3</v>
      </c>
      <c r="F123" s="70">
        <f>D123/E123</f>
        <v>0</v>
      </c>
      <c r="G123" s="330">
        <v>0.05</v>
      </c>
      <c r="H123" s="326">
        <v>2026</v>
      </c>
      <c r="J123" s="5"/>
      <c r="K123" s="5"/>
    </row>
    <row r="124" spans="1:11" ht="15.6" x14ac:dyDescent="0.3">
      <c r="A124" s="5"/>
      <c r="B124" s="5"/>
      <c r="C124" s="71" t="s">
        <v>130</v>
      </c>
      <c r="D124" s="327">
        <v>0</v>
      </c>
      <c r="E124" s="328">
        <v>2</v>
      </c>
      <c r="F124" s="72">
        <f>D124/E124</f>
        <v>0</v>
      </c>
      <c r="G124" s="331">
        <v>0.06</v>
      </c>
      <c r="H124" s="328">
        <v>2027</v>
      </c>
      <c r="J124" s="5"/>
      <c r="K124" s="5"/>
    </row>
    <row r="125" spans="1:11" ht="15.6" x14ac:dyDescent="0.3">
      <c r="A125" s="5"/>
      <c r="B125" s="5"/>
      <c r="C125" s="5"/>
      <c r="D125" s="5"/>
      <c r="E125" s="5"/>
      <c r="F125" s="5"/>
      <c r="G125" s="5"/>
      <c r="H125" s="73"/>
      <c r="I125" s="5"/>
      <c r="J125" s="5"/>
      <c r="K125" s="5"/>
    </row>
    <row r="126" spans="1:11" ht="15.6" x14ac:dyDescent="0.3">
      <c r="A126" s="5"/>
      <c r="B126" s="5"/>
      <c r="C126" s="246" t="s">
        <v>131</v>
      </c>
      <c r="D126" s="332">
        <v>75000</v>
      </c>
      <c r="E126" s="5"/>
      <c r="F126" s="5"/>
      <c r="G126" s="5"/>
      <c r="H126" s="5"/>
      <c r="I126" s="5"/>
      <c r="J126" s="5"/>
      <c r="K126" s="5"/>
    </row>
    <row r="128" spans="1:11" ht="18" x14ac:dyDescent="0.35">
      <c r="B128" s="209" t="s">
        <v>132</v>
      </c>
      <c r="C128" s="210" t="s">
        <v>133</v>
      </c>
      <c r="D128" s="208"/>
      <c r="E128" s="214"/>
      <c r="F128" s="214"/>
      <c r="G128" s="214"/>
      <c r="H128" s="214"/>
      <c r="I128" s="214"/>
      <c r="J128" s="214"/>
      <c r="K128" s="214"/>
    </row>
    <row r="130" spans="1:11" ht="15.6" x14ac:dyDescent="0.3">
      <c r="A130" s="5"/>
      <c r="B130" s="5"/>
      <c r="C130" s="74" t="s">
        <v>134</v>
      </c>
      <c r="D130" s="333">
        <v>45</v>
      </c>
      <c r="E130" s="57">
        <f>$D130*E$35/365</f>
        <v>27739.726027397261</v>
      </c>
      <c r="F130" s="57">
        <f t="shared" ref="F130:K130" si="39">$D130*F$35/365</f>
        <v>36154.109589041094</v>
      </c>
      <c r="G130" s="57">
        <f t="shared" si="39"/>
        <v>47299.006849315076</v>
      </c>
      <c r="H130" s="57">
        <f t="shared" si="39"/>
        <v>62116.647312328772</v>
      </c>
      <c r="I130" s="57">
        <f t="shared" si="39"/>
        <v>81891.590412772595</v>
      </c>
      <c r="J130" s="57">
        <f t="shared" si="39"/>
        <v>108380.25821328706</v>
      </c>
      <c r="K130" s="58">
        <f t="shared" si="39"/>
        <v>143991.01701055749</v>
      </c>
    </row>
    <row r="131" spans="1:11" ht="15.6" x14ac:dyDescent="0.3">
      <c r="A131" s="5"/>
      <c r="B131" s="5"/>
      <c r="C131" s="75" t="s">
        <v>135</v>
      </c>
      <c r="D131" s="334">
        <v>30</v>
      </c>
      <c r="E131" s="27">
        <f t="shared" ref="E131:K131" si="40">$D$131*E63/365</f>
        <v>4520.5479452054797</v>
      </c>
      <c r="F131" s="27">
        <f t="shared" si="40"/>
        <v>5663.0136986301368</v>
      </c>
      <c r="G131" s="27">
        <f t="shared" si="40"/>
        <v>7114.2723287671233</v>
      </c>
      <c r="H131" s="27">
        <f t="shared" si="40"/>
        <v>8962.6997999999985</v>
      </c>
      <c r="I131" s="27">
        <f t="shared" si="40"/>
        <v>11323.142005296984</v>
      </c>
      <c r="J131" s="27">
        <f t="shared" si="40"/>
        <v>14345.122300258919</v>
      </c>
      <c r="K131" s="28">
        <f t="shared" si="40"/>
        <v>18223.660542770125</v>
      </c>
    </row>
    <row r="132" spans="1:11" ht="15.6" x14ac:dyDescent="0.3">
      <c r="A132" s="5"/>
      <c r="B132" s="5"/>
      <c r="C132" s="75" t="s">
        <v>136</v>
      </c>
      <c r="D132" s="334">
        <v>60</v>
      </c>
      <c r="E132" s="27">
        <f t="shared" ref="E132:K132" si="41">$D$132*(E63+E83+E84+E88)/365</f>
        <v>21863.013698630137</v>
      </c>
      <c r="F132" s="27">
        <f t="shared" si="41"/>
        <v>22460.95890410959</v>
      </c>
      <c r="G132" s="27">
        <f t="shared" si="41"/>
        <v>27921.222739726029</v>
      </c>
      <c r="H132" s="27">
        <f t="shared" si="41"/>
        <v>30769.263077260268</v>
      </c>
      <c r="I132" s="27">
        <f t="shared" si="41"/>
        <v>38455.573691201091</v>
      </c>
      <c r="J132" s="27">
        <f t="shared" si="41"/>
        <v>41134.773230262086</v>
      </c>
      <c r="K132" s="27">
        <f t="shared" si="41"/>
        <v>51594.667425056876</v>
      </c>
    </row>
    <row r="133" spans="1:11" ht="15.6" x14ac:dyDescent="0.3">
      <c r="A133" s="5"/>
      <c r="B133" s="5"/>
      <c r="C133" s="59" t="s">
        <v>69</v>
      </c>
      <c r="D133" s="335">
        <v>0</v>
      </c>
      <c r="E133" s="61">
        <f>E130+E131-E132</f>
        <v>10397.260273972603</v>
      </c>
      <c r="F133" s="61">
        <f t="shared" ref="F133:K133" si="42">F130+F131-F132</f>
        <v>19356.164383561641</v>
      </c>
      <c r="G133" s="61">
        <f t="shared" si="42"/>
        <v>26492.056438356172</v>
      </c>
      <c r="H133" s="61">
        <f t="shared" si="42"/>
        <v>40310.084035068503</v>
      </c>
      <c r="I133" s="61">
        <f t="shared" si="42"/>
        <v>54759.158726868496</v>
      </c>
      <c r="J133" s="61">
        <f t="shared" si="42"/>
        <v>81590.607283283898</v>
      </c>
      <c r="K133" s="62">
        <f t="shared" si="42"/>
        <v>110620.01012827073</v>
      </c>
    </row>
    <row r="134" spans="1:11" ht="15.6" x14ac:dyDescent="0.3">
      <c r="A134" s="5"/>
      <c r="B134" s="5"/>
      <c r="C134" s="76" t="s">
        <v>137</v>
      </c>
      <c r="D134" s="11"/>
      <c r="E134" s="30">
        <f>D133-E133</f>
        <v>-10397.260273972603</v>
      </c>
      <c r="F134" s="30">
        <f t="shared" ref="F134:K134" si="43">E133-F133</f>
        <v>-8958.9041095890389</v>
      </c>
      <c r="G134" s="30">
        <f t="shared" si="43"/>
        <v>-7135.8920547945308</v>
      </c>
      <c r="H134" s="30">
        <f t="shared" si="43"/>
        <v>-13818.027596712331</v>
      </c>
      <c r="I134" s="30">
        <f t="shared" si="43"/>
        <v>-14449.074691799993</v>
      </c>
      <c r="J134" s="30">
        <f t="shared" si="43"/>
        <v>-26831.448556415402</v>
      </c>
      <c r="K134" s="31">
        <f t="shared" si="43"/>
        <v>-29029.402844986835</v>
      </c>
    </row>
    <row r="135" spans="1:11" ht="15.6" x14ac:dyDescent="0.3">
      <c r="A135" s="5"/>
      <c r="B135" s="5"/>
      <c r="C135" s="5"/>
      <c r="D135" s="5"/>
      <c r="E135" s="5"/>
      <c r="F135" s="5"/>
      <c r="G135" s="5"/>
      <c r="H135" s="5"/>
      <c r="I135" s="5"/>
      <c r="J135" s="5"/>
      <c r="K135" s="5"/>
    </row>
    <row r="136" spans="1:11" ht="18" x14ac:dyDescent="0.35">
      <c r="B136" s="256"/>
      <c r="C136" s="257" t="s">
        <v>138</v>
      </c>
      <c r="D136" s="258"/>
      <c r="E136" s="259"/>
      <c r="F136" s="259"/>
      <c r="G136" s="259"/>
      <c r="H136" s="259"/>
      <c r="I136" s="259"/>
      <c r="J136" s="259"/>
      <c r="K136" s="259"/>
    </row>
  </sheetData>
  <sheetProtection formatCells="0" formatColumns="0" formatRows="0" insertColumns="0" insertRows="0" insertHyperlinks="0" deleteColumns="0" deleteRows="0" sort="0" autoFilter="0" pivotTables="0"/>
  <pageMargins left="0.7" right="0.7" top="0.75" bottom="0.75" header="0.3" footer="0.3"/>
  <ignoredErrors>
    <ignoredError sqref="B38 B13 B66"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35A5-47AF-47EA-9CFF-537515796A97}">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F597-1075-4C33-8635-20EE3EF50DFD}">
  <sheetPr>
    <tabColor theme="7" tint="0.79998168889431442"/>
  </sheetPr>
  <dimension ref="A1:R119"/>
  <sheetViews>
    <sheetView showGridLines="0" zoomScale="85" zoomScaleNormal="85" workbookViewId="0">
      <selection activeCell="O20" sqref="O20"/>
    </sheetView>
  </sheetViews>
  <sheetFormatPr defaultRowHeight="14.4" outlineLevelCol="1" x14ac:dyDescent="0.3"/>
  <cols>
    <col min="1" max="1" width="20.5546875" customWidth="1"/>
    <col min="2" max="2" width="56.33203125" customWidth="1"/>
    <col min="3" max="3" width="6.44140625" customWidth="1"/>
    <col min="4" max="4" width="13.6640625" bestFit="1" customWidth="1"/>
    <col min="5" max="6" width="14" bestFit="1" customWidth="1"/>
    <col min="7" max="7" width="13.88671875" customWidth="1"/>
    <col min="8" max="9" width="14" bestFit="1" customWidth="1"/>
    <col min="10" max="10" width="13.6640625" customWidth="1"/>
    <col min="11" max="11" width="11.6640625" hidden="1" customWidth="1" outlineLevel="1"/>
    <col min="12" max="12" width="5.6640625" customWidth="1" collapsed="1"/>
    <col min="13" max="13" width="16" customWidth="1"/>
    <col min="14" max="14" width="14" bestFit="1" customWidth="1"/>
    <col min="15" max="15" width="3.33203125" customWidth="1"/>
    <col min="16" max="16" width="5" bestFit="1" customWidth="1"/>
    <col min="17" max="17" width="10.5546875" bestFit="1" customWidth="1"/>
  </cols>
  <sheetData>
    <row r="1" spans="1:17" x14ac:dyDescent="0.3">
      <c r="A1" s="1"/>
      <c r="B1" s="1"/>
    </row>
    <row r="2" spans="1:17" x14ac:dyDescent="0.3">
      <c r="A2" s="1"/>
      <c r="B2" s="1"/>
    </row>
    <row r="3" spans="1:17" ht="16.2" x14ac:dyDescent="0.35">
      <c r="A3" s="1"/>
      <c r="B3" s="293" t="s">
        <v>0</v>
      </c>
    </row>
    <row r="4" spans="1:17" x14ac:dyDescent="0.3">
      <c r="A4" s="1"/>
      <c r="B4" s="1"/>
    </row>
    <row r="6" spans="1:17" x14ac:dyDescent="0.3">
      <c r="C6" s="15"/>
    </row>
    <row r="7" spans="1:17" ht="15" customHeight="1" x14ac:dyDescent="0.3">
      <c r="B7" s="260" t="s">
        <v>139</v>
      </c>
      <c r="C7" s="261"/>
      <c r="D7" s="262">
        <v>46022</v>
      </c>
      <c r="E7" s="262">
        <f t="shared" ref="E7:J7" si="0">EOMONTH(D7,12)</f>
        <v>46387</v>
      </c>
      <c r="F7" s="262">
        <f t="shared" si="0"/>
        <v>46752</v>
      </c>
      <c r="G7" s="262">
        <f t="shared" si="0"/>
        <v>47118</v>
      </c>
      <c r="H7" s="262">
        <f t="shared" si="0"/>
        <v>47483</v>
      </c>
      <c r="I7" s="262">
        <f t="shared" si="0"/>
        <v>47848</v>
      </c>
      <c r="J7" s="262">
        <f t="shared" si="0"/>
        <v>48213</v>
      </c>
      <c r="K7" s="77" t="s">
        <v>140</v>
      </c>
      <c r="M7" s="264" t="s">
        <v>141</v>
      </c>
    </row>
    <row r="8" spans="1:17" ht="5.4" customHeight="1" x14ac:dyDescent="0.3"/>
    <row r="9" spans="1:17" ht="15" customHeight="1" x14ac:dyDescent="0.3">
      <c r="B9" s="78" t="s">
        <v>75</v>
      </c>
      <c r="C9" s="79"/>
      <c r="D9" s="80">
        <f>SUM(D10:D12)</f>
        <v>225000</v>
      </c>
      <c r="E9" s="80">
        <f t="shared" ref="E9:J9" si="1">SUM(E10:E12)</f>
        <v>293250</v>
      </c>
      <c r="F9" s="80">
        <f t="shared" si="1"/>
        <v>383647.50000000006</v>
      </c>
      <c r="G9" s="80">
        <f>SUM(G10:G12)</f>
        <v>503835.02820000006</v>
      </c>
      <c r="H9" s="80">
        <f t="shared" si="1"/>
        <v>664231.78890359995</v>
      </c>
      <c r="I9" s="80">
        <f t="shared" si="1"/>
        <v>879084.31661888387</v>
      </c>
      <c r="J9" s="81">
        <f t="shared" si="1"/>
        <v>1167927.1379745221</v>
      </c>
      <c r="K9" s="82" t="b">
        <f>SUM(D9:J9)=SUM(D10:J12)</f>
        <v>1</v>
      </c>
      <c r="M9" s="83">
        <f>IFERROR((J9/D9)^(1/(YEAR($J$7)-YEAR($D$7)))-1,"N/A")</f>
        <v>0.31584743617931221</v>
      </c>
    </row>
    <row r="10" spans="1:17" ht="15" customHeight="1" x14ac:dyDescent="0.3">
      <c r="B10" s="84" t="str">
        <f>INPUTS!C32</f>
        <v>(Name) Product/service 1</v>
      </c>
      <c r="C10" s="85"/>
      <c r="D10" s="86">
        <f>INPUTS!E32</f>
        <v>100000</v>
      </c>
      <c r="E10" s="86">
        <f>INPUTS!F32</f>
        <v>122400</v>
      </c>
      <c r="F10" s="86">
        <f>INPUTS!G32</f>
        <v>149817.60000000001</v>
      </c>
      <c r="G10" s="86">
        <f>INPUTS!H32</f>
        <v>183376.74240000002</v>
      </c>
      <c r="H10" s="86">
        <f>INPUTS!I32</f>
        <v>224453.1326976</v>
      </c>
      <c r="I10" s="86">
        <f>INPUTS!J32</f>
        <v>274730.63442186237</v>
      </c>
      <c r="J10" s="87">
        <f>INPUTS!K32</f>
        <v>336270.29653235956</v>
      </c>
      <c r="K10" s="88" t="b">
        <f>SUM(D10:J10)=SUM(INPUTS!E32:K32)</f>
        <v>1</v>
      </c>
    </row>
    <row r="11" spans="1:17" ht="15" customHeight="1" x14ac:dyDescent="0.3">
      <c r="B11" s="84" t="str">
        <f>INPUTS!C33</f>
        <v>(Name) Product/service 2</v>
      </c>
      <c r="C11" s="85"/>
      <c r="D11" s="86">
        <f>INPUTS!E33</f>
        <v>75000</v>
      </c>
      <c r="E11" s="86">
        <f>INPUTS!F33</f>
        <v>99450</v>
      </c>
      <c r="F11" s="86">
        <f>INPUTS!G33</f>
        <v>131870.70000000001</v>
      </c>
      <c r="G11" s="86">
        <f>INPUTS!H33</f>
        <v>174860.54820000002</v>
      </c>
      <c r="H11" s="86">
        <f>INPUTS!I33</f>
        <v>231865.08691320004</v>
      </c>
      <c r="I11" s="86">
        <f>INPUTS!J33</f>
        <v>307453.10524690326</v>
      </c>
      <c r="J11" s="87">
        <f>INPUTS!K33</f>
        <v>407682.81755739375</v>
      </c>
      <c r="K11" s="88" t="b">
        <f>SUM(D11:J11)=SUM(INPUTS!E33:K33)</f>
        <v>1</v>
      </c>
    </row>
    <row r="12" spans="1:17" ht="15" customHeight="1" x14ac:dyDescent="0.3">
      <c r="B12" s="84" t="str">
        <f>INPUTS!C34</f>
        <v>(Name) Product/service 3</v>
      </c>
      <c r="C12" s="85"/>
      <c r="D12" s="86">
        <f>INPUTS!E34</f>
        <v>50000</v>
      </c>
      <c r="E12" s="86">
        <f>INPUTS!F34</f>
        <v>71400</v>
      </c>
      <c r="F12" s="86">
        <f>INPUTS!G34</f>
        <v>101959.2</v>
      </c>
      <c r="G12" s="86">
        <f>INPUTS!H34</f>
        <v>145597.73759999999</v>
      </c>
      <c r="H12" s="86">
        <f>INPUTS!I34</f>
        <v>207913.56929279995</v>
      </c>
      <c r="I12" s="86">
        <f>INPUTS!J34</f>
        <v>296900.57695011829</v>
      </c>
      <c r="J12" s="87">
        <f>INPUTS!K34</f>
        <v>423974.02388476889</v>
      </c>
      <c r="K12" s="88" t="b">
        <f>SUM(D12:J12)=SUM(INPUTS!E34:K34)</f>
        <v>1</v>
      </c>
    </row>
    <row r="13" spans="1:17" ht="15" customHeight="1" x14ac:dyDescent="0.3">
      <c r="B13" s="89"/>
      <c r="C13" s="90"/>
      <c r="D13" s="91"/>
      <c r="E13" s="91"/>
      <c r="F13" s="91"/>
      <c r="J13" s="92"/>
      <c r="K13" s="82"/>
      <c r="Q13" t="s">
        <v>91</v>
      </c>
    </row>
    <row r="14" spans="1:17" ht="15" customHeight="1" x14ac:dyDescent="0.3">
      <c r="B14" s="89" t="str">
        <f>INPUTS!C38</f>
        <v>Cost of good sold</v>
      </c>
      <c r="C14" s="90"/>
      <c r="D14" s="82">
        <f t="shared" ref="D14:J14" si="2">SUM(D15:D17)</f>
        <v>-55000</v>
      </c>
      <c r="E14" s="82">
        <f t="shared" si="2"/>
        <v>-68900</v>
      </c>
      <c r="F14" s="82">
        <f t="shared" si="2"/>
        <v>-86556.98</v>
      </c>
      <c r="G14" s="82">
        <f t="shared" si="2"/>
        <v>-109046.18089999999</v>
      </c>
      <c r="H14" s="82">
        <f t="shared" si="2"/>
        <v>-137764.89439777998</v>
      </c>
      <c r="I14" s="82">
        <f t="shared" si="2"/>
        <v>-174532.32131981684</v>
      </c>
      <c r="J14" s="93">
        <f t="shared" si="2"/>
        <v>-221721.20327036985</v>
      </c>
      <c r="K14" s="82" t="b">
        <f>SUM(D14:J14)=SUM(D15:J17)</f>
        <v>1</v>
      </c>
    </row>
    <row r="15" spans="1:17" ht="15" customHeight="1" x14ac:dyDescent="0.3">
      <c r="B15" s="94" t="str">
        <f>INPUTS!C60</f>
        <v>(Name) Product/service 1</v>
      </c>
      <c r="C15" s="3"/>
      <c r="D15" s="95">
        <f>-INPUTS!E60</f>
        <v>-20000</v>
      </c>
      <c r="E15" s="95">
        <f>-INPUTS!F60</f>
        <v>-23520</v>
      </c>
      <c r="F15" s="95">
        <f>-INPUTS!G60</f>
        <v>-27659.520000000004</v>
      </c>
      <c r="G15" s="95">
        <f>-INPUTS!H60</f>
        <v>-32527.595520000003</v>
      </c>
      <c r="H15" s="95">
        <f>-INPUTS!I60</f>
        <v>-38252.452331519999</v>
      </c>
      <c r="I15" s="95">
        <f>-INPUTS!J60</f>
        <v>-44984.88394186752</v>
      </c>
      <c r="J15" s="96">
        <f>-INPUTS!K60</f>
        <v>-52902.2235156362</v>
      </c>
      <c r="K15" s="88" t="b">
        <f>SUM(D15:J15)=-SUM(INPUTS!E60:K60)</f>
        <v>1</v>
      </c>
    </row>
    <row r="16" spans="1:17" ht="15" customHeight="1" x14ac:dyDescent="0.3">
      <c r="B16" s="94" t="str">
        <f>INPUTS!C61</f>
        <v>(Name) Product/service 2</v>
      </c>
      <c r="C16" s="3"/>
      <c r="D16" s="95">
        <f>-INPUTS!E61</f>
        <v>-20000</v>
      </c>
      <c r="E16" s="95">
        <f>-INPUTS!F61</f>
        <v>-25219.999999999996</v>
      </c>
      <c r="F16" s="95">
        <f>-INPUTS!G61</f>
        <v>-31802.419999999995</v>
      </c>
      <c r="G16" s="95">
        <f>-INPUTS!H61</f>
        <v>-40102.851619999994</v>
      </c>
      <c r="H16" s="95">
        <f>-INPUTS!I61</f>
        <v>-50569.695892819989</v>
      </c>
      <c r="I16" s="95">
        <f>-INPUTS!J61</f>
        <v>-63768.386520845997</v>
      </c>
      <c r="J16" s="96">
        <f>-INPUTS!K61</f>
        <v>-80411.93540278681</v>
      </c>
      <c r="K16" s="88" t="b">
        <f>SUM(D16:J16)=-SUM(INPUTS!E61:K61)</f>
        <v>1</v>
      </c>
      <c r="P16" t="s">
        <v>91</v>
      </c>
    </row>
    <row r="17" spans="2:15" ht="15" customHeight="1" x14ac:dyDescent="0.3">
      <c r="B17" s="94" t="str">
        <f>INPUTS!C62</f>
        <v>(Name) Product/service 3</v>
      </c>
      <c r="C17" s="3"/>
      <c r="D17" s="95">
        <f>-INPUTS!E62</f>
        <v>-15000</v>
      </c>
      <c r="E17" s="95">
        <f>-INPUTS!F62</f>
        <v>-20159.999999999996</v>
      </c>
      <c r="F17" s="95">
        <f>-INPUTS!G62</f>
        <v>-27095.039999999994</v>
      </c>
      <c r="G17" s="95">
        <f>-INPUTS!H62</f>
        <v>-36415.733759999988</v>
      </c>
      <c r="H17" s="95">
        <f>-INPUTS!I62</f>
        <v>-48942.746173439977</v>
      </c>
      <c r="I17" s="95">
        <f>-INPUTS!J62</f>
        <v>-65779.050857103313</v>
      </c>
      <c r="J17" s="96">
        <f>-INPUTS!K62</f>
        <v>-88407.044351946854</v>
      </c>
      <c r="K17" s="88" t="b">
        <f>SUM(D17:J17)=-SUM(INPUTS!E62:K62)</f>
        <v>1</v>
      </c>
    </row>
    <row r="18" spans="2:15" ht="15" customHeight="1" x14ac:dyDescent="0.3">
      <c r="B18" s="97"/>
      <c r="C18" s="98"/>
      <c r="D18" s="98"/>
      <c r="E18" s="98"/>
      <c r="F18" s="98"/>
      <c r="G18" s="99"/>
      <c r="H18" s="99"/>
      <c r="I18" s="99"/>
      <c r="J18" s="100"/>
      <c r="K18" s="82"/>
      <c r="O18" t="s">
        <v>91</v>
      </c>
    </row>
    <row r="19" spans="2:15" ht="15" customHeight="1" x14ac:dyDescent="0.3">
      <c r="B19" s="101" t="s">
        <v>142</v>
      </c>
      <c r="C19" s="102"/>
      <c r="D19" s="103">
        <f>D9+D14</f>
        <v>170000</v>
      </c>
      <c r="E19" s="103">
        <f t="shared" ref="E19:J19" si="3">E9+E14</f>
        <v>224350</v>
      </c>
      <c r="F19" s="103">
        <f t="shared" si="3"/>
        <v>297090.52000000008</v>
      </c>
      <c r="G19" s="103">
        <f t="shared" si="3"/>
        <v>394788.84730000008</v>
      </c>
      <c r="H19" s="103">
        <f t="shared" si="3"/>
        <v>526466.89450582</v>
      </c>
      <c r="I19" s="103">
        <f>I9+I14</f>
        <v>704551.995299067</v>
      </c>
      <c r="J19" s="104">
        <f t="shared" si="3"/>
        <v>946205.93470415217</v>
      </c>
      <c r="K19" s="82" t="b">
        <f>SUM(D19:J19)=SUM(D10:J12,D15:J17)</f>
        <v>1</v>
      </c>
      <c r="M19" s="83">
        <f>IFERROR((J19/D19)^(1/(YEAR($J$7)-YEAR($D$7)))-1,"N/A")</f>
        <v>0.3312392824642576</v>
      </c>
    </row>
    <row r="20" spans="2:15" ht="15" customHeight="1" x14ac:dyDescent="0.3">
      <c r="B20" s="105" t="s">
        <v>143</v>
      </c>
      <c r="C20" s="106"/>
      <c r="D20" s="107">
        <f t="shared" ref="D20:J20" si="4">D19/D$9</f>
        <v>0.75555555555555554</v>
      </c>
      <c r="E20" s="107">
        <f t="shared" si="4"/>
        <v>0.76504688832054557</v>
      </c>
      <c r="F20" s="107">
        <f t="shared" si="4"/>
        <v>0.77438408956138127</v>
      </c>
      <c r="G20" s="107">
        <f t="shared" si="4"/>
        <v>0.78356768625322037</v>
      </c>
      <c r="H20" s="107">
        <f t="shared" si="4"/>
        <v>0.79259515021830163</v>
      </c>
      <c r="I20" s="107">
        <f t="shared" si="4"/>
        <v>0.80146122730172287</v>
      </c>
      <c r="J20" s="108">
        <f t="shared" si="4"/>
        <v>0.81015836000275676</v>
      </c>
      <c r="K20" s="82"/>
    </row>
    <row r="21" spans="2:15" ht="15" customHeight="1" x14ac:dyDescent="0.3">
      <c r="B21" s="109"/>
      <c r="C21" s="110"/>
      <c r="D21" s="111"/>
      <c r="E21" s="111"/>
      <c r="F21" s="111"/>
      <c r="G21" s="111"/>
      <c r="H21" s="111"/>
      <c r="I21" s="111"/>
      <c r="J21" s="112"/>
      <c r="K21" s="82"/>
    </row>
    <row r="22" spans="2:15" ht="15" customHeight="1" x14ac:dyDescent="0.3">
      <c r="B22" s="89" t="s">
        <v>144</v>
      </c>
      <c r="C22" s="90"/>
      <c r="D22" s="82">
        <f t="shared" ref="D22:J22" si="5">SUM(D23:D25)</f>
        <v>-121250</v>
      </c>
      <c r="E22" s="82">
        <f t="shared" si="5"/>
        <v>-152987.5</v>
      </c>
      <c r="F22" s="82">
        <f t="shared" si="5"/>
        <v>-208547.125</v>
      </c>
      <c r="G22" s="82">
        <f t="shared" si="5"/>
        <v>-209383.50281999999</v>
      </c>
      <c r="H22" s="82">
        <f t="shared" si="5"/>
        <v>-236423.17889036</v>
      </c>
      <c r="I22" s="82">
        <f t="shared" si="5"/>
        <v>-216954.21583094419</v>
      </c>
      <c r="J22" s="93">
        <f t="shared" si="5"/>
        <v>-234396.35689872611</v>
      </c>
      <c r="K22" s="82" t="b">
        <f>SUM(D22:J22)=SUM(D23:J25)</f>
        <v>1</v>
      </c>
      <c r="O22" t="s">
        <v>91</v>
      </c>
    </row>
    <row r="23" spans="2:15" ht="15" customHeight="1" x14ac:dyDescent="0.3">
      <c r="B23" s="84" t="str">
        <f>INPUTS!C82</f>
        <v xml:space="preserve">(In)direct labor </v>
      </c>
      <c r="C23" s="85"/>
      <c r="D23" s="95">
        <f>-INPUTS!E82</f>
        <v>-45000</v>
      </c>
      <c r="E23" s="95">
        <f>-INPUTS!F82</f>
        <v>-87000</v>
      </c>
      <c r="F23" s="95">
        <f>-INPUTS!G82</f>
        <v>-127000</v>
      </c>
      <c r="G23" s="95">
        <f>-INPUTS!H82</f>
        <v>-133000</v>
      </c>
      <c r="H23" s="95">
        <f>-INPUTS!I82</f>
        <v>-142000</v>
      </c>
      <c r="I23" s="95">
        <f>-INPUTS!J82</f>
        <v>-143000</v>
      </c>
      <c r="J23" s="96">
        <f>-INPUTS!K82</f>
        <v>-144000</v>
      </c>
      <c r="K23" s="88" t="b">
        <f>SUM(D23:J23)=-SUM(INPUTS!E68:K68)</f>
        <v>1</v>
      </c>
      <c r="N23" t="s">
        <v>91</v>
      </c>
    </row>
    <row r="24" spans="2:15" ht="15" customHeight="1" x14ac:dyDescent="0.3">
      <c r="B24" s="84" t="str">
        <f>INPUTS!C83</f>
        <v>Rent &amp; Utilities</v>
      </c>
      <c r="C24" s="85"/>
      <c r="D24" s="95">
        <f>-INPUTS!E83</f>
        <v>-20000</v>
      </c>
      <c r="E24" s="95">
        <f>-INPUTS!F83</f>
        <v>-22000</v>
      </c>
      <c r="F24" s="95">
        <f>-INPUTS!G83</f>
        <v>-24000</v>
      </c>
      <c r="G24" s="95">
        <f>-INPUTS!H83</f>
        <v>-26000</v>
      </c>
      <c r="H24" s="95">
        <f>-INPUTS!I83</f>
        <v>-28000</v>
      </c>
      <c r="I24" s="95">
        <f>-INPUTS!J83</f>
        <v>-30000</v>
      </c>
      <c r="J24" s="96">
        <f>-INPUTS!K83</f>
        <v>-32000</v>
      </c>
      <c r="K24" s="88" t="b">
        <f>SUM(D24:J24)=-SUM(INPUTS!E73:K73)</f>
        <v>1</v>
      </c>
    </row>
    <row r="25" spans="2:15" ht="15" customHeight="1" x14ac:dyDescent="0.3">
      <c r="B25" s="84" t="str">
        <f>INPUTS!C84</f>
        <v>Sales &amp; Marketing</v>
      </c>
      <c r="C25" s="85"/>
      <c r="D25" s="95">
        <f>-INPUTS!E84</f>
        <v>-56250</v>
      </c>
      <c r="E25" s="95">
        <f>-INPUTS!F84</f>
        <v>-43987.5</v>
      </c>
      <c r="F25" s="95">
        <f>-INPUTS!G84</f>
        <v>-57547.125000000007</v>
      </c>
      <c r="G25" s="95">
        <f>-INPUTS!H84</f>
        <v>-50383.502820000009</v>
      </c>
      <c r="H25" s="95">
        <f>-INPUTS!I84</f>
        <v>-66423.178890359995</v>
      </c>
      <c r="I25" s="95">
        <f>-INPUTS!J84</f>
        <v>-43954.215830944195</v>
      </c>
      <c r="J25" s="96">
        <f>-INPUTS!K84</f>
        <v>-58396.35689872611</v>
      </c>
      <c r="K25" s="88" t="b">
        <f>SUM(D25:J25)=-SUM(INPUTS!E84:K84)</f>
        <v>1</v>
      </c>
    </row>
    <row r="26" spans="2:15" ht="15" customHeight="1" x14ac:dyDescent="0.3">
      <c r="B26" s="113"/>
      <c r="J26" s="92"/>
      <c r="K26" s="82"/>
    </row>
    <row r="27" spans="2:15" ht="15" customHeight="1" x14ac:dyDescent="0.3">
      <c r="B27" s="89" t="s">
        <v>108</v>
      </c>
      <c r="C27" s="90"/>
      <c r="D27" s="82">
        <f>-INPUTS!E88</f>
        <v>-1750</v>
      </c>
      <c r="E27" s="82">
        <f>-INPUTS!F88</f>
        <v>-1750</v>
      </c>
      <c r="F27" s="82">
        <f>-INPUTS!G88</f>
        <v>-1750</v>
      </c>
      <c r="G27" s="82">
        <f>-INPUTS!H88</f>
        <v>-1750</v>
      </c>
      <c r="H27" s="82">
        <f>-INPUTS!I88</f>
        <v>-1750</v>
      </c>
      <c r="I27" s="82">
        <f>-INPUTS!J88</f>
        <v>-1750</v>
      </c>
      <c r="J27" s="93">
        <f>-INPUTS!K88</f>
        <v>-1750</v>
      </c>
      <c r="K27" s="88" t="b">
        <f>SUM(D27:J27)=-SUM(INPUTS!E88:K88)</f>
        <v>1</v>
      </c>
      <c r="M27" t="s">
        <v>91</v>
      </c>
    </row>
    <row r="28" spans="2:15" ht="15" customHeight="1" x14ac:dyDescent="0.3">
      <c r="B28" s="114"/>
      <c r="C28" s="115"/>
      <c r="D28" s="116"/>
      <c r="E28" s="116"/>
      <c r="F28" s="116"/>
      <c r="G28" s="116"/>
      <c r="H28" s="116"/>
      <c r="I28" s="116"/>
      <c r="J28" s="117"/>
      <c r="K28" s="82"/>
    </row>
    <row r="29" spans="2:15" ht="15" customHeight="1" x14ac:dyDescent="0.3">
      <c r="B29" s="118" t="s">
        <v>109</v>
      </c>
      <c r="C29" s="103"/>
      <c r="D29" s="103">
        <f t="shared" ref="D29:J29" si="6">D19+D22+D27</f>
        <v>47000</v>
      </c>
      <c r="E29" s="103">
        <f t="shared" si="6"/>
        <v>69612.5</v>
      </c>
      <c r="F29" s="103">
        <f t="shared" si="6"/>
        <v>86793.395000000077</v>
      </c>
      <c r="G29" s="103">
        <f t="shared" si="6"/>
        <v>183655.34448000009</v>
      </c>
      <c r="H29" s="103">
        <f t="shared" si="6"/>
        <v>288293.71561546001</v>
      </c>
      <c r="I29" s="103">
        <f t="shared" si="6"/>
        <v>485847.77946812281</v>
      </c>
      <c r="J29" s="104">
        <f t="shared" si="6"/>
        <v>710059.57780542609</v>
      </c>
      <c r="K29" s="82" t="b">
        <f>SUM(D19:J19,D22:J22,D27:J27)=SUM(D29:J29)</f>
        <v>1</v>
      </c>
      <c r="M29" s="83">
        <f>IFERROR((J29/D29)^(1/(YEAR($J$7)-YEAR($D$7)))-1,"N/A")</f>
        <v>0.57229061450870788</v>
      </c>
    </row>
    <row r="30" spans="2:15" ht="15" customHeight="1" x14ac:dyDescent="0.3">
      <c r="B30" s="105" t="s">
        <v>145</v>
      </c>
      <c r="C30" s="106"/>
      <c r="D30" s="107">
        <f t="shared" ref="D30:J30" si="7">D29/D$9</f>
        <v>0.2088888888888889</v>
      </c>
      <c r="E30" s="107">
        <f t="shared" si="7"/>
        <v>0.23738277919863598</v>
      </c>
      <c r="F30" s="107">
        <f t="shared" si="7"/>
        <v>0.22623214018076507</v>
      </c>
      <c r="G30" s="107">
        <f t="shared" si="7"/>
        <v>0.364514839581771</v>
      </c>
      <c r="H30" s="107">
        <f t="shared" si="7"/>
        <v>0.43402577297802308</v>
      </c>
      <c r="I30" s="107">
        <f t="shared" si="7"/>
        <v>0.55267483480626822</v>
      </c>
      <c r="J30" s="108">
        <f t="shared" si="7"/>
        <v>0.60796564675845022</v>
      </c>
      <c r="K30" s="82"/>
    </row>
    <row r="31" spans="2:15" ht="15" customHeight="1" x14ac:dyDescent="0.3">
      <c r="B31" s="109"/>
      <c r="C31" s="110"/>
      <c r="D31" s="111"/>
      <c r="E31" s="111"/>
      <c r="F31" s="111"/>
      <c r="G31" s="111"/>
      <c r="H31" s="111"/>
      <c r="I31" s="111"/>
      <c r="J31" s="112"/>
      <c r="K31" s="82"/>
    </row>
    <row r="32" spans="2:15" ht="15" customHeight="1" x14ac:dyDescent="0.3">
      <c r="B32" s="113" t="s">
        <v>146</v>
      </c>
      <c r="D32" s="95">
        <f>-INPUTS!E116</f>
        <v>-51000</v>
      </c>
      <c r="E32" s="95">
        <f>-INPUTS!F116</f>
        <v>-103000</v>
      </c>
      <c r="F32" s="95">
        <f>-INPUTS!G116</f>
        <v>-106000</v>
      </c>
      <c r="G32" s="95">
        <f>-INPUTS!H116</f>
        <v>-110000</v>
      </c>
      <c r="H32" s="95">
        <f>-INPUTS!I116</f>
        <v>-165000</v>
      </c>
      <c r="I32" s="95">
        <f>-INPUTS!J116</f>
        <v>-120000</v>
      </c>
      <c r="J32" s="96">
        <f>-INPUTS!K116</f>
        <v>-75000</v>
      </c>
      <c r="K32" s="88" t="b">
        <f>SUM(D32:J32)=-SUM(INPUTS!E116:K116)</f>
        <v>1</v>
      </c>
      <c r="N32" t="s">
        <v>91</v>
      </c>
    </row>
    <row r="33" spans="2:16" ht="15" customHeight="1" x14ac:dyDescent="0.3">
      <c r="B33" s="119" t="s">
        <v>92</v>
      </c>
      <c r="C33" s="2"/>
      <c r="D33" s="120">
        <f t="shared" ref="D33:J33" si="8">-D32/D$9</f>
        <v>0.22666666666666666</v>
      </c>
      <c r="E33" s="120">
        <f t="shared" si="8"/>
        <v>0.35123614663256608</v>
      </c>
      <c r="F33" s="120">
        <f t="shared" si="8"/>
        <v>0.27629529711519035</v>
      </c>
      <c r="G33" s="120">
        <f t="shared" si="8"/>
        <v>0.21832543162587517</v>
      </c>
      <c r="H33" s="120">
        <f t="shared" si="8"/>
        <v>0.24840726197756016</v>
      </c>
      <c r="I33" s="120">
        <f t="shared" si="8"/>
        <v>0.13650567725009763</v>
      </c>
      <c r="J33" s="121">
        <f t="shared" si="8"/>
        <v>6.4216334702239017E-2</v>
      </c>
      <c r="K33" s="82"/>
      <c r="N33" t="s">
        <v>91</v>
      </c>
    </row>
    <row r="34" spans="2:16" ht="15" customHeight="1" x14ac:dyDescent="0.3">
      <c r="B34" s="122"/>
      <c r="C34" s="99"/>
      <c r="D34" s="123"/>
      <c r="E34" s="123"/>
      <c r="F34" s="123"/>
      <c r="G34" s="123"/>
      <c r="H34" s="123"/>
      <c r="I34" s="123"/>
      <c r="J34" s="124"/>
      <c r="K34" s="82"/>
      <c r="P34" t="s">
        <v>91</v>
      </c>
    </row>
    <row r="35" spans="2:16" ht="15" customHeight="1" x14ac:dyDescent="0.3">
      <c r="B35" s="118" t="s">
        <v>147</v>
      </c>
      <c r="C35" s="103"/>
      <c r="D35" s="103">
        <f t="shared" ref="D35:J35" si="9">D29+D32</f>
        <v>-4000</v>
      </c>
      <c r="E35" s="103">
        <f t="shared" si="9"/>
        <v>-33387.5</v>
      </c>
      <c r="F35" s="103">
        <f t="shared" si="9"/>
        <v>-19206.604999999923</v>
      </c>
      <c r="G35" s="103">
        <f t="shared" si="9"/>
        <v>73655.344480000087</v>
      </c>
      <c r="H35" s="103">
        <f t="shared" si="9"/>
        <v>123293.71561546001</v>
      </c>
      <c r="I35" s="103">
        <f t="shared" si="9"/>
        <v>365847.77946812281</v>
      </c>
      <c r="J35" s="104">
        <f t="shared" si="9"/>
        <v>635059.57780542609</v>
      </c>
      <c r="K35" s="82" t="b">
        <f>SUM(D29:J29,D32:J32)=SUM(D35:J35)</f>
        <v>1</v>
      </c>
      <c r="M35" s="83" t="str">
        <f>IFERROR((J35/D35)^(1/(YEAR($J$7)-YEAR($D$7)))-1,"N/A")</f>
        <v>N/A</v>
      </c>
    </row>
    <row r="36" spans="2:16" ht="15" customHeight="1" x14ac:dyDescent="0.3">
      <c r="B36" s="105" t="s">
        <v>148</v>
      </c>
      <c r="C36" s="80"/>
      <c r="D36" s="107">
        <f t="shared" ref="D36:J36" si="10">D35/D$9</f>
        <v>-1.7777777777777778E-2</v>
      </c>
      <c r="E36" s="107">
        <f t="shared" si="10"/>
        <v>-0.1138533674339301</v>
      </c>
      <c r="F36" s="107">
        <f t="shared" si="10"/>
        <v>-5.0063156934425271E-2</v>
      </c>
      <c r="G36" s="107">
        <f t="shared" si="10"/>
        <v>0.14618940795589583</v>
      </c>
      <c r="H36" s="107">
        <f t="shared" si="10"/>
        <v>0.18561851100046289</v>
      </c>
      <c r="I36" s="107">
        <f t="shared" si="10"/>
        <v>0.41616915755617057</v>
      </c>
      <c r="J36" s="108">
        <f t="shared" si="10"/>
        <v>0.54374931205621124</v>
      </c>
      <c r="K36" s="82"/>
    </row>
    <row r="37" spans="2:16" ht="15" customHeight="1" x14ac:dyDescent="0.3">
      <c r="B37" s="119"/>
      <c r="C37" s="82"/>
      <c r="D37" s="120"/>
      <c r="E37" s="120"/>
      <c r="F37" s="120"/>
      <c r="G37" s="120"/>
      <c r="H37" s="120"/>
      <c r="I37" s="120"/>
      <c r="J37" s="121"/>
      <c r="K37" s="82"/>
      <c r="M37" t="s">
        <v>91</v>
      </c>
    </row>
    <row r="38" spans="2:16" s="2" customFormat="1" ht="15" customHeight="1" x14ac:dyDescent="0.3">
      <c r="B38" s="89" t="s">
        <v>149</v>
      </c>
      <c r="C38" s="90"/>
      <c r="D38" s="125">
        <f t="shared" ref="D38:J38" si="11">SUM(D39:D40)</f>
        <v>-6000</v>
      </c>
      <c r="E38" s="125">
        <f t="shared" si="11"/>
        <v>-4000</v>
      </c>
      <c r="F38" s="125">
        <f t="shared" si="11"/>
        <v>-2000</v>
      </c>
      <c r="G38" s="126">
        <f t="shared" si="11"/>
        <v>0</v>
      </c>
      <c r="H38" s="126">
        <f t="shared" si="11"/>
        <v>0</v>
      </c>
      <c r="I38" s="126">
        <f t="shared" si="11"/>
        <v>0</v>
      </c>
      <c r="J38" s="127">
        <f t="shared" si="11"/>
        <v>0</v>
      </c>
      <c r="K38" s="82" t="b">
        <f>SUM(D38:J38)=SUM(D39:J40)</f>
        <v>1</v>
      </c>
    </row>
    <row r="39" spans="2:16" ht="15" customHeight="1" x14ac:dyDescent="0.3">
      <c r="B39" s="84" t="s">
        <v>150</v>
      </c>
      <c r="C39" s="91"/>
      <c r="D39" s="128">
        <f>'2. SUPPORTING SCHEDULES'!D39</f>
        <v>0</v>
      </c>
      <c r="E39" s="128">
        <f>'2. SUPPORTING SCHEDULES'!E39</f>
        <v>0</v>
      </c>
      <c r="F39" s="128">
        <f>'2. SUPPORTING SCHEDULES'!F39</f>
        <v>0</v>
      </c>
      <c r="G39" s="129">
        <f>'2. SUPPORTING SCHEDULES'!G39</f>
        <v>0</v>
      </c>
      <c r="H39" s="129">
        <f>'2. SUPPORTING SCHEDULES'!H39</f>
        <v>0</v>
      </c>
      <c r="I39" s="129">
        <f>'2. SUPPORTING SCHEDULES'!I39</f>
        <v>0</v>
      </c>
      <c r="J39" s="130">
        <f>'2. SUPPORTING SCHEDULES'!J39</f>
        <v>0</v>
      </c>
      <c r="K39" s="82"/>
    </row>
    <row r="40" spans="2:16" ht="15" customHeight="1" x14ac:dyDescent="0.3">
      <c r="B40" s="84" t="s">
        <v>151</v>
      </c>
      <c r="C40" s="91"/>
      <c r="D40" s="86">
        <f>-'2. SUPPORTING SCHEDULES'!D37</f>
        <v>-6000</v>
      </c>
      <c r="E40" s="86">
        <f>-'2. SUPPORTING SCHEDULES'!E37</f>
        <v>-4000</v>
      </c>
      <c r="F40" s="86">
        <f>-'2. SUPPORTING SCHEDULES'!F37</f>
        <v>-2000</v>
      </c>
      <c r="G40" s="86">
        <f>-'2. SUPPORTING SCHEDULES'!G37</f>
        <v>0</v>
      </c>
      <c r="H40" s="86">
        <f>-'2. SUPPORTING SCHEDULES'!H37</f>
        <v>0</v>
      </c>
      <c r="I40" s="86">
        <f>-'2. SUPPORTING SCHEDULES'!I37</f>
        <v>0</v>
      </c>
      <c r="J40" s="87">
        <f>-'2. SUPPORTING SCHEDULES'!J37</f>
        <v>0</v>
      </c>
      <c r="K40" s="88" t="b">
        <f>SUM(D40:J40)=-SUM('2. SUPPORTING SCHEDULES'!D33:J35)</f>
        <v>1</v>
      </c>
    </row>
    <row r="41" spans="2:16" ht="15" customHeight="1" x14ac:dyDescent="0.3">
      <c r="B41" s="97"/>
      <c r="C41" s="98"/>
      <c r="D41" s="98"/>
      <c r="E41" s="98"/>
      <c r="F41" s="98"/>
      <c r="G41" s="99"/>
      <c r="H41" s="99"/>
      <c r="I41" s="99"/>
      <c r="J41" s="100"/>
      <c r="K41" s="82"/>
    </row>
    <row r="42" spans="2:16" ht="15" customHeight="1" x14ac:dyDescent="0.3">
      <c r="B42" s="118" t="s">
        <v>152</v>
      </c>
      <c r="C42" s="103"/>
      <c r="D42" s="103">
        <f t="shared" ref="D42:J42" si="12">D35+D38</f>
        <v>-10000</v>
      </c>
      <c r="E42" s="103">
        <f t="shared" si="12"/>
        <v>-37387.5</v>
      </c>
      <c r="F42" s="103">
        <f t="shared" si="12"/>
        <v>-21206.604999999923</v>
      </c>
      <c r="G42" s="103">
        <f t="shared" si="12"/>
        <v>73655.344480000087</v>
      </c>
      <c r="H42" s="103">
        <f t="shared" si="12"/>
        <v>123293.71561546001</v>
      </c>
      <c r="I42" s="103">
        <f t="shared" si="12"/>
        <v>365847.77946812281</v>
      </c>
      <c r="J42" s="104">
        <f t="shared" si="12"/>
        <v>635059.57780542609</v>
      </c>
      <c r="K42" s="82" t="b">
        <f>SUM(D35:J35,D38:J38)=SUM(D42:J42)</f>
        <v>1</v>
      </c>
      <c r="M42" s="83" t="str">
        <f>IFERROR((J42/D42)^(1/(YEAR($J$7)-YEAR($D$7)))-1,"N/A")</f>
        <v>N/A</v>
      </c>
      <c r="O42" t="s">
        <v>91</v>
      </c>
    </row>
    <row r="43" spans="2:16" ht="15" customHeight="1" x14ac:dyDescent="0.3">
      <c r="B43" s="131"/>
      <c r="C43" s="132"/>
      <c r="D43" s="132"/>
      <c r="E43" s="132"/>
      <c r="F43" s="132"/>
      <c r="G43" s="133"/>
      <c r="H43" s="133"/>
      <c r="I43" s="133"/>
      <c r="J43" s="134"/>
      <c r="K43" s="82"/>
    </row>
    <row r="44" spans="2:16" ht="15" customHeight="1" x14ac:dyDescent="0.3">
      <c r="B44" s="89" t="s">
        <v>153</v>
      </c>
      <c r="C44" s="90"/>
      <c r="D44" s="128">
        <f>IF(D42&lt;0,0,D42*-INPUTS!$E$11)</f>
        <v>0</v>
      </c>
      <c r="E44" s="128">
        <f>IF(E42&lt;0,0,E42*-INPUTS!$E$11)</f>
        <v>0</v>
      </c>
      <c r="F44" s="128">
        <f>IF(F42&lt;0,0,F42*-INPUTS!$E$11)</f>
        <v>0</v>
      </c>
      <c r="G44" s="128">
        <f>IF(G42&lt;0,0,G42*-INPUTS!$E$11)</f>
        <v>-18413.836120000022</v>
      </c>
      <c r="H44" s="128">
        <f>IF(H42&lt;0,0,H42*-INPUTS!$E$11)</f>
        <v>-30823.428903865002</v>
      </c>
      <c r="I44" s="128">
        <f>IF(I42&lt;0,0,I42*-INPUTS!$E$11)</f>
        <v>-91461.944867030703</v>
      </c>
      <c r="J44" s="135">
        <f>IF(J42&lt;0,0,J42*-INPUTS!$E$11)</f>
        <v>-158764.89445135652</v>
      </c>
      <c r="K44" s="82"/>
      <c r="L44" s="136"/>
    </row>
    <row r="45" spans="2:16" ht="15" customHeight="1" x14ac:dyDescent="0.3">
      <c r="B45" s="97"/>
      <c r="C45" s="98"/>
      <c r="D45" s="98"/>
      <c r="E45" s="98"/>
      <c r="F45" s="98"/>
      <c r="G45" s="99"/>
      <c r="H45" s="99"/>
      <c r="I45" s="99"/>
      <c r="J45" s="100"/>
      <c r="K45" s="82"/>
    </row>
    <row r="46" spans="2:16" ht="15" customHeight="1" x14ac:dyDescent="0.3">
      <c r="B46" s="118" t="s">
        <v>154</v>
      </c>
      <c r="C46" s="103"/>
      <c r="D46" s="137">
        <f t="shared" ref="D46:J46" si="13">D42+D44</f>
        <v>-10000</v>
      </c>
      <c r="E46" s="137">
        <f t="shared" si="13"/>
        <v>-37387.5</v>
      </c>
      <c r="F46" s="137">
        <f t="shared" si="13"/>
        <v>-21206.604999999923</v>
      </c>
      <c r="G46" s="137">
        <f t="shared" si="13"/>
        <v>55241.508360000065</v>
      </c>
      <c r="H46" s="137">
        <f t="shared" si="13"/>
        <v>92470.286711595007</v>
      </c>
      <c r="I46" s="137">
        <f t="shared" si="13"/>
        <v>274385.83460109209</v>
      </c>
      <c r="J46" s="138">
        <f t="shared" si="13"/>
        <v>476294.6833540696</v>
      </c>
      <c r="K46" s="82" t="b">
        <f>SUM(D42:J42,D44:J44)=SUM(D46:J46)</f>
        <v>1</v>
      </c>
      <c r="M46" s="83" t="str">
        <f>IFERROR((J46/D46)^(1/(YEAR($J$7)-YEAR($D$7)))-1,"N/A")</f>
        <v>N/A</v>
      </c>
    </row>
    <row r="47" spans="2:16" x14ac:dyDescent="0.3">
      <c r="B47" s="139" t="s">
        <v>155</v>
      </c>
      <c r="C47" s="140"/>
      <c r="D47" s="141">
        <f t="shared" ref="D47:J47" si="14">D46/D$9</f>
        <v>-4.4444444444444446E-2</v>
      </c>
      <c r="E47" s="141">
        <f t="shared" si="14"/>
        <v>-0.12749360613810742</v>
      </c>
      <c r="F47" s="141">
        <f t="shared" si="14"/>
        <v>-5.5276275747919434E-2</v>
      </c>
      <c r="G47" s="141">
        <f t="shared" si="14"/>
        <v>0.10964205596692186</v>
      </c>
      <c r="H47" s="141">
        <f t="shared" si="14"/>
        <v>0.13921388325034717</v>
      </c>
      <c r="I47" s="141">
        <f t="shared" si="14"/>
        <v>0.31212686816712792</v>
      </c>
      <c r="J47" s="142">
        <f t="shared" si="14"/>
        <v>0.40781198404215846</v>
      </c>
    </row>
    <row r="50" spans="2:15" x14ac:dyDescent="0.3">
      <c r="B50" s="260" t="s">
        <v>156</v>
      </c>
      <c r="C50" s="263"/>
      <c r="D50" s="262">
        <f>D7</f>
        <v>46022</v>
      </c>
      <c r="E50" s="262">
        <f t="shared" ref="E50:J50" si="15">E7</f>
        <v>46387</v>
      </c>
      <c r="F50" s="262">
        <f t="shared" si="15"/>
        <v>46752</v>
      </c>
      <c r="G50" s="262">
        <f t="shared" si="15"/>
        <v>47118</v>
      </c>
      <c r="H50" s="262">
        <f t="shared" si="15"/>
        <v>47483</v>
      </c>
      <c r="I50" s="262">
        <f t="shared" si="15"/>
        <v>47848</v>
      </c>
      <c r="J50" s="262">
        <f t="shared" si="15"/>
        <v>48213</v>
      </c>
    </row>
    <row r="51" spans="2:15" ht="5.0999999999999996" customHeight="1" x14ac:dyDescent="0.3"/>
    <row r="52" spans="2:15" x14ac:dyDescent="0.3">
      <c r="B52" s="143" t="s">
        <v>9</v>
      </c>
      <c r="C52" s="144"/>
      <c r="D52" s="144">
        <f t="shared" ref="D52:J52" si="16">SUM(D56,D54)</f>
        <v>186863.01369863015</v>
      </c>
      <c r="E52" s="144">
        <f t="shared" si="16"/>
        <v>100073.4589041096</v>
      </c>
      <c r="F52" s="144">
        <f t="shared" si="16"/>
        <v>34327.117739726091</v>
      </c>
      <c r="G52" s="144">
        <f t="shared" si="16"/>
        <v>92416.666437260428</v>
      </c>
      <c r="H52" s="144">
        <f t="shared" si="16"/>
        <v>192573.26376279627</v>
      </c>
      <c r="I52" s="144">
        <f t="shared" si="16"/>
        <v>469638.29790294939</v>
      </c>
      <c r="J52" s="145">
        <f t="shared" si="16"/>
        <v>956392.8754518138</v>
      </c>
    </row>
    <row r="53" spans="2:15" ht="5.0999999999999996" customHeight="1" x14ac:dyDescent="0.3">
      <c r="B53" s="146"/>
      <c r="C53" s="133"/>
      <c r="D53" s="133"/>
      <c r="E53" s="133"/>
      <c r="F53" s="133"/>
      <c r="G53" s="133"/>
      <c r="H53" s="133"/>
      <c r="I53" s="133"/>
      <c r="J53" s="134"/>
    </row>
    <row r="54" spans="2:15" x14ac:dyDescent="0.3">
      <c r="B54" s="147" t="s">
        <v>157</v>
      </c>
      <c r="C54" s="148"/>
      <c r="D54" s="149">
        <f>'2. SUPPORTING SCHEDULES'!D47</f>
        <v>204000</v>
      </c>
      <c r="E54" s="149">
        <f>'2. SUPPORTING SCHEDULES'!E47</f>
        <v>361000</v>
      </c>
      <c r="F54" s="149">
        <f>'2. SUPPORTING SCHEDULES'!F47</f>
        <v>270000</v>
      </c>
      <c r="G54" s="149">
        <f>'2. SUPPORTING SCHEDULES'!G47</f>
        <v>130000</v>
      </c>
      <c r="H54" s="149">
        <f>'2. SUPPORTING SCHEDULES'!H47</f>
        <v>240000</v>
      </c>
      <c r="I54" s="149">
        <f>'2. SUPPORTING SCHEDULES'!I47</f>
        <v>150000</v>
      </c>
      <c r="J54" s="127">
        <f>'2. SUPPORTING SCHEDULES'!J47</f>
        <v>110000</v>
      </c>
    </row>
    <row r="55" spans="2:15" x14ac:dyDescent="0.3">
      <c r="B55" s="113"/>
      <c r="C55" s="129"/>
      <c r="D55" s="129"/>
      <c r="E55" s="129"/>
      <c r="F55" s="129"/>
      <c r="G55" s="129"/>
      <c r="H55" s="129"/>
      <c r="I55" s="129"/>
      <c r="J55" s="130"/>
    </row>
    <row r="56" spans="2:15" s="2" customFormat="1" ht="13.2" customHeight="1" x14ac:dyDescent="0.3">
      <c r="B56" s="147" t="s">
        <v>158</v>
      </c>
      <c r="D56" s="149">
        <f t="shared" ref="D56:J56" si="17">SUM(D57:D59)</f>
        <v>-17136.986301369845</v>
      </c>
      <c r="E56" s="149">
        <f t="shared" si="17"/>
        <v>-260926.5410958904</v>
      </c>
      <c r="F56" s="149">
        <f t="shared" si="17"/>
        <v>-235672.88226027391</v>
      </c>
      <c r="G56" s="149">
        <f t="shared" si="17"/>
        <v>-37583.333562739572</v>
      </c>
      <c r="H56" s="149">
        <f t="shared" si="17"/>
        <v>-47426.736237203731</v>
      </c>
      <c r="I56" s="149">
        <f t="shared" si="17"/>
        <v>319638.29790294939</v>
      </c>
      <c r="J56" s="127">
        <f t="shared" si="17"/>
        <v>846392.8754518138</v>
      </c>
    </row>
    <row r="57" spans="2:15" x14ac:dyDescent="0.3">
      <c r="B57" s="94" t="s">
        <v>7</v>
      </c>
      <c r="C57" s="129"/>
      <c r="D57" s="150">
        <f>INPUTS!E130</f>
        <v>27739.726027397261</v>
      </c>
      <c r="E57" s="150">
        <f>INPUTS!F130</f>
        <v>36154.109589041094</v>
      </c>
      <c r="F57" s="150">
        <f>INPUTS!G130</f>
        <v>47299.006849315076</v>
      </c>
      <c r="G57" s="150">
        <f>INPUTS!H130</f>
        <v>62116.647312328772</v>
      </c>
      <c r="H57" s="150">
        <f>INPUTS!I130</f>
        <v>81891.590412772595</v>
      </c>
      <c r="I57" s="150">
        <f>INPUTS!J130</f>
        <v>108380.25821328706</v>
      </c>
      <c r="J57" s="151">
        <f>INPUTS!K130</f>
        <v>143991.01701055749</v>
      </c>
    </row>
    <row r="58" spans="2:15" x14ac:dyDescent="0.3">
      <c r="B58" s="94" t="s">
        <v>159</v>
      </c>
      <c r="C58" s="129"/>
      <c r="D58" s="152">
        <f>INPUTS!E131</f>
        <v>4520.5479452054797</v>
      </c>
      <c r="E58" s="152">
        <f>INPUTS!F131</f>
        <v>5663.0136986301368</v>
      </c>
      <c r="F58" s="152">
        <f>INPUTS!G131</f>
        <v>7114.2723287671233</v>
      </c>
      <c r="G58" s="152">
        <f>INPUTS!H131</f>
        <v>8962.6997999999985</v>
      </c>
      <c r="H58" s="152">
        <f>INPUTS!I131</f>
        <v>11323.142005296984</v>
      </c>
      <c r="I58" s="152">
        <f>INPUTS!J131</f>
        <v>14345.122300258919</v>
      </c>
      <c r="J58" s="153">
        <f>INPUTS!K131</f>
        <v>18223.660542770125</v>
      </c>
    </row>
    <row r="59" spans="2:15" x14ac:dyDescent="0.3">
      <c r="B59" s="94" t="s">
        <v>160</v>
      </c>
      <c r="D59" s="129">
        <f t="shared" ref="D59:J59" si="18">D95</f>
        <v>-49397.260273972584</v>
      </c>
      <c r="E59" s="129">
        <f t="shared" si="18"/>
        <v>-302743.66438356164</v>
      </c>
      <c r="F59" s="129">
        <f t="shared" si="18"/>
        <v>-290086.1614383561</v>
      </c>
      <c r="G59" s="129">
        <f t="shared" si="18"/>
        <v>-108662.68067506835</v>
      </c>
      <c r="H59" s="129">
        <f t="shared" si="18"/>
        <v>-140641.46865527332</v>
      </c>
      <c r="I59" s="129">
        <f t="shared" si="18"/>
        <v>196912.91738940339</v>
      </c>
      <c r="J59" s="130">
        <f t="shared" si="18"/>
        <v>684178.19789848616</v>
      </c>
    </row>
    <row r="60" spans="2:15" x14ac:dyDescent="0.3">
      <c r="B60" s="94"/>
      <c r="C60" s="150"/>
      <c r="D60" s="129"/>
      <c r="E60" s="129"/>
      <c r="F60" s="129"/>
      <c r="G60" s="129"/>
      <c r="H60" s="129"/>
      <c r="I60" s="129"/>
      <c r="J60" s="130"/>
      <c r="O60" t="s">
        <v>91</v>
      </c>
    </row>
    <row r="61" spans="2:15" ht="5.0999999999999996" customHeight="1" x14ac:dyDescent="0.3">
      <c r="B61" s="154"/>
      <c r="C61" s="99"/>
      <c r="D61" s="99"/>
      <c r="E61" s="99"/>
      <c r="F61" s="99"/>
      <c r="G61" s="99"/>
      <c r="H61" s="99"/>
      <c r="I61" s="99"/>
      <c r="J61" s="100"/>
    </row>
    <row r="62" spans="2:15" x14ac:dyDescent="0.3">
      <c r="B62" s="155" t="s">
        <v>161</v>
      </c>
      <c r="C62" s="156"/>
      <c r="D62" s="156">
        <f t="shared" ref="D62:J62" si="19">SUM(D64,D68)</f>
        <v>186863.01369863015</v>
      </c>
      <c r="E62" s="156">
        <f t="shared" si="19"/>
        <v>100073.45890410959</v>
      </c>
      <c r="F62" s="156">
        <f t="shared" si="19"/>
        <v>34327.117739726105</v>
      </c>
      <c r="G62" s="156">
        <f t="shared" si="19"/>
        <v>92416.666437260414</v>
      </c>
      <c r="H62" s="156">
        <f t="shared" si="19"/>
        <v>192573.26376279624</v>
      </c>
      <c r="I62" s="156">
        <f t="shared" si="19"/>
        <v>469638.29790294933</v>
      </c>
      <c r="J62" s="157">
        <f t="shared" si="19"/>
        <v>956392.87545181368</v>
      </c>
    </row>
    <row r="63" spans="2:15" ht="5.0999999999999996" customHeight="1" x14ac:dyDescent="0.3">
      <c r="B63" s="146"/>
      <c r="C63" s="133"/>
      <c r="D63" s="133"/>
      <c r="E63" s="133"/>
      <c r="F63" s="133"/>
      <c r="G63" s="133"/>
      <c r="H63" s="133"/>
      <c r="I63" s="133"/>
      <c r="J63" s="134"/>
    </row>
    <row r="64" spans="2:15" x14ac:dyDescent="0.3">
      <c r="B64" s="147" t="s">
        <v>162</v>
      </c>
      <c r="C64" s="148"/>
      <c r="D64" s="148">
        <f t="shared" ref="D64:J64" si="20">SUM(D65:D66)</f>
        <v>65000</v>
      </c>
      <c r="E64" s="148">
        <f t="shared" si="20"/>
        <v>27612.5</v>
      </c>
      <c r="F64" s="148">
        <f t="shared" si="20"/>
        <v>6405.8950000000768</v>
      </c>
      <c r="G64" s="148">
        <f t="shared" si="20"/>
        <v>61647.403360000142</v>
      </c>
      <c r="H64" s="148">
        <f t="shared" si="20"/>
        <v>154117.69007159513</v>
      </c>
      <c r="I64" s="148">
        <f t="shared" si="20"/>
        <v>428503.52467268723</v>
      </c>
      <c r="J64" s="158">
        <f t="shared" si="20"/>
        <v>904798.20802675677</v>
      </c>
    </row>
    <row r="65" spans="2:18" x14ac:dyDescent="0.3">
      <c r="B65" s="159" t="s">
        <v>163</v>
      </c>
      <c r="C65" s="129"/>
      <c r="D65" s="129">
        <f>INPUTS!$D$126</f>
        <v>75000</v>
      </c>
      <c r="E65" s="129">
        <f>INPUTS!$D$126</f>
        <v>75000</v>
      </c>
      <c r="F65" s="129">
        <f>INPUTS!$D$126</f>
        <v>75000</v>
      </c>
      <c r="G65" s="129">
        <f>INPUTS!$D$126</f>
        <v>75000</v>
      </c>
      <c r="H65" s="129">
        <f>INPUTS!$D$126</f>
        <v>75000</v>
      </c>
      <c r="I65" s="129">
        <f>INPUTS!$D$126</f>
        <v>75000</v>
      </c>
      <c r="J65" s="130">
        <f>INPUTS!$D$126</f>
        <v>75000</v>
      </c>
    </row>
    <row r="66" spans="2:18" x14ac:dyDescent="0.3">
      <c r="B66" s="159" t="s">
        <v>164</v>
      </c>
      <c r="C66" s="129"/>
      <c r="D66" s="129">
        <f>D46</f>
        <v>-10000</v>
      </c>
      <c r="E66" s="129">
        <f t="shared" ref="E66:J66" si="21">D66+E46</f>
        <v>-47387.5</v>
      </c>
      <c r="F66" s="129">
        <f t="shared" si="21"/>
        <v>-68594.104999999923</v>
      </c>
      <c r="G66" s="129">
        <f t="shared" si="21"/>
        <v>-13352.596639999858</v>
      </c>
      <c r="H66" s="129">
        <f t="shared" si="21"/>
        <v>79117.690071595149</v>
      </c>
      <c r="I66" s="129">
        <f t="shared" si="21"/>
        <v>353503.52467268723</v>
      </c>
      <c r="J66" s="130">
        <f t="shared" si="21"/>
        <v>829798.20802675677</v>
      </c>
    </row>
    <row r="67" spans="2:18" x14ac:dyDescent="0.3">
      <c r="B67" s="159"/>
      <c r="C67" s="129"/>
      <c r="D67" s="129"/>
      <c r="E67" s="129"/>
      <c r="F67" s="129"/>
      <c r="G67" s="129"/>
      <c r="H67" s="129"/>
      <c r="I67" s="129"/>
      <c r="J67" s="130"/>
    </row>
    <row r="68" spans="2:18" x14ac:dyDescent="0.3">
      <c r="B68" s="147" t="s">
        <v>165</v>
      </c>
      <c r="C68" s="160"/>
      <c r="D68" s="160">
        <f>SUM(D69:D70)</f>
        <v>121863.01369863014</v>
      </c>
      <c r="E68" s="160">
        <f t="shared" ref="E68:J68" si="22">SUM(E69:E70)</f>
        <v>72460.95890410959</v>
      </c>
      <c r="F68" s="160">
        <f t="shared" si="22"/>
        <v>27921.222739726029</v>
      </c>
      <c r="G68" s="160">
        <f t="shared" si="22"/>
        <v>30769.263077260268</v>
      </c>
      <c r="H68" s="160">
        <f t="shared" si="22"/>
        <v>38455.573691201091</v>
      </c>
      <c r="I68" s="160">
        <f t="shared" si="22"/>
        <v>41134.773230262086</v>
      </c>
      <c r="J68" s="161">
        <f t="shared" si="22"/>
        <v>51594.667425056876</v>
      </c>
    </row>
    <row r="69" spans="2:18" x14ac:dyDescent="0.3">
      <c r="B69" s="159" t="s">
        <v>5</v>
      </c>
      <c r="C69" s="152"/>
      <c r="D69" s="152">
        <f>INPUTS!E132</f>
        <v>21863.013698630137</v>
      </c>
      <c r="E69" s="152">
        <f>INPUTS!F132</f>
        <v>22460.95890410959</v>
      </c>
      <c r="F69" s="152">
        <f>INPUTS!G132</f>
        <v>27921.222739726029</v>
      </c>
      <c r="G69" s="152">
        <f>INPUTS!H132</f>
        <v>30769.263077260268</v>
      </c>
      <c r="H69" s="152">
        <f>INPUTS!I132</f>
        <v>38455.573691201091</v>
      </c>
      <c r="I69" s="152">
        <f>INPUTS!J132</f>
        <v>41134.773230262086</v>
      </c>
      <c r="J69" s="153">
        <f>INPUTS!K132</f>
        <v>51594.667425056876</v>
      </c>
    </row>
    <row r="70" spans="2:18" x14ac:dyDescent="0.3">
      <c r="B70" s="159" t="s">
        <v>166</v>
      </c>
      <c r="C70" s="152"/>
      <c r="D70" s="152">
        <f>'2. SUPPORTING SCHEDULES'!D27</f>
        <v>100000</v>
      </c>
      <c r="E70" s="152">
        <f>'2. SUPPORTING SCHEDULES'!E27</f>
        <v>50000</v>
      </c>
      <c r="F70" s="152">
        <f>'2. SUPPORTING SCHEDULES'!F27</f>
        <v>0</v>
      </c>
      <c r="G70" s="152">
        <f>'2. SUPPORTING SCHEDULES'!G27</f>
        <v>0</v>
      </c>
      <c r="H70" s="152">
        <f>'2. SUPPORTING SCHEDULES'!H27</f>
        <v>0</v>
      </c>
      <c r="I70" s="152">
        <f>'2. SUPPORTING SCHEDULES'!I27</f>
        <v>0</v>
      </c>
      <c r="J70" s="153">
        <f>'2. SUPPORTING SCHEDULES'!J27</f>
        <v>0</v>
      </c>
    </row>
    <row r="71" spans="2:18" x14ac:dyDescent="0.3">
      <c r="B71" s="154"/>
      <c r="C71" s="99"/>
      <c r="D71" s="99"/>
      <c r="E71" s="99"/>
      <c r="F71" s="99"/>
      <c r="G71" s="99"/>
      <c r="H71" s="99"/>
      <c r="I71" s="99"/>
      <c r="J71" s="100"/>
      <c r="Q71" t="s">
        <v>91</v>
      </c>
    </row>
    <row r="72" spans="2:18" ht="5.0999999999999996" customHeight="1" x14ac:dyDescent="0.3"/>
    <row r="73" spans="2:18" x14ac:dyDescent="0.3">
      <c r="B73" s="14" t="s">
        <v>167</v>
      </c>
      <c r="D73" s="162">
        <f t="shared" ref="D73:J73" si="23">ROUND(D52-D62,2)</f>
        <v>0</v>
      </c>
      <c r="E73" s="162">
        <f t="shared" si="23"/>
        <v>0</v>
      </c>
      <c r="F73" s="162">
        <f t="shared" si="23"/>
        <v>0</v>
      </c>
      <c r="G73" s="162">
        <f t="shared" si="23"/>
        <v>0</v>
      </c>
      <c r="H73" s="162">
        <f t="shared" si="23"/>
        <v>0</v>
      </c>
      <c r="I73" s="162">
        <f t="shared" si="23"/>
        <v>0</v>
      </c>
      <c r="J73" s="162">
        <f t="shared" si="23"/>
        <v>0</v>
      </c>
      <c r="O73" t="s">
        <v>91</v>
      </c>
    </row>
    <row r="74" spans="2:18" x14ac:dyDescent="0.3">
      <c r="R74" t="s">
        <v>91</v>
      </c>
    </row>
    <row r="75" spans="2:18" x14ac:dyDescent="0.3">
      <c r="D75" s="163">
        <f>YEAR(D76)</f>
        <v>2025</v>
      </c>
      <c r="E75" s="163">
        <f t="shared" ref="E75:J75" si="24">YEAR(E76)</f>
        <v>2026</v>
      </c>
      <c r="F75" s="163">
        <f t="shared" si="24"/>
        <v>2027</v>
      </c>
      <c r="G75" s="163">
        <f t="shared" si="24"/>
        <v>2028</v>
      </c>
      <c r="H75" s="163">
        <f t="shared" si="24"/>
        <v>2029</v>
      </c>
      <c r="I75" s="163">
        <f t="shared" si="24"/>
        <v>2030</v>
      </c>
      <c r="J75" s="163">
        <f t="shared" si="24"/>
        <v>2031</v>
      </c>
    </row>
    <row r="76" spans="2:18" x14ac:dyDescent="0.3">
      <c r="B76" s="260" t="s">
        <v>168</v>
      </c>
      <c r="C76" s="261"/>
      <c r="D76" s="262">
        <f t="shared" ref="D76:J76" si="25">D50</f>
        <v>46022</v>
      </c>
      <c r="E76" s="262">
        <f t="shared" si="25"/>
        <v>46387</v>
      </c>
      <c r="F76" s="262">
        <f t="shared" si="25"/>
        <v>46752</v>
      </c>
      <c r="G76" s="262">
        <f t="shared" si="25"/>
        <v>47118</v>
      </c>
      <c r="H76" s="262">
        <f t="shared" si="25"/>
        <v>47483</v>
      </c>
      <c r="I76" s="262">
        <f t="shared" si="25"/>
        <v>47848</v>
      </c>
      <c r="J76" s="262">
        <f t="shared" si="25"/>
        <v>48213</v>
      </c>
    </row>
    <row r="77" spans="2:18" ht="5.0999999999999996" customHeight="1" x14ac:dyDescent="0.3">
      <c r="R77" t="s">
        <v>91</v>
      </c>
    </row>
    <row r="78" spans="2:18" ht="18" customHeight="1" x14ac:dyDescent="0.3">
      <c r="B78" s="101" t="s">
        <v>169</v>
      </c>
      <c r="C78" s="102"/>
      <c r="D78" s="103">
        <f>SUM(D79:D80)</f>
        <v>30602.739726027401</v>
      </c>
      <c r="E78" s="103">
        <f t="shared" ref="E78:J78" si="26">SUM(E79:E80)</f>
        <v>56653.595890410958</v>
      </c>
      <c r="F78" s="103">
        <f t="shared" si="26"/>
        <v>77657.502945205546</v>
      </c>
      <c r="G78" s="103">
        <f t="shared" si="26"/>
        <v>151423.48076328775</v>
      </c>
      <c r="H78" s="103">
        <f>SUM(H79:H80)</f>
        <v>243021.21201979503</v>
      </c>
      <c r="I78" s="103">
        <f t="shared" si="26"/>
        <v>367554.38604467671</v>
      </c>
      <c r="J78" s="104">
        <f t="shared" si="26"/>
        <v>522265.28050908278</v>
      </c>
      <c r="O78" t="s">
        <v>91</v>
      </c>
    </row>
    <row r="79" spans="2:18" x14ac:dyDescent="0.3">
      <c r="B79" s="78" t="s">
        <v>170</v>
      </c>
      <c r="C79" s="79"/>
      <c r="D79" s="80">
        <f t="shared" ref="D79:J79" si="27">D46</f>
        <v>-10000</v>
      </c>
      <c r="E79" s="80">
        <f t="shared" si="27"/>
        <v>-37387.5</v>
      </c>
      <c r="F79" s="80">
        <f t="shared" si="27"/>
        <v>-21206.604999999923</v>
      </c>
      <c r="G79" s="80">
        <f t="shared" si="27"/>
        <v>55241.508360000065</v>
      </c>
      <c r="H79" s="80">
        <f t="shared" si="27"/>
        <v>92470.286711595007</v>
      </c>
      <c r="I79" s="80">
        <f t="shared" si="27"/>
        <v>274385.83460109209</v>
      </c>
      <c r="J79" s="81">
        <f t="shared" si="27"/>
        <v>476294.6833540696</v>
      </c>
      <c r="M79" t="s">
        <v>91</v>
      </c>
    </row>
    <row r="80" spans="2:18" ht="15.6" customHeight="1" x14ac:dyDescent="0.3">
      <c r="B80" s="89" t="s">
        <v>171</v>
      </c>
      <c r="C80" s="90"/>
      <c r="D80" s="82">
        <f>SUM(D81:D82)</f>
        <v>40602.739726027401</v>
      </c>
      <c r="E80" s="82">
        <f t="shared" ref="E80:J80" si="28">SUM(E81:E82)</f>
        <v>94041.095890410958</v>
      </c>
      <c r="F80" s="82">
        <f t="shared" si="28"/>
        <v>98864.107945205469</v>
      </c>
      <c r="G80" s="82">
        <f t="shared" si="28"/>
        <v>96181.972403287669</v>
      </c>
      <c r="H80" s="82">
        <f t="shared" si="28"/>
        <v>150550.92530820001</v>
      </c>
      <c r="I80" s="82">
        <f t="shared" si="28"/>
        <v>93168.551443584598</v>
      </c>
      <c r="J80" s="93">
        <f t="shared" si="28"/>
        <v>45970.597155013165</v>
      </c>
      <c r="M80" t="s">
        <v>91</v>
      </c>
      <c r="N80" t="s">
        <v>91</v>
      </c>
    </row>
    <row r="81" spans="2:17" ht="13.95" customHeight="1" x14ac:dyDescent="0.3">
      <c r="B81" s="164" t="s">
        <v>29</v>
      </c>
      <c r="C81" s="85"/>
      <c r="D81" s="165">
        <f t="shared" ref="D81:J81" si="29">-D32</f>
        <v>51000</v>
      </c>
      <c r="E81" s="165">
        <f t="shared" si="29"/>
        <v>103000</v>
      </c>
      <c r="F81" s="165">
        <f t="shared" si="29"/>
        <v>106000</v>
      </c>
      <c r="G81" s="165">
        <f t="shared" si="29"/>
        <v>110000</v>
      </c>
      <c r="H81" s="165">
        <f t="shared" si="29"/>
        <v>165000</v>
      </c>
      <c r="I81" s="165">
        <f t="shared" si="29"/>
        <v>120000</v>
      </c>
      <c r="J81" s="166">
        <f t="shared" si="29"/>
        <v>75000</v>
      </c>
      <c r="K81" s="88" t="b">
        <f>SUM(D81:J81)=-SUM(D32:J32)</f>
        <v>1</v>
      </c>
      <c r="N81" t="s">
        <v>91</v>
      </c>
    </row>
    <row r="82" spans="2:17" ht="13.95" customHeight="1" x14ac:dyDescent="0.3">
      <c r="B82" s="164" t="s">
        <v>172</v>
      </c>
      <c r="C82" s="85"/>
      <c r="D82" s="165">
        <f>INPUTS!E134</f>
        <v>-10397.260273972603</v>
      </c>
      <c r="E82" s="165">
        <f>INPUTS!F134</f>
        <v>-8958.9041095890389</v>
      </c>
      <c r="F82" s="165">
        <f>INPUTS!G134</f>
        <v>-7135.8920547945308</v>
      </c>
      <c r="G82" s="165">
        <f>INPUTS!H134</f>
        <v>-13818.027596712331</v>
      </c>
      <c r="H82" s="165">
        <f>INPUTS!I134</f>
        <v>-14449.074691799993</v>
      </c>
      <c r="I82" s="165">
        <f>INPUTS!J134</f>
        <v>-26831.448556415402</v>
      </c>
      <c r="J82" s="166">
        <f>INPUTS!K134</f>
        <v>-29029.402844986835</v>
      </c>
      <c r="K82" s="88" t="b">
        <f>SUM(D82:J82)=SUM(INPUTS!D134:K134)</f>
        <v>1</v>
      </c>
      <c r="O82" t="s">
        <v>91</v>
      </c>
    </row>
    <row r="83" spans="2:17" x14ac:dyDescent="0.3">
      <c r="B83" s="97"/>
      <c r="C83" s="98"/>
      <c r="D83" s="98"/>
      <c r="E83" s="98"/>
      <c r="F83" s="98"/>
      <c r="G83" s="99"/>
      <c r="H83" s="99"/>
      <c r="I83" s="99"/>
      <c r="J83" s="100"/>
      <c r="M83" t="s">
        <v>91</v>
      </c>
    </row>
    <row r="84" spans="2:17" ht="17.25" customHeight="1" x14ac:dyDescent="0.3">
      <c r="B84" s="167" t="s">
        <v>173</v>
      </c>
      <c r="C84" s="168"/>
      <c r="D84" s="169">
        <f>SUM(D85:D86)</f>
        <v>-255000</v>
      </c>
      <c r="E84" s="169">
        <f t="shared" ref="E84:J84" si="30">SUM(E85:E86)</f>
        <v>-260000</v>
      </c>
      <c r="F84" s="169">
        <f t="shared" si="30"/>
        <v>-15000</v>
      </c>
      <c r="G84" s="169">
        <f t="shared" si="30"/>
        <v>30000</v>
      </c>
      <c r="H84" s="169">
        <f t="shared" si="30"/>
        <v>-275000</v>
      </c>
      <c r="I84" s="169">
        <f t="shared" si="30"/>
        <v>-30000</v>
      </c>
      <c r="J84" s="170">
        <f t="shared" si="30"/>
        <v>-35000</v>
      </c>
      <c r="M84" t="s">
        <v>91</v>
      </c>
    </row>
    <row r="85" spans="2:17" ht="13.2" customHeight="1" x14ac:dyDescent="0.3">
      <c r="B85" s="131" t="s">
        <v>15</v>
      </c>
      <c r="C85" s="132"/>
      <c r="D85" s="171">
        <f>-INPUTS!E98</f>
        <v>-255000</v>
      </c>
      <c r="E85" s="171">
        <f>-INPUTS!F98</f>
        <v>-260000</v>
      </c>
      <c r="F85" s="171">
        <f>-INPUTS!G98</f>
        <v>-15000</v>
      </c>
      <c r="G85" s="171">
        <f>-INPUTS!H98</f>
        <v>-20000</v>
      </c>
      <c r="H85" s="171">
        <f>-INPUTS!I98</f>
        <v>-275000</v>
      </c>
      <c r="I85" s="171">
        <f>-INPUTS!J98</f>
        <v>-30000</v>
      </c>
      <c r="J85" s="172">
        <f>-INPUTS!K98</f>
        <v>-35000</v>
      </c>
      <c r="K85" s="88" t="b">
        <f>SUM(D85:J85)=-SUM(INPUTS!E98:K98)</f>
        <v>1</v>
      </c>
    </row>
    <row r="86" spans="2:17" ht="13.2" customHeight="1" x14ac:dyDescent="0.3">
      <c r="B86" s="173" t="s">
        <v>174</v>
      </c>
      <c r="C86" s="91"/>
      <c r="D86" s="128">
        <f>INPUTS!E101</f>
        <v>0</v>
      </c>
      <c r="E86" s="128">
        <f>INPUTS!F101</f>
        <v>0</v>
      </c>
      <c r="F86" s="128">
        <f>INPUTS!G101</f>
        <v>0</v>
      </c>
      <c r="G86" s="128">
        <f>INPUTS!H101</f>
        <v>50000</v>
      </c>
      <c r="H86" s="128">
        <f>INPUTS!I101</f>
        <v>0</v>
      </c>
      <c r="I86" s="128">
        <f>INPUTS!J101</f>
        <v>0</v>
      </c>
      <c r="J86" s="135">
        <f>INPUTS!K101</f>
        <v>0</v>
      </c>
      <c r="K86" s="88" t="b">
        <f>SUM(D86:J86)=SUM(INPUTS!E101:K101)</f>
        <v>1</v>
      </c>
      <c r="M86" t="s">
        <v>91</v>
      </c>
    </row>
    <row r="87" spans="2:17" ht="13.2" customHeight="1" x14ac:dyDescent="0.3">
      <c r="B87" s="97"/>
      <c r="C87" s="98"/>
      <c r="D87" s="174"/>
      <c r="E87" s="174"/>
      <c r="F87" s="174"/>
      <c r="G87" s="174"/>
      <c r="H87" s="174"/>
      <c r="I87" s="174"/>
      <c r="J87" s="175"/>
    </row>
    <row r="88" spans="2:17" ht="18.75" customHeight="1" x14ac:dyDescent="0.3">
      <c r="B88" s="176" t="s">
        <v>175</v>
      </c>
      <c r="C88" s="177"/>
      <c r="D88" s="178">
        <f t="shared" ref="D88:J88" si="31">SUM(D89:D90)</f>
        <v>175000</v>
      </c>
      <c r="E88" s="178">
        <f t="shared" si="31"/>
        <v>-50000</v>
      </c>
      <c r="F88" s="178">
        <f t="shared" si="31"/>
        <v>-50000</v>
      </c>
      <c r="G88" s="179">
        <f t="shared" si="31"/>
        <v>0</v>
      </c>
      <c r="H88" s="179">
        <f t="shared" si="31"/>
        <v>0</v>
      </c>
      <c r="I88" s="179">
        <f t="shared" si="31"/>
        <v>0</v>
      </c>
      <c r="J88" s="180">
        <f t="shared" si="31"/>
        <v>0</v>
      </c>
      <c r="L88" t="s">
        <v>91</v>
      </c>
      <c r="O88" t="s">
        <v>91</v>
      </c>
    </row>
    <row r="89" spans="2:17" ht="13.2" customHeight="1" x14ac:dyDescent="0.3">
      <c r="B89" s="131" t="s">
        <v>176</v>
      </c>
      <c r="C89" s="132"/>
      <c r="D89" s="181">
        <f>'2. SUPPORTING SCHEDULES'!D25+INPUTS!D126</f>
        <v>225000</v>
      </c>
      <c r="E89" s="181">
        <f>'2. SUPPORTING SCHEDULES'!E25</f>
        <v>0</v>
      </c>
      <c r="F89" s="181">
        <f>'2. SUPPORTING SCHEDULES'!F25</f>
        <v>0</v>
      </c>
      <c r="G89" s="181">
        <f>'2. SUPPORTING SCHEDULES'!G25</f>
        <v>0</v>
      </c>
      <c r="H89" s="181">
        <f>'2. SUPPORTING SCHEDULES'!H25</f>
        <v>0</v>
      </c>
      <c r="I89" s="181">
        <f>'2. SUPPORTING SCHEDULES'!I25</f>
        <v>0</v>
      </c>
      <c r="J89" s="182">
        <f>'2. SUPPORTING SCHEDULES'!J25</f>
        <v>0</v>
      </c>
      <c r="K89" s="88" t="b">
        <f>SUM(D89:J89)=SUM('2. SUPPORTING SCHEDULES'!D8:J8,'2. SUPPORTING SCHEDULES'!D14:J14,'2. SUPPORTING SCHEDULES'!D20:J20)</f>
        <v>0</v>
      </c>
    </row>
    <row r="90" spans="2:17" ht="13.2" customHeight="1" x14ac:dyDescent="0.3">
      <c r="B90" s="173" t="s">
        <v>177</v>
      </c>
      <c r="C90" s="91"/>
      <c r="D90" s="86">
        <f>'2. SUPPORTING SCHEDULES'!D29</f>
        <v>-50000</v>
      </c>
      <c r="E90" s="86">
        <f>'2. SUPPORTING SCHEDULES'!E29</f>
        <v>-50000</v>
      </c>
      <c r="F90" s="86">
        <f>'2. SUPPORTING SCHEDULES'!F29</f>
        <v>-50000</v>
      </c>
      <c r="G90" s="86">
        <f>'2. SUPPORTING SCHEDULES'!G29</f>
        <v>0</v>
      </c>
      <c r="H90" s="86">
        <f>'2. SUPPORTING SCHEDULES'!H29</f>
        <v>0</v>
      </c>
      <c r="I90" s="86">
        <f>'2. SUPPORTING SCHEDULES'!I29</f>
        <v>0</v>
      </c>
      <c r="J90" s="87">
        <f>'2. SUPPORTING SCHEDULES'!J29</f>
        <v>0</v>
      </c>
      <c r="K90" s="88" t="b">
        <f>SUM(D90:J90)=SUM('2. SUPPORTING SCHEDULES'!D10:J10,'2. SUPPORTING SCHEDULES'!D22:J22,'2. SUPPORTING SCHEDULES'!D16:J16)</f>
        <v>1</v>
      </c>
    </row>
    <row r="91" spans="2:17" ht="13.2" customHeight="1" x14ac:dyDescent="0.3">
      <c r="B91" s="97"/>
      <c r="C91" s="98"/>
      <c r="D91" s="174"/>
      <c r="E91" s="174"/>
      <c r="F91" s="174"/>
      <c r="G91" s="183"/>
      <c r="H91" s="183"/>
      <c r="I91" s="183"/>
      <c r="J91" s="184"/>
    </row>
    <row r="92" spans="2:17" ht="15" customHeight="1" x14ac:dyDescent="0.3">
      <c r="B92" s="185" t="s">
        <v>178</v>
      </c>
      <c r="C92" s="186"/>
      <c r="D92" s="187">
        <f t="shared" ref="D92:J92" si="32">SUM(D78,D84,D88)</f>
        <v>-49397.260273972584</v>
      </c>
      <c r="E92" s="187">
        <f t="shared" si="32"/>
        <v>-253346.40410958906</v>
      </c>
      <c r="F92" s="187">
        <f t="shared" si="32"/>
        <v>12657.502945205546</v>
      </c>
      <c r="G92" s="187">
        <f t="shared" si="32"/>
        <v>181423.48076328775</v>
      </c>
      <c r="H92" s="187">
        <f t="shared" si="32"/>
        <v>-31978.787980204972</v>
      </c>
      <c r="I92" s="187">
        <f t="shared" si="32"/>
        <v>337554.38604467671</v>
      </c>
      <c r="J92" s="188">
        <f t="shared" si="32"/>
        <v>487265.28050908278</v>
      </c>
    </row>
    <row r="93" spans="2:17" ht="5.0999999999999996" customHeight="1" x14ac:dyDescent="0.3"/>
    <row r="94" spans="2:17" ht="15" customHeight="1" x14ac:dyDescent="0.3">
      <c r="B94" s="185" t="s">
        <v>179</v>
      </c>
      <c r="C94" s="79"/>
      <c r="D94" s="189">
        <f>C59</f>
        <v>0</v>
      </c>
      <c r="E94" s="187">
        <f t="shared" ref="E94:J94" si="33">D95</f>
        <v>-49397.260273972584</v>
      </c>
      <c r="F94" s="187">
        <f t="shared" si="33"/>
        <v>-302743.66438356164</v>
      </c>
      <c r="G94" s="187">
        <f t="shared" si="33"/>
        <v>-290086.1614383561</v>
      </c>
      <c r="H94" s="187">
        <f t="shared" si="33"/>
        <v>-108662.68067506835</v>
      </c>
      <c r="I94" s="187">
        <f t="shared" si="33"/>
        <v>-140641.46865527332</v>
      </c>
      <c r="J94" s="188">
        <f t="shared" si="33"/>
        <v>196912.91738940339</v>
      </c>
    </row>
    <row r="95" spans="2:17" ht="15" customHeight="1" x14ac:dyDescent="0.3">
      <c r="B95" s="185" t="s">
        <v>180</v>
      </c>
      <c r="C95" s="186"/>
      <c r="D95" s="137">
        <f>SUM(D92:D94)</f>
        <v>-49397.260273972584</v>
      </c>
      <c r="E95" s="137">
        <f t="shared" ref="E95:J95" si="34">SUM(E92:E94)</f>
        <v>-302743.66438356164</v>
      </c>
      <c r="F95" s="137">
        <f t="shared" si="34"/>
        <v>-290086.1614383561</v>
      </c>
      <c r="G95" s="137">
        <f t="shared" si="34"/>
        <v>-108662.68067506835</v>
      </c>
      <c r="H95" s="137">
        <f t="shared" si="34"/>
        <v>-140641.46865527332</v>
      </c>
      <c r="I95" s="137">
        <f t="shared" si="34"/>
        <v>196912.91738940339</v>
      </c>
      <c r="J95" s="138">
        <f t="shared" si="34"/>
        <v>684178.19789848616</v>
      </c>
      <c r="M95" s="190" t="s">
        <v>181</v>
      </c>
      <c r="N95" s="138">
        <f>IF(SUMIF(D95:J95,"&lt;0")&lt;0,MIN(D95:J95),"0")</f>
        <v>-302743.66438356164</v>
      </c>
      <c r="P95" s="190" t="s">
        <v>182</v>
      </c>
      <c r="Q95" s="191">
        <f>_xlfn.XLOOKUP(N95,D95:J95,D75:J75)</f>
        <v>2026</v>
      </c>
    </row>
    <row r="96" spans="2:17" ht="5.0999999999999996" customHeight="1" x14ac:dyDescent="0.3"/>
    <row r="99" spans="6:13" x14ac:dyDescent="0.3">
      <c r="I99" t="s">
        <v>91</v>
      </c>
    </row>
    <row r="100" spans="6:13" x14ac:dyDescent="0.3">
      <c r="F100" t="s">
        <v>91</v>
      </c>
      <c r="M100" s="2"/>
    </row>
    <row r="102" spans="6:13" x14ac:dyDescent="0.3">
      <c r="F102" t="s">
        <v>91</v>
      </c>
    </row>
    <row r="119" spans="7:7" x14ac:dyDescent="0.3">
      <c r="G119" s="192"/>
    </row>
  </sheetData>
  <conditionalFormatting sqref="D73:J73">
    <cfRule type="cellIs" dxfId="14" priority="11" operator="equal">
      <formula>0</formula>
    </cfRule>
  </conditionalFormatting>
  <conditionalFormatting sqref="D95:J95">
    <cfRule type="cellIs" dxfId="13" priority="14" operator="lessThan">
      <formula>0</formula>
    </cfRule>
    <cfRule type="cellIs" dxfId="12" priority="15" operator="greaterThan">
      <formula>0</formula>
    </cfRule>
  </conditionalFormatting>
  <conditionalFormatting sqref="D46:K46">
    <cfRule type="cellIs" dxfId="11" priority="12" operator="greaterThan">
      <formula>0</formula>
    </cfRule>
    <cfRule type="cellIs" dxfId="10" priority="13" operator="lessThan">
      <formula>0</formula>
    </cfRule>
  </conditionalFormatting>
  <conditionalFormatting sqref="K9:K45">
    <cfRule type="cellIs" dxfId="9" priority="9" operator="greaterThan">
      <formula>0</formula>
    </cfRule>
    <cfRule type="cellIs" dxfId="8" priority="10" operator="lessThan">
      <formula>0</formula>
    </cfRule>
  </conditionalFormatting>
  <conditionalFormatting sqref="K81:K82">
    <cfRule type="cellIs" dxfId="7" priority="7" operator="greaterThan">
      <formula>0</formula>
    </cfRule>
    <cfRule type="cellIs" dxfId="6" priority="8" operator="lessThan">
      <formula>0</formula>
    </cfRule>
  </conditionalFormatting>
  <conditionalFormatting sqref="K85:K86">
    <cfRule type="cellIs" dxfId="5" priority="5" operator="greaterThan">
      <formula>0</formula>
    </cfRule>
    <cfRule type="cellIs" dxfId="4" priority="6" operator="lessThan">
      <formula>0</formula>
    </cfRule>
  </conditionalFormatting>
  <conditionalFormatting sqref="K89:K90">
    <cfRule type="cellIs" dxfId="3" priority="3" operator="greaterThan">
      <formula>0</formula>
    </cfRule>
    <cfRule type="cellIs" dxfId="2" priority="4" operator="lessThan">
      <formula>0</formula>
    </cfRule>
  </conditionalFormatting>
  <conditionalFormatting sqref="N95">
    <cfRule type="cellIs" dxfId="1" priority="1" operator="lessThan">
      <formula>0</formula>
    </cfRule>
    <cfRule type="cellIs" dxfId="0" priority="2" operator="greater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ACAC-AA38-43C6-B179-ED89BEC695CF}">
  <sheetPr>
    <tabColor theme="7" tint="0.79998168889431442"/>
  </sheetPr>
  <dimension ref="A1:X50"/>
  <sheetViews>
    <sheetView showGridLines="0" tabSelected="1" zoomScale="80" workbookViewId="0">
      <selection activeCell="O20" sqref="O20"/>
    </sheetView>
  </sheetViews>
  <sheetFormatPr defaultRowHeight="14.4" outlineLevelCol="1" x14ac:dyDescent="0.3"/>
  <cols>
    <col min="1" max="1" width="20.88671875" customWidth="1"/>
    <col min="2" max="2" width="36" customWidth="1"/>
    <col min="3" max="3" width="12.88671875" hidden="1" customWidth="1" outlineLevel="1"/>
    <col min="4" max="4" width="12.88671875" bestFit="1" customWidth="1" collapsed="1"/>
    <col min="5" max="7" width="12.88671875" bestFit="1" customWidth="1"/>
    <col min="8" max="9" width="13.109375" bestFit="1" customWidth="1"/>
    <col min="10" max="10" width="11.109375" bestFit="1" customWidth="1"/>
  </cols>
  <sheetData>
    <row r="1" spans="1:19" x14ac:dyDescent="0.3">
      <c r="A1" s="1"/>
      <c r="B1" s="1"/>
    </row>
    <row r="2" spans="1:19" x14ac:dyDescent="0.3">
      <c r="A2" s="1"/>
      <c r="B2" s="1"/>
    </row>
    <row r="3" spans="1:19" ht="16.2" x14ac:dyDescent="0.35">
      <c r="A3" s="1"/>
      <c r="B3" s="293" t="s">
        <v>0</v>
      </c>
    </row>
    <row r="4" spans="1:19" x14ac:dyDescent="0.3">
      <c r="A4" s="1"/>
      <c r="B4" s="1"/>
    </row>
    <row r="6" spans="1:19" x14ac:dyDescent="0.3">
      <c r="B6" s="265" t="s">
        <v>183</v>
      </c>
      <c r="C6" s="266">
        <v>0</v>
      </c>
      <c r="D6" s="266">
        <f t="shared" ref="D6:J7" si="0">C6+1</f>
        <v>1</v>
      </c>
      <c r="E6" s="266">
        <f t="shared" si="0"/>
        <v>2</v>
      </c>
      <c r="F6" s="266">
        <f t="shared" si="0"/>
        <v>3</v>
      </c>
      <c r="G6" s="266">
        <f t="shared" si="0"/>
        <v>4</v>
      </c>
      <c r="H6" s="266">
        <f t="shared" si="0"/>
        <v>5</v>
      </c>
      <c r="I6" s="266">
        <f t="shared" si="0"/>
        <v>6</v>
      </c>
      <c r="J6" s="267">
        <f t="shared" si="0"/>
        <v>7</v>
      </c>
    </row>
    <row r="7" spans="1:19" x14ac:dyDescent="0.3">
      <c r="B7" s="268" t="s">
        <v>128</v>
      </c>
      <c r="C7" s="269">
        <v>2024</v>
      </c>
      <c r="D7" s="274">
        <f t="shared" si="0"/>
        <v>2025</v>
      </c>
      <c r="E7" s="269">
        <f t="shared" si="0"/>
        <v>2026</v>
      </c>
      <c r="F7" s="269">
        <f t="shared" si="0"/>
        <v>2027</v>
      </c>
      <c r="G7" s="269">
        <f t="shared" si="0"/>
        <v>2028</v>
      </c>
      <c r="H7" s="269">
        <f t="shared" si="0"/>
        <v>2029</v>
      </c>
      <c r="I7" s="269">
        <f t="shared" si="0"/>
        <v>2030</v>
      </c>
      <c r="J7" s="270">
        <f t="shared" si="0"/>
        <v>2031</v>
      </c>
    </row>
    <row r="8" spans="1:19" x14ac:dyDescent="0.3">
      <c r="B8" s="146" t="s">
        <v>184</v>
      </c>
      <c r="C8" s="196"/>
      <c r="D8" s="196">
        <f>IF(D7=INPUTS!$H$122,INPUTS!$D$122,"")</f>
        <v>150000</v>
      </c>
      <c r="E8" s="197" t="str">
        <f>IF(E7=INPUTS!$H$122,INPUTS!$D$122,"")</f>
        <v/>
      </c>
      <c r="F8" s="197" t="str">
        <f>IF(F7=INPUTS!$H$122,INPUTS!$D$122,"")</f>
        <v/>
      </c>
      <c r="G8" s="197" t="str">
        <f>IF(G7=INPUTS!$H$122,INPUTS!$D$122,"")</f>
        <v/>
      </c>
      <c r="H8" s="197" t="str">
        <f>IF(H7=INPUTS!$H$122,INPUTS!$D$122,"")</f>
        <v/>
      </c>
      <c r="I8" s="197" t="str">
        <f>IF(I7=INPUTS!$H$122,INPUTS!$D$122,"")</f>
        <v/>
      </c>
      <c r="J8" s="198" t="str">
        <f>IF(J7=INPUTS!$H$122,INPUTS!$D$122,"")</f>
        <v/>
      </c>
    </row>
    <row r="9" spans="1:19" x14ac:dyDescent="0.3">
      <c r="B9" s="113" t="s">
        <v>185</v>
      </c>
      <c r="C9" s="196">
        <f>IF(INPUTS!$H$122=C6,INPUTS!$D$122,0)</f>
        <v>0</v>
      </c>
      <c r="D9" s="196">
        <f>IF(D8=INPUTS!$D$122,D8,C11)</f>
        <v>150000</v>
      </c>
      <c r="E9" s="196">
        <f>IF(E8=INPUTS!$D$122,E8,D11)</f>
        <v>100000</v>
      </c>
      <c r="F9" s="196">
        <f>IF(F8=INPUTS!$D$122,F8,E11)</f>
        <v>50000</v>
      </c>
      <c r="G9" s="196">
        <f>IF(G8=INPUTS!$D$122,G8,F11)</f>
        <v>0</v>
      </c>
      <c r="H9" s="196">
        <f>IF(H8=INPUTS!$D$122,H8,G11)</f>
        <v>0</v>
      </c>
      <c r="I9" s="196">
        <f>IF(I8=INPUTS!$D$122,I8,H11)</f>
        <v>0</v>
      </c>
      <c r="J9" s="151">
        <f>IF(J8=INPUTS!$D$122,J8,I11)</f>
        <v>0</v>
      </c>
    </row>
    <row r="10" spans="1:19" x14ac:dyDescent="0.3">
      <c r="B10" s="113" t="s">
        <v>186</v>
      </c>
      <c r="C10" s="129">
        <f>C9/-INPUTS!E122</f>
        <v>0</v>
      </c>
      <c r="D10" s="129">
        <f>IF(D9&gt;0,-INPUTS!$F$122,0)</f>
        <v>-50000</v>
      </c>
      <c r="E10" s="129">
        <f>IF(E9&gt;0,-INPUTS!$F$122,0)</f>
        <v>-50000</v>
      </c>
      <c r="F10" s="129">
        <f>IF(F9&gt;0,-INPUTS!$F$122,0)</f>
        <v>-50000</v>
      </c>
      <c r="G10" s="129">
        <f>IF(G9&gt;0,-INPUTS!$F$122,0)</f>
        <v>0</v>
      </c>
      <c r="H10" s="129">
        <f>IF(H9&gt;0,-INPUTS!$F$122,0)</f>
        <v>0</v>
      </c>
      <c r="I10" s="129">
        <f>IF(I9&gt;0,-INPUTS!$F$122,0)</f>
        <v>0</v>
      </c>
      <c r="J10" s="130">
        <f>IF(J9&gt;0,-INPUTS!$F$122,0)</f>
        <v>0</v>
      </c>
      <c r="N10" t="s">
        <v>91</v>
      </c>
    </row>
    <row r="11" spans="1:19" x14ac:dyDescent="0.3">
      <c r="B11" s="190" t="s">
        <v>187</v>
      </c>
      <c r="C11" s="199">
        <f t="shared" ref="C11:J11" si="1">MAX(SUM(C9:C10),0)</f>
        <v>0</v>
      </c>
      <c r="D11" s="199">
        <f t="shared" si="1"/>
        <v>100000</v>
      </c>
      <c r="E11" s="199">
        <f t="shared" si="1"/>
        <v>50000</v>
      </c>
      <c r="F11" s="199">
        <f t="shared" si="1"/>
        <v>0</v>
      </c>
      <c r="G11" s="199">
        <f t="shared" si="1"/>
        <v>0</v>
      </c>
      <c r="H11" s="199">
        <f t="shared" si="1"/>
        <v>0</v>
      </c>
      <c r="I11" s="199">
        <f t="shared" si="1"/>
        <v>0</v>
      </c>
      <c r="J11" s="200">
        <f t="shared" si="1"/>
        <v>0</v>
      </c>
      <c r="N11" t="s">
        <v>91</v>
      </c>
    </row>
    <row r="12" spans="1:19" x14ac:dyDescent="0.3">
      <c r="J12" s="92"/>
    </row>
    <row r="13" spans="1:19" x14ac:dyDescent="0.3">
      <c r="B13" s="268" t="s">
        <v>129</v>
      </c>
      <c r="C13" s="269">
        <v>2024</v>
      </c>
      <c r="D13" s="269">
        <f t="shared" ref="D13:J13" si="2">C13+1</f>
        <v>2025</v>
      </c>
      <c r="E13" s="274">
        <f t="shared" si="2"/>
        <v>2026</v>
      </c>
      <c r="F13" s="274">
        <f t="shared" si="2"/>
        <v>2027</v>
      </c>
      <c r="G13" s="274">
        <f t="shared" si="2"/>
        <v>2028</v>
      </c>
      <c r="H13" s="274">
        <f t="shared" si="2"/>
        <v>2029</v>
      </c>
      <c r="I13" s="274">
        <f t="shared" si="2"/>
        <v>2030</v>
      </c>
      <c r="J13" s="275">
        <f t="shared" si="2"/>
        <v>2031</v>
      </c>
      <c r="K13" t="s">
        <v>91</v>
      </c>
    </row>
    <row r="14" spans="1:19" x14ac:dyDescent="0.3">
      <c r="B14" s="146" t="s">
        <v>184</v>
      </c>
      <c r="C14" s="197"/>
      <c r="D14" s="197" t="str">
        <f>IF(D13=INPUTS!$H$123,INPUTS!$D$123,"")</f>
        <v/>
      </c>
      <c r="E14" s="150">
        <f>IF(E13=INPUTS!$H$123,INPUTS!$D$123,"")</f>
        <v>0</v>
      </c>
      <c r="F14" s="150" t="str">
        <f>IF(F13=INPUTS!$H$123,INPUTS!$D$123,"")</f>
        <v/>
      </c>
      <c r="G14" s="150" t="str">
        <f>IF(G13=INPUTS!$H$123,INPUTS!$D$123,"")</f>
        <v/>
      </c>
      <c r="H14" s="150" t="str">
        <f>IF(H13=INPUTS!$H$123,INPUTS!$D$123,"")</f>
        <v/>
      </c>
      <c r="I14" s="150" t="str">
        <f>IF(I13=INPUTS!$H$123,INPUTS!$D$123,"")</f>
        <v/>
      </c>
      <c r="J14" s="151" t="str">
        <f>IF(J13=INPUTS!$H$123,INPUTS!$D$123,"")</f>
        <v/>
      </c>
    </row>
    <row r="15" spans="1:19" x14ac:dyDescent="0.3">
      <c r="B15" s="113" t="s">
        <v>185</v>
      </c>
      <c r="C15" s="196">
        <f>IF(INPUTS!$H$123=C6,INPUTS!$D$123,0)</f>
        <v>0</v>
      </c>
      <c r="D15" s="196">
        <f>IF(D14=INPUTS!$D$123,D14,C17)</f>
        <v>0</v>
      </c>
      <c r="E15" s="196">
        <f>IF(E14=INPUTS!$D$123,E14,D17)</f>
        <v>0</v>
      </c>
      <c r="F15" s="196">
        <f>IF(F14=INPUTS!$D$123,F14,E17)</f>
        <v>0</v>
      </c>
      <c r="G15" s="196">
        <f>IF(G14=INPUTS!$D$123,G14,F17)</f>
        <v>0</v>
      </c>
      <c r="H15" s="196">
        <f>IF(H14=INPUTS!$D$123,H14,G17)</f>
        <v>0</v>
      </c>
      <c r="I15" s="196">
        <f>IF(I14=INPUTS!$D$123,I14,H17)</f>
        <v>0</v>
      </c>
      <c r="J15" s="151">
        <f>IF(J14=INPUTS!$D$123,J14,I17)</f>
        <v>0</v>
      </c>
      <c r="M15" t="s">
        <v>91</v>
      </c>
    </row>
    <row r="16" spans="1:19" x14ac:dyDescent="0.3">
      <c r="B16" s="113" t="s">
        <v>186</v>
      </c>
      <c r="C16" s="129">
        <f>C15/-INPUTS!E123</f>
        <v>0</v>
      </c>
      <c r="D16" s="129">
        <f>IF(D15&gt;0,-INPUTS!$F$123,0)</f>
        <v>0</v>
      </c>
      <c r="E16" s="129">
        <f>IF(E15&gt;0,-INPUTS!$F$123,0)</f>
        <v>0</v>
      </c>
      <c r="F16" s="129">
        <f>IF(F15&gt;0,-INPUTS!$F$123,0)</f>
        <v>0</v>
      </c>
      <c r="G16" s="129">
        <f>IF(G15&gt;0,-INPUTS!$F$123,0)</f>
        <v>0</v>
      </c>
      <c r="H16" s="129">
        <f>IF(H15&gt;0,-INPUTS!$F$123,0)</f>
        <v>0</v>
      </c>
      <c r="I16" s="129">
        <f>IF(I15&gt;0,-INPUTS!$F$123,0)</f>
        <v>0</v>
      </c>
      <c r="J16" s="130">
        <f>IF(J15&gt;0,-INPUTS!$F$123,0)</f>
        <v>0</v>
      </c>
      <c r="S16" t="s">
        <v>91</v>
      </c>
    </row>
    <row r="17" spans="2:18" x14ac:dyDescent="0.3">
      <c r="B17" s="190" t="s">
        <v>187</v>
      </c>
      <c r="C17" s="199">
        <f t="shared" ref="C17:J17" si="3">MAX(SUM(C15:C16),0)</f>
        <v>0</v>
      </c>
      <c r="D17" s="199">
        <f t="shared" si="3"/>
        <v>0</v>
      </c>
      <c r="E17" s="199">
        <f t="shared" si="3"/>
        <v>0</v>
      </c>
      <c r="F17" s="199">
        <f t="shared" si="3"/>
        <v>0</v>
      </c>
      <c r="G17" s="199">
        <f t="shared" si="3"/>
        <v>0</v>
      </c>
      <c r="H17" s="199">
        <f t="shared" si="3"/>
        <v>0</v>
      </c>
      <c r="I17" s="199">
        <f t="shared" si="3"/>
        <v>0</v>
      </c>
      <c r="J17" s="200">
        <f t="shared" si="3"/>
        <v>0</v>
      </c>
      <c r="M17" t="s">
        <v>91</v>
      </c>
      <c r="O17" t="s">
        <v>91</v>
      </c>
      <c r="Q17" t="s">
        <v>91</v>
      </c>
    </row>
    <row r="18" spans="2:18" x14ac:dyDescent="0.3">
      <c r="J18" s="92"/>
      <c r="M18" t="s">
        <v>91</v>
      </c>
      <c r="O18" t="s">
        <v>91</v>
      </c>
      <c r="P18" t="s">
        <v>91</v>
      </c>
    </row>
    <row r="19" spans="2:18" x14ac:dyDescent="0.3">
      <c r="B19" s="268" t="s">
        <v>130</v>
      </c>
      <c r="C19" s="269">
        <v>2024</v>
      </c>
      <c r="D19" s="274">
        <f t="shared" ref="D19:J19" si="4">C19+1</f>
        <v>2025</v>
      </c>
      <c r="E19" s="274">
        <f t="shared" si="4"/>
        <v>2026</v>
      </c>
      <c r="F19" s="274">
        <f t="shared" si="4"/>
        <v>2027</v>
      </c>
      <c r="G19" s="274">
        <f t="shared" si="4"/>
        <v>2028</v>
      </c>
      <c r="H19" s="274">
        <f t="shared" si="4"/>
        <v>2029</v>
      </c>
      <c r="I19" s="274">
        <f t="shared" si="4"/>
        <v>2030</v>
      </c>
      <c r="J19" s="275">
        <f t="shared" si="4"/>
        <v>2031</v>
      </c>
    </row>
    <row r="20" spans="2:18" x14ac:dyDescent="0.3">
      <c r="B20" s="146" t="s">
        <v>184</v>
      </c>
      <c r="C20" s="150"/>
      <c r="D20" s="150" t="str">
        <f>IF(D19=INPUTS!$H$124,INPUTS!$D$124,"")</f>
        <v/>
      </c>
      <c r="E20" s="150" t="str">
        <f>IF(E19=INPUTS!$H$124,INPUTS!$D$124,"")</f>
        <v/>
      </c>
      <c r="F20" s="150">
        <f>IF(F19=INPUTS!$H$124,INPUTS!$D$124,"")</f>
        <v>0</v>
      </c>
      <c r="G20" s="150" t="str">
        <f>IF(G19=INPUTS!$H$124,INPUTS!$D$124,"")</f>
        <v/>
      </c>
      <c r="H20" s="150" t="str">
        <f>IF(H19=INPUTS!$H$124,INPUTS!$D$124,"")</f>
        <v/>
      </c>
      <c r="I20" s="150" t="str">
        <f>IF(I19=INPUTS!$H$124,INPUTS!$D$124,"")</f>
        <v/>
      </c>
      <c r="J20" s="151" t="str">
        <f>IF(J19=INPUTS!$H$124,INPUTS!$D$124,"")</f>
        <v/>
      </c>
    </row>
    <row r="21" spans="2:18" x14ac:dyDescent="0.3">
      <c r="B21" s="113" t="s">
        <v>185</v>
      </c>
      <c r="C21" s="196">
        <f>IF(INPUTS!$H$124=C6,INPUTS!$D$124,0)</f>
        <v>0</v>
      </c>
      <c r="D21" s="196">
        <f>IF(D20=INPUTS!$D$124,D20,C23)</f>
        <v>0</v>
      </c>
      <c r="E21" s="196">
        <f>IF(E20=INPUTS!$D$124,E20,D23)</f>
        <v>0</v>
      </c>
      <c r="F21" s="196">
        <f>IF(F20=INPUTS!$D$124,F20,E23)</f>
        <v>0</v>
      </c>
      <c r="G21" s="196">
        <f>IF(G20=INPUTS!$D$124,G20,F23)</f>
        <v>0</v>
      </c>
      <c r="H21" s="196">
        <f>IF(H20=INPUTS!$D$124,H20,G23)</f>
        <v>0</v>
      </c>
      <c r="I21" s="196">
        <f>IF(I20=INPUTS!$D$124,I20,H23)</f>
        <v>0</v>
      </c>
      <c r="J21" s="151">
        <f>IF(J20=INPUTS!$D$124,J20,I23)</f>
        <v>0</v>
      </c>
      <c r="R21" t="s">
        <v>91</v>
      </c>
    </row>
    <row r="22" spans="2:18" x14ac:dyDescent="0.3">
      <c r="B22" s="113" t="s">
        <v>186</v>
      </c>
      <c r="C22" s="129">
        <f>C21/-INPUTS!E124</f>
        <v>0</v>
      </c>
      <c r="D22" s="129">
        <f>IF(D21&gt;0,-INPUTS!$F$124,0)</f>
        <v>0</v>
      </c>
      <c r="E22" s="129">
        <f>IF(E21&gt;0,-INPUTS!$F$124,0)</f>
        <v>0</v>
      </c>
      <c r="F22" s="129">
        <f>IF(F21&gt;0,-INPUTS!$F$124,0)</f>
        <v>0</v>
      </c>
      <c r="G22" s="129">
        <f>IF(G21&gt;0,-INPUTS!$F$124,0)</f>
        <v>0</v>
      </c>
      <c r="H22" s="129">
        <f>IF(H21&gt;0,-INPUTS!$F$124,0)</f>
        <v>0</v>
      </c>
      <c r="I22" s="129">
        <f>IF(I21&gt;0,-INPUTS!$F$124,0)</f>
        <v>0</v>
      </c>
      <c r="J22" s="130">
        <f>IF(J21&gt;0,-INPUTS!$F$124,0)</f>
        <v>0</v>
      </c>
      <c r="N22" t="s">
        <v>91</v>
      </c>
      <c r="Q22" t="s">
        <v>91</v>
      </c>
    </row>
    <row r="23" spans="2:18" x14ac:dyDescent="0.3">
      <c r="B23" s="190" t="s">
        <v>187</v>
      </c>
      <c r="C23" s="199">
        <f t="shared" ref="C23:J23" si="5">MAX(SUM(C21:C22),0)</f>
        <v>0</v>
      </c>
      <c r="D23" s="199">
        <f t="shared" si="5"/>
        <v>0</v>
      </c>
      <c r="E23" s="199">
        <f t="shared" si="5"/>
        <v>0</v>
      </c>
      <c r="F23" s="199">
        <f t="shared" si="5"/>
        <v>0</v>
      </c>
      <c r="G23" s="199">
        <f t="shared" si="5"/>
        <v>0</v>
      </c>
      <c r="H23" s="199">
        <f t="shared" si="5"/>
        <v>0</v>
      </c>
      <c r="I23" s="199">
        <f t="shared" si="5"/>
        <v>0</v>
      </c>
      <c r="J23" s="200">
        <f t="shared" si="5"/>
        <v>0</v>
      </c>
      <c r="M23" t="s">
        <v>91</v>
      </c>
    </row>
    <row r="24" spans="2:18" x14ac:dyDescent="0.3">
      <c r="M24" t="s">
        <v>91</v>
      </c>
    </row>
    <row r="25" spans="2:18" x14ac:dyDescent="0.3">
      <c r="B25" s="276" t="s">
        <v>188</v>
      </c>
      <c r="C25" s="277">
        <f>SUM(C21,C15,C9)</f>
        <v>0</v>
      </c>
      <c r="D25" s="277">
        <f>SUM(D20,D14,D8)</f>
        <v>150000</v>
      </c>
      <c r="E25" s="277">
        <f t="shared" ref="E25:J25" si="6">SUM(E20,E14,E8)</f>
        <v>0</v>
      </c>
      <c r="F25" s="277">
        <f t="shared" si="6"/>
        <v>0</v>
      </c>
      <c r="G25" s="277">
        <f t="shared" si="6"/>
        <v>0</v>
      </c>
      <c r="H25" s="277">
        <f t="shared" si="6"/>
        <v>0</v>
      </c>
      <c r="I25" s="277">
        <f t="shared" si="6"/>
        <v>0</v>
      </c>
      <c r="J25" s="278">
        <f t="shared" si="6"/>
        <v>0</v>
      </c>
      <c r="M25" t="s">
        <v>91</v>
      </c>
    </row>
    <row r="26" spans="2:18" ht="5.0999999999999996" customHeight="1" x14ac:dyDescent="0.3"/>
    <row r="27" spans="2:18" x14ac:dyDescent="0.3">
      <c r="B27" s="276" t="s">
        <v>189</v>
      </c>
      <c r="C27" s="277">
        <f t="shared" ref="C27:J27" si="7">SUM(C23,C17,C11)</f>
        <v>0</v>
      </c>
      <c r="D27" s="277">
        <f t="shared" si="7"/>
        <v>100000</v>
      </c>
      <c r="E27" s="277">
        <f t="shared" si="7"/>
        <v>50000</v>
      </c>
      <c r="F27" s="277">
        <f t="shared" si="7"/>
        <v>0</v>
      </c>
      <c r="G27" s="277">
        <f t="shared" si="7"/>
        <v>0</v>
      </c>
      <c r="H27" s="277">
        <f t="shared" si="7"/>
        <v>0</v>
      </c>
      <c r="I27" s="277">
        <f t="shared" si="7"/>
        <v>0</v>
      </c>
      <c r="J27" s="278">
        <f t="shared" si="7"/>
        <v>0</v>
      </c>
      <c r="M27" t="s">
        <v>91</v>
      </c>
    </row>
    <row r="28" spans="2:18" ht="5.0999999999999996" customHeight="1" x14ac:dyDescent="0.3">
      <c r="J28" s="92"/>
      <c r="O28" t="s">
        <v>91</v>
      </c>
      <c r="P28" t="s">
        <v>91</v>
      </c>
    </row>
    <row r="29" spans="2:18" x14ac:dyDescent="0.3">
      <c r="B29" s="279" t="s">
        <v>190</v>
      </c>
      <c r="C29" s="280">
        <f t="shared" ref="C29:J29" si="8">SUM(C22,C16,C10)</f>
        <v>0</v>
      </c>
      <c r="D29" s="280">
        <f t="shared" si="8"/>
        <v>-50000</v>
      </c>
      <c r="E29" s="280">
        <f t="shared" si="8"/>
        <v>-50000</v>
      </c>
      <c r="F29" s="280">
        <f t="shared" si="8"/>
        <v>-50000</v>
      </c>
      <c r="G29" s="280">
        <f t="shared" si="8"/>
        <v>0</v>
      </c>
      <c r="H29" s="280">
        <f t="shared" si="8"/>
        <v>0</v>
      </c>
      <c r="I29" s="280">
        <f t="shared" si="8"/>
        <v>0</v>
      </c>
      <c r="J29" s="281">
        <f t="shared" si="8"/>
        <v>0</v>
      </c>
    </row>
    <row r="30" spans="2:18" ht="5.0999999999999996" customHeight="1" x14ac:dyDescent="0.3">
      <c r="J30" s="92"/>
    </row>
    <row r="31" spans="2:18" x14ac:dyDescent="0.3">
      <c r="C31" s="201"/>
      <c r="D31" s="201"/>
      <c r="E31" s="201"/>
      <c r="F31" s="201"/>
      <c r="G31" s="201"/>
      <c r="H31" s="201"/>
      <c r="I31" s="201"/>
      <c r="J31" s="202"/>
    </row>
    <row r="32" spans="2:18" x14ac:dyDescent="0.3">
      <c r="B32" s="271" t="s">
        <v>191</v>
      </c>
      <c r="C32" s="272"/>
      <c r="D32" s="272"/>
      <c r="E32" s="272"/>
      <c r="F32" s="272"/>
      <c r="G32" s="272"/>
      <c r="H32" s="272"/>
      <c r="I32" s="272"/>
      <c r="J32" s="273"/>
      <c r="R32" t="s">
        <v>91</v>
      </c>
    </row>
    <row r="33" spans="2:24" x14ac:dyDescent="0.3">
      <c r="B33" s="203" t="str">
        <f>B7</f>
        <v>Debt 1</v>
      </c>
      <c r="C33" s="204">
        <f>C9*INPUTS!$G$122</f>
        <v>0</v>
      </c>
      <c r="D33" s="204">
        <f>D9*INPUTS!$G$122</f>
        <v>6000</v>
      </c>
      <c r="E33" s="204">
        <f>E9*INPUTS!$G$122</f>
        <v>4000</v>
      </c>
      <c r="F33" s="204">
        <f>F9*INPUTS!$G$122</f>
        <v>2000</v>
      </c>
      <c r="G33" s="204">
        <f>G9*INPUTS!$G$122</f>
        <v>0</v>
      </c>
      <c r="H33" s="204">
        <f>H9*INPUTS!$G$122</f>
        <v>0</v>
      </c>
      <c r="I33" s="204">
        <f>I9*INPUTS!$G$122</f>
        <v>0</v>
      </c>
      <c r="J33" s="205">
        <f>J9*INPUTS!$G$122</f>
        <v>0</v>
      </c>
      <c r="N33" t="s">
        <v>91</v>
      </c>
      <c r="O33" t="s">
        <v>91</v>
      </c>
    </row>
    <row r="34" spans="2:24" x14ac:dyDescent="0.3">
      <c r="B34" s="94" t="str">
        <f>B13</f>
        <v>Debt 2</v>
      </c>
      <c r="C34" s="129">
        <f>C15*INPUTS!$G$123</f>
        <v>0</v>
      </c>
      <c r="D34" s="129">
        <f>D15*INPUTS!$G$123</f>
        <v>0</v>
      </c>
      <c r="E34" s="129">
        <f>E15*INPUTS!$G$123</f>
        <v>0</v>
      </c>
      <c r="F34" s="129">
        <f>F15*INPUTS!$G$123</f>
        <v>0</v>
      </c>
      <c r="G34" s="129">
        <f>G15*INPUTS!$G$123</f>
        <v>0</v>
      </c>
      <c r="H34" s="129">
        <f>H15*INPUTS!$G$123</f>
        <v>0</v>
      </c>
      <c r="I34" s="129">
        <f>I15*INPUTS!$G$123</f>
        <v>0</v>
      </c>
      <c r="J34" s="130">
        <f>J15*INPUTS!$G$123</f>
        <v>0</v>
      </c>
      <c r="O34" t="s">
        <v>91</v>
      </c>
    </row>
    <row r="35" spans="2:24" x14ac:dyDescent="0.3">
      <c r="B35" s="206" t="str">
        <f>B19</f>
        <v>Debt 3</v>
      </c>
      <c r="C35" s="183">
        <f>C21*INPUTS!$G$124</f>
        <v>0</v>
      </c>
      <c r="D35" s="183">
        <f>D21*INPUTS!$G$124</f>
        <v>0</v>
      </c>
      <c r="E35" s="183">
        <f>E21*INPUTS!$G$124</f>
        <v>0</v>
      </c>
      <c r="F35" s="183">
        <f>F21*INPUTS!$G$124</f>
        <v>0</v>
      </c>
      <c r="G35" s="183">
        <f>G21*INPUTS!$G$124</f>
        <v>0</v>
      </c>
      <c r="H35" s="183">
        <f>H21*INPUTS!$G$124</f>
        <v>0</v>
      </c>
      <c r="I35" s="183">
        <f>I21*INPUTS!$G$124</f>
        <v>0</v>
      </c>
      <c r="J35" s="184">
        <f>J21*INPUTS!$G$124</f>
        <v>0</v>
      </c>
    </row>
    <row r="36" spans="2:24" x14ac:dyDescent="0.3">
      <c r="B36" s="3"/>
      <c r="C36" s="129"/>
      <c r="D36" s="129"/>
      <c r="E36" s="129"/>
      <c r="F36" s="129"/>
      <c r="G36" s="129"/>
      <c r="H36" s="129"/>
      <c r="I36" s="129"/>
      <c r="J36" s="130"/>
    </row>
    <row r="37" spans="2:24" x14ac:dyDescent="0.3">
      <c r="B37" s="282" t="s">
        <v>192</v>
      </c>
      <c r="C37" s="283">
        <f t="shared" ref="C37:I37" si="9">SUM(C33:C35)</f>
        <v>0</v>
      </c>
      <c r="D37" s="283">
        <f t="shared" si="9"/>
        <v>6000</v>
      </c>
      <c r="E37" s="283">
        <f t="shared" si="9"/>
        <v>4000</v>
      </c>
      <c r="F37" s="283">
        <f t="shared" si="9"/>
        <v>2000</v>
      </c>
      <c r="G37" s="283">
        <f t="shared" si="9"/>
        <v>0</v>
      </c>
      <c r="H37" s="283">
        <f t="shared" si="9"/>
        <v>0</v>
      </c>
      <c r="I37" s="283">
        <f t="shared" si="9"/>
        <v>0</v>
      </c>
      <c r="J37" s="284">
        <f>SUM(J33:J35)</f>
        <v>0</v>
      </c>
      <c r="X37" t="s">
        <v>91</v>
      </c>
    </row>
    <row r="38" spans="2:24" x14ac:dyDescent="0.3">
      <c r="J38" s="92"/>
    </row>
    <row r="39" spans="2:24" x14ac:dyDescent="0.3">
      <c r="B39" s="279" t="s">
        <v>193</v>
      </c>
      <c r="C39" s="285">
        <v>0</v>
      </c>
      <c r="D39" s="285">
        <v>0</v>
      </c>
      <c r="E39" s="285">
        <v>0</v>
      </c>
      <c r="F39" s="285">
        <v>0</v>
      </c>
      <c r="G39" s="285">
        <v>0</v>
      </c>
      <c r="H39" s="285">
        <v>0</v>
      </c>
      <c r="I39" s="285">
        <v>0</v>
      </c>
      <c r="J39" s="286">
        <v>0</v>
      </c>
    </row>
    <row r="41" spans="2:24" x14ac:dyDescent="0.3">
      <c r="B41" s="193" t="s">
        <v>194</v>
      </c>
      <c r="C41" s="194"/>
      <c r="D41" s="194"/>
      <c r="E41" s="194"/>
      <c r="F41" s="194"/>
      <c r="G41" s="194"/>
      <c r="H41" s="194"/>
      <c r="I41" s="194"/>
      <c r="J41" s="195"/>
    </row>
    <row r="42" spans="2:24" x14ac:dyDescent="0.3">
      <c r="B42" s="287"/>
      <c r="C42" s="288">
        <v>2024</v>
      </c>
      <c r="D42" s="288">
        <f t="shared" ref="D42:J42" si="10">C42+1</f>
        <v>2025</v>
      </c>
      <c r="E42" s="288">
        <f t="shared" si="10"/>
        <v>2026</v>
      </c>
      <c r="F42" s="288">
        <f t="shared" si="10"/>
        <v>2027</v>
      </c>
      <c r="G42" s="288">
        <f t="shared" si="10"/>
        <v>2028</v>
      </c>
      <c r="H42" s="288">
        <f t="shared" si="10"/>
        <v>2029</v>
      </c>
      <c r="I42" s="289">
        <f t="shared" si="10"/>
        <v>2030</v>
      </c>
      <c r="J42" s="289">
        <f t="shared" si="10"/>
        <v>2031</v>
      </c>
    </row>
    <row r="43" spans="2:24" s="2" customFormat="1" x14ac:dyDescent="0.3">
      <c r="B43" s="190" t="s">
        <v>195</v>
      </c>
      <c r="C43" s="199"/>
      <c r="D43" s="199">
        <v>0</v>
      </c>
      <c r="E43" s="199">
        <f t="shared" ref="E43:J43" si="11">D47</f>
        <v>204000</v>
      </c>
      <c r="F43" s="199">
        <f t="shared" si="11"/>
        <v>361000</v>
      </c>
      <c r="G43" s="199">
        <f t="shared" si="11"/>
        <v>270000</v>
      </c>
      <c r="H43" s="199">
        <f t="shared" si="11"/>
        <v>130000</v>
      </c>
      <c r="I43" s="199">
        <f t="shared" si="11"/>
        <v>240000</v>
      </c>
      <c r="J43" s="200">
        <f t="shared" si="11"/>
        <v>150000</v>
      </c>
    </row>
    <row r="44" spans="2:24" x14ac:dyDescent="0.3">
      <c r="B44" s="113" t="s">
        <v>15</v>
      </c>
      <c r="C44" s="196"/>
      <c r="D44" s="196">
        <f>INPUTS!E98</f>
        <v>255000</v>
      </c>
      <c r="E44" s="196">
        <f>INPUTS!F98</f>
        <v>260000</v>
      </c>
      <c r="F44" s="196">
        <f>INPUTS!G98</f>
        <v>15000</v>
      </c>
      <c r="G44" s="196">
        <f>INPUTS!H98</f>
        <v>20000</v>
      </c>
      <c r="H44" s="196">
        <f>INPUTS!I98</f>
        <v>275000</v>
      </c>
      <c r="I44" s="196">
        <f>INPUTS!J98</f>
        <v>30000</v>
      </c>
      <c r="J44" s="151">
        <f>INPUTS!K98</f>
        <v>35000</v>
      </c>
    </row>
    <row r="45" spans="2:24" x14ac:dyDescent="0.3">
      <c r="B45" s="113" t="s">
        <v>196</v>
      </c>
      <c r="C45" s="196"/>
      <c r="D45" s="196">
        <f>-INPUTS!E116</f>
        <v>-51000</v>
      </c>
      <c r="E45" s="196">
        <f>-INPUTS!F116</f>
        <v>-103000</v>
      </c>
      <c r="F45" s="196">
        <f>-INPUTS!G116</f>
        <v>-106000</v>
      </c>
      <c r="G45" s="196">
        <f>-INPUTS!H116</f>
        <v>-110000</v>
      </c>
      <c r="H45" s="196">
        <f>-INPUTS!I116</f>
        <v>-165000</v>
      </c>
      <c r="I45" s="196">
        <f>-INPUTS!J116</f>
        <v>-120000</v>
      </c>
      <c r="J45" s="151">
        <f>-INPUTS!K116</f>
        <v>-75000</v>
      </c>
    </row>
    <row r="46" spans="2:24" x14ac:dyDescent="0.3">
      <c r="B46" s="113" t="s">
        <v>197</v>
      </c>
      <c r="C46" s="196"/>
      <c r="D46" s="196">
        <f>-INPUTS!E101</f>
        <v>0</v>
      </c>
      <c r="E46" s="196">
        <f>-INPUTS!F101</f>
        <v>0</v>
      </c>
      <c r="F46" s="196">
        <f>-INPUTS!G101</f>
        <v>0</v>
      </c>
      <c r="G46" s="196">
        <f>-INPUTS!H101</f>
        <v>-50000</v>
      </c>
      <c r="H46" s="196">
        <f>-INPUTS!I101</f>
        <v>0</v>
      </c>
      <c r="I46" s="196">
        <f>-INPUTS!J101</f>
        <v>0</v>
      </c>
      <c r="J46" s="151">
        <f>-INPUTS!K101</f>
        <v>0</v>
      </c>
    </row>
    <row r="47" spans="2:24" s="2" customFormat="1" x14ac:dyDescent="0.3">
      <c r="B47" s="190" t="s">
        <v>198</v>
      </c>
      <c r="C47" s="199"/>
      <c r="D47" s="199">
        <f>SUM(D43:D46)</f>
        <v>204000</v>
      </c>
      <c r="E47" s="199">
        <f t="shared" ref="E47:J47" si="12">SUM(E43:E46)</f>
        <v>361000</v>
      </c>
      <c r="F47" s="199">
        <f t="shared" si="12"/>
        <v>270000</v>
      </c>
      <c r="G47" s="199">
        <f t="shared" si="12"/>
        <v>130000</v>
      </c>
      <c r="H47" s="199">
        <f t="shared" si="12"/>
        <v>240000</v>
      </c>
      <c r="I47" s="199">
        <f t="shared" si="12"/>
        <v>150000</v>
      </c>
      <c r="J47" s="200">
        <f t="shared" si="12"/>
        <v>110000</v>
      </c>
    </row>
    <row r="49" spans="2:9" x14ac:dyDescent="0.3">
      <c r="B49" s="2"/>
      <c r="E49" t="s">
        <v>91</v>
      </c>
    </row>
    <row r="50" spans="2:9" x14ac:dyDescent="0.3">
      <c r="C50" s="207"/>
      <c r="D50" s="207"/>
      <c r="E50" s="207"/>
      <c r="F50" s="207"/>
      <c r="G50" s="207"/>
      <c r="H50" s="207"/>
      <c r="I50" s="20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ba23fd-da28-4a0e-9c80-fc1c2a00c615" xsi:nil="true"/>
    <_ip_UnifiedCompliancePolicyUIAction xmlns="http://schemas.microsoft.com/sharepoint/v3" xsi:nil="true"/>
    <lcf76f155ced4ddcb4097134ff3c332f xmlns="76057716-3b13-465d-aa6c-d0c609792c3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DBCD867419004ABD4A9A42860D405A" ma:contentTypeVersion="22" ma:contentTypeDescription="Een nieuw document maken." ma:contentTypeScope="" ma:versionID="b1a9627d364deb9ec25a11e7821ff869">
  <xsd:schema xmlns:xsd="http://www.w3.org/2001/XMLSchema" xmlns:xs="http://www.w3.org/2001/XMLSchema" xmlns:p="http://schemas.microsoft.com/office/2006/metadata/properties" xmlns:ns1="http://schemas.microsoft.com/sharepoint/v3" xmlns:ns2="76057716-3b13-465d-aa6c-d0c609792c3e" xmlns:ns3="34ba23fd-da28-4a0e-9c80-fc1c2a00c615" targetNamespace="http://schemas.microsoft.com/office/2006/metadata/properties" ma:root="true" ma:fieldsID="cfb463ace7278723b33a890bc467bc0f" ns1:_="" ns2:_="" ns3:_="">
    <xsd:import namespace="http://schemas.microsoft.com/sharepoint/v3"/>
    <xsd:import namespace="76057716-3b13-465d-aa6c-d0c609792c3e"/>
    <xsd:import namespace="34ba23fd-da28-4a0e-9c80-fc1c2a00c61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Eigenschappen van het geïntegreerd beleid voor naleving" ma:hidden="true" ma:internalName="_ip_UnifiedCompliancePolicyProperties">
      <xsd:simpleType>
        <xsd:restriction base="dms:Note"/>
      </xsd:simpleType>
    </xsd:element>
    <xsd:element name="_ip_UnifiedCompliancePolicyUIAction" ma:index="23"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057716-3b13-465d-aa6c-d0c609792c3e"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lcf76f155ced4ddcb4097134ff3c332f" ma:index="8" nillable="true" ma:taxonomy="true" ma:internalName="lcf76f155ced4ddcb4097134ff3c332f" ma:taxonomyFieldName="MediaServiceImageTags" ma:displayName="Afbeeldingtags" ma:readOnly="false" ma:fieldId="{5cf76f15-5ced-4ddc-b409-7134ff3c332f}" ma:taxonomyMulti="true" ma:sspId="66164ce7-698f-4819-8bfb-c5bd12e7acf0" ma:termSetId="09814cd3-568e-fe90-9814-8d621ff8fb84" ma:anchorId="fba54fb3-c3e1-fe81-a776-ca4b69148c4d" ma:open="true" ma:isKeyword="false">
      <xsd:complexType>
        <xsd:sequence>
          <xsd:element ref="pc:Terms" minOccurs="0" maxOccurs="1"/>
        </xsd:sequence>
      </xsd:complex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ba23fd-da28-4a0e-9c80-fc1c2a00c61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1f25fce3-197e-4c88-848d-f1a15b418673}" ma:internalName="TaxCatchAll" ma:showField="CatchAllData" ma:web="34ba23fd-da28-4a0e-9c80-fc1c2a00c615">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Gedeeld met"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388FF-2CE0-4315-9E35-9710105776FA}">
  <ds:schemaRefs>
    <ds:schemaRef ds:uri="http://schemas.microsoft.com/sharepoint/v3/contenttype/forms"/>
  </ds:schemaRefs>
</ds:datastoreItem>
</file>

<file path=customXml/itemProps2.xml><?xml version="1.0" encoding="utf-8"?>
<ds:datastoreItem xmlns:ds="http://schemas.openxmlformats.org/officeDocument/2006/customXml" ds:itemID="{07DD6196-CE96-40BD-BFE2-982CEAB29B9E}">
  <ds:schemaRefs>
    <ds:schemaRef ds:uri="http://schemas.microsoft.com/office/2006/metadata/properties"/>
    <ds:schemaRef ds:uri="http://schemas.microsoft.com/office/infopath/2007/PartnerControls"/>
    <ds:schemaRef ds:uri="34ba23fd-da28-4a0e-9c80-fc1c2a00c615"/>
    <ds:schemaRef ds:uri="http://schemas.microsoft.com/sharepoint/v3"/>
    <ds:schemaRef ds:uri="76057716-3b13-465d-aa6c-d0c609792c3e"/>
  </ds:schemaRefs>
</ds:datastoreItem>
</file>

<file path=customXml/itemProps3.xml><?xml version="1.0" encoding="utf-8"?>
<ds:datastoreItem xmlns:ds="http://schemas.openxmlformats.org/officeDocument/2006/customXml" ds:itemID="{39412FA1-43C3-49D4-BB53-7DFEA8D64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057716-3b13-465d-aa6c-d0c609792c3e"/>
    <ds:schemaRef ds:uri="34ba23fd-da28-4a0e-9c80-fc1c2a00c6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GLOSSARY</vt:lpstr>
      <vt:lpstr>INPUTS</vt:lpstr>
      <vt:lpstr>OUTPUTS &gt;&gt;</vt:lpstr>
      <vt:lpstr>1. FINANCIAL STATEMENTS</vt:lpstr>
      <vt:lpstr>2. SUPPORTING SCHEDULES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Alicia Kinsinger</dc:creator>
  <cp:keywords/>
  <dc:description/>
  <cp:lastModifiedBy>Dups - Louis</cp:lastModifiedBy>
  <cp:revision/>
  <dcterms:created xsi:type="dcterms:W3CDTF">2015-06-05T18:19:34Z</dcterms:created>
  <dcterms:modified xsi:type="dcterms:W3CDTF">2025-11-03T08:48:10Z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0x0101008BDBCD867419004ABD4A9A42860D405A</vt:lpwstr>
  </property>
  <property fmtid="{D5CDD505-2E9C-101B-9397-08002B2CF9AE}" pid="3" name="MediaServiceImageTags">
    <vt:lpwstr/>
  </property>
</Properties>
</file>