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eminornxt.sharepoint.com/sites/DSA-Dups/Gedeelde documenten/Website/1. Lead Magnets/1. Financial plan/"/>
    </mc:Choice>
  </mc:AlternateContent>
  <xr:revisionPtr revIDLastSave="1976" documentId="8_{E731CAAA-FF8E-4C20-A671-B767464AB515}" xr6:coauthVersionLast="47" xr6:coauthVersionMax="47" xr10:uidLastSave="{5B5AD689-B2E2-405E-8C97-30326493C0B4}"/>
  <bookViews>
    <workbookView xWindow="-57720" yWindow="-120" windowWidth="29040" windowHeight="17520" tabRatio="500" firstSheet="2" activeTab="4" xr2:uid="{00000000-000D-0000-FFFF-FFFF00000000}"/>
  </bookViews>
  <sheets>
    <sheet name="Glossaire + instructions" sheetId="1" r:id="rId1"/>
    <sheet name="PB_CACHE" sheetId="7" state="veryHidden" r:id="rId2"/>
    <sheet name="Hypothèses" sheetId="2" r:id="rId3"/>
    <sheet name="Outputs &gt;&gt;" sheetId="3" r:id="rId4"/>
    <sheet name="1. États financiers" sheetId="4" r:id="rId5"/>
    <sheet name="2. Annexes" sheetId="5" r:id="rId6"/>
    <sheet name="3. Tableau de bord" sheetId="6" r:id="rId7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6" l="1"/>
  <c r="C28" i="6"/>
  <c r="C27" i="6"/>
  <c r="C26" i="6"/>
  <c r="C25" i="6"/>
  <c r="E10" i="6"/>
  <c r="E94" i="2"/>
  <c r="D16" i="2"/>
  <c r="K74" i="5" s="1"/>
  <c r="D15" i="2"/>
  <c r="D14" i="2"/>
  <c r="D13" i="2"/>
  <c r="F175" i="2"/>
  <c r="G175" i="2" s="1"/>
  <c r="F170" i="2"/>
  <c r="G170" i="2" s="1"/>
  <c r="F165" i="2"/>
  <c r="G165" i="2" s="1"/>
  <c r="K141" i="2"/>
  <c r="J141" i="2"/>
  <c r="I141" i="2"/>
  <c r="H141" i="2"/>
  <c r="G141" i="2"/>
  <c r="F141" i="2"/>
  <c r="E141" i="2"/>
  <c r="E57" i="2"/>
  <c r="K56" i="2"/>
  <c r="K57" i="2" s="1"/>
  <c r="J56" i="2"/>
  <c r="J57" i="2" s="1"/>
  <c r="I56" i="2"/>
  <c r="I57" i="2" s="1"/>
  <c r="H56" i="2"/>
  <c r="H57" i="2" s="1"/>
  <c r="G56" i="2"/>
  <c r="G57" i="2" s="1"/>
  <c r="F56" i="2"/>
  <c r="F57" i="2" s="1"/>
  <c r="E237" i="2"/>
  <c r="F237" i="2" s="1"/>
  <c r="G237" i="2" s="1"/>
  <c r="H237" i="2" s="1"/>
  <c r="I237" i="2" s="1"/>
  <c r="J237" i="2" s="1"/>
  <c r="K237" i="2" s="1"/>
  <c r="E198" i="2"/>
  <c r="F198" i="2" s="1"/>
  <c r="G198" i="2" s="1"/>
  <c r="H198" i="2" s="1"/>
  <c r="I198" i="2" s="1"/>
  <c r="J198" i="2" s="1"/>
  <c r="K198" i="2" s="1"/>
  <c r="E187" i="2"/>
  <c r="F187" i="2" s="1"/>
  <c r="G187" i="2" s="1"/>
  <c r="H187" i="2" s="1"/>
  <c r="I187" i="2" s="1"/>
  <c r="J187" i="2" s="1"/>
  <c r="K187" i="2" s="1"/>
  <c r="E146" i="2"/>
  <c r="F146" i="2" s="1"/>
  <c r="G146" i="2" s="1"/>
  <c r="H146" i="2" s="1"/>
  <c r="I146" i="2" s="1"/>
  <c r="J146" i="2" s="1"/>
  <c r="K146" i="2" s="1"/>
  <c r="E98" i="2"/>
  <c r="F98" i="2" s="1"/>
  <c r="G98" i="2" s="1"/>
  <c r="H98" i="2" s="1"/>
  <c r="I98" i="2" s="1"/>
  <c r="J98" i="2" s="1"/>
  <c r="K98" i="2" s="1"/>
  <c r="E113" i="2"/>
  <c r="F113" i="2" s="1"/>
  <c r="G113" i="2" s="1"/>
  <c r="H113" i="2" s="1"/>
  <c r="I113" i="2" s="1"/>
  <c r="J113" i="2" s="1"/>
  <c r="K113" i="2" s="1"/>
  <c r="E51" i="2"/>
  <c r="F51" i="2" s="1"/>
  <c r="G51" i="2" s="1"/>
  <c r="H51" i="2" s="1"/>
  <c r="I51" i="2" s="1"/>
  <c r="J51" i="2" s="1"/>
  <c r="K51" i="2" s="1"/>
  <c r="E74" i="4"/>
  <c r="F74" i="4" s="1"/>
  <c r="G74" i="4" s="1"/>
  <c r="H74" i="4" s="1"/>
  <c r="I74" i="4" s="1"/>
  <c r="J74" i="4" s="1"/>
  <c r="K74" i="4" s="1"/>
  <c r="E55" i="4"/>
  <c r="F55" i="4" s="1"/>
  <c r="G55" i="4" s="1"/>
  <c r="H55" i="4" s="1"/>
  <c r="I55" i="4" s="1"/>
  <c r="J55" i="4" s="1"/>
  <c r="K55" i="4" s="1"/>
  <c r="E7" i="4"/>
  <c r="F7" i="4" s="1"/>
  <c r="G7" i="4" s="1"/>
  <c r="H7" i="4" s="1"/>
  <c r="I7" i="4" s="1"/>
  <c r="J7" i="4" s="1"/>
  <c r="K7" i="4" s="1"/>
  <c r="E7" i="6"/>
  <c r="F7" i="6" s="1"/>
  <c r="G7" i="6" s="1"/>
  <c r="H7" i="6" s="1"/>
  <c r="I7" i="6" s="1"/>
  <c r="J7" i="6" s="1"/>
  <c r="K7" i="6" s="1"/>
  <c r="C37" i="6" s="1"/>
  <c r="E81" i="5"/>
  <c r="F81" i="5" s="1"/>
  <c r="G81" i="5" s="1"/>
  <c r="H81" i="5" s="1"/>
  <c r="I81" i="5" s="1"/>
  <c r="J81" i="5" s="1"/>
  <c r="K81" i="5" s="1"/>
  <c r="E71" i="5"/>
  <c r="F71" i="5" s="1"/>
  <c r="G71" i="5" s="1"/>
  <c r="H71" i="5" s="1"/>
  <c r="I71" i="5" s="1"/>
  <c r="J71" i="5" s="1"/>
  <c r="K71" i="5" s="1"/>
  <c r="E34" i="5"/>
  <c r="F34" i="5" s="1"/>
  <c r="G34" i="5" s="1"/>
  <c r="H34" i="5" s="1"/>
  <c r="I34" i="5" s="1"/>
  <c r="J34" i="5" s="1"/>
  <c r="K34" i="5" s="1"/>
  <c r="E7" i="5"/>
  <c r="F7" i="5" s="1"/>
  <c r="G7" i="5" s="1"/>
  <c r="H7" i="5" s="1"/>
  <c r="I7" i="5" s="1"/>
  <c r="J7" i="5" s="1"/>
  <c r="K7" i="5" s="1"/>
  <c r="E74" i="5" l="1"/>
  <c r="F74" i="5"/>
  <c r="G74" i="5"/>
  <c r="C31" i="6"/>
  <c r="H74" i="5"/>
  <c r="I74" i="5"/>
  <c r="C33" i="6"/>
  <c r="J74" i="5"/>
  <c r="H165" i="2"/>
  <c r="H170" i="2"/>
  <c r="H175" i="2"/>
  <c r="I170" i="2" l="1"/>
  <c r="I175" i="2"/>
  <c r="I165" i="2"/>
  <c r="E30" i="6"/>
  <c r="E83" i="5"/>
  <c r="E59" i="5"/>
  <c r="E52" i="5"/>
  <c r="E45" i="5"/>
  <c r="E38" i="5"/>
  <c r="K26" i="5"/>
  <c r="J26" i="5"/>
  <c r="I26" i="5"/>
  <c r="H26" i="5"/>
  <c r="G26" i="5"/>
  <c r="F26" i="5"/>
  <c r="E26" i="5"/>
  <c r="E27" i="5" s="1"/>
  <c r="K25" i="5"/>
  <c r="J25" i="5"/>
  <c r="I25" i="5"/>
  <c r="H25" i="5"/>
  <c r="G25" i="5"/>
  <c r="F25" i="5"/>
  <c r="E25" i="5"/>
  <c r="K21" i="5"/>
  <c r="J21" i="5"/>
  <c r="I21" i="5"/>
  <c r="H21" i="5"/>
  <c r="G21" i="5"/>
  <c r="F21" i="5"/>
  <c r="E21" i="5"/>
  <c r="E22" i="5" s="1"/>
  <c r="K20" i="5"/>
  <c r="J20" i="5"/>
  <c r="I20" i="5"/>
  <c r="H20" i="5"/>
  <c r="G20" i="5"/>
  <c r="F20" i="5"/>
  <c r="E20" i="5"/>
  <c r="K16" i="5"/>
  <c r="J16" i="5"/>
  <c r="I16" i="5"/>
  <c r="H16" i="5"/>
  <c r="G16" i="5"/>
  <c r="F16" i="5"/>
  <c r="E16" i="5"/>
  <c r="E17" i="5" s="1"/>
  <c r="K15" i="5"/>
  <c r="J15" i="5"/>
  <c r="I15" i="5"/>
  <c r="H15" i="5"/>
  <c r="G15" i="5"/>
  <c r="F15" i="5"/>
  <c r="E15" i="5"/>
  <c r="K11" i="5"/>
  <c r="J11" i="5"/>
  <c r="I11" i="5"/>
  <c r="H11" i="5"/>
  <c r="G11" i="5"/>
  <c r="F11" i="5"/>
  <c r="E11" i="5"/>
  <c r="K10" i="5"/>
  <c r="J10" i="5"/>
  <c r="I10" i="5"/>
  <c r="H10" i="5"/>
  <c r="G10" i="5"/>
  <c r="F10" i="5"/>
  <c r="E10" i="5"/>
  <c r="E89" i="4"/>
  <c r="K82" i="4"/>
  <c r="J82" i="4"/>
  <c r="I82" i="4"/>
  <c r="H82" i="4"/>
  <c r="G82" i="4"/>
  <c r="F82" i="4"/>
  <c r="E82" i="4"/>
  <c r="E65" i="4"/>
  <c r="K194" i="2"/>
  <c r="K80" i="4" s="1"/>
  <c r="K81" i="4" s="1"/>
  <c r="J194" i="2"/>
  <c r="J80" i="4" s="1"/>
  <c r="J81" i="4" s="1"/>
  <c r="I194" i="2"/>
  <c r="I80" i="4" s="1"/>
  <c r="I81" i="4" s="1"/>
  <c r="H194" i="2"/>
  <c r="H80" i="4" s="1"/>
  <c r="H81" i="4" s="1"/>
  <c r="G194" i="2"/>
  <c r="G80" i="4" s="1"/>
  <c r="G81" i="4" s="1"/>
  <c r="F194" i="2"/>
  <c r="F80" i="4" s="1"/>
  <c r="F81" i="4" s="1"/>
  <c r="E194" i="2"/>
  <c r="E80" i="4" s="1"/>
  <c r="E81" i="4" s="1"/>
  <c r="F149" i="2"/>
  <c r="F137" i="2"/>
  <c r="G137" i="2" s="1"/>
  <c r="F132" i="2"/>
  <c r="F127" i="2"/>
  <c r="G127" i="2" s="1"/>
  <c r="F122" i="2"/>
  <c r="G122" i="2" s="1"/>
  <c r="F117" i="2"/>
  <c r="G117" i="2" s="1"/>
  <c r="H117" i="2" s="1"/>
  <c r="K78" i="2"/>
  <c r="K80" i="2" s="1"/>
  <c r="K82" i="2" s="1"/>
  <c r="J78" i="2"/>
  <c r="J80" i="2" s="1"/>
  <c r="J82" i="2" s="1"/>
  <c r="I78" i="2"/>
  <c r="I80" i="2" s="1"/>
  <c r="I82" i="2" s="1"/>
  <c r="H78" i="2"/>
  <c r="H80" i="2" s="1"/>
  <c r="H82" i="2" s="1"/>
  <c r="G78" i="2"/>
  <c r="G80" i="2" s="1"/>
  <c r="G82" i="2" s="1"/>
  <c r="F78" i="2"/>
  <c r="F80" i="2" s="1"/>
  <c r="F82" i="2" s="1"/>
  <c r="E78" i="2"/>
  <c r="E80" i="2" s="1"/>
  <c r="E82" i="2" s="1"/>
  <c r="E60" i="2"/>
  <c r="K59" i="2"/>
  <c r="J59" i="2"/>
  <c r="I59" i="2"/>
  <c r="H59" i="2"/>
  <c r="G59" i="2"/>
  <c r="F59" i="2"/>
  <c r="E59" i="2"/>
  <c r="D32" i="2"/>
  <c r="G62" i="2" s="1"/>
  <c r="D31" i="2"/>
  <c r="D30" i="2"/>
  <c r="D239" i="2"/>
  <c r="K87" i="2"/>
  <c r="J75" i="2"/>
  <c r="F29" i="4" l="1"/>
  <c r="K33" i="4"/>
  <c r="K30" i="4"/>
  <c r="J33" i="4"/>
  <c r="I30" i="4"/>
  <c r="I33" i="4"/>
  <c r="E29" i="4"/>
  <c r="J30" i="4"/>
  <c r="F30" i="4"/>
  <c r="H33" i="4"/>
  <c r="F33" i="4"/>
  <c r="E33" i="4"/>
  <c r="H30" i="4"/>
  <c r="E30" i="4"/>
  <c r="G33" i="4"/>
  <c r="G30" i="4"/>
  <c r="E171" i="2"/>
  <c r="E166" i="2"/>
  <c r="E176" i="2"/>
  <c r="F171" i="2"/>
  <c r="F166" i="2"/>
  <c r="F176" i="2"/>
  <c r="G166" i="2"/>
  <c r="G171" i="2"/>
  <c r="G176" i="2"/>
  <c r="H166" i="2"/>
  <c r="J165" i="2"/>
  <c r="I166" i="2"/>
  <c r="H176" i="2"/>
  <c r="J175" i="2"/>
  <c r="I176" i="2"/>
  <c r="G149" i="2"/>
  <c r="J170" i="2"/>
  <c r="I171" i="2"/>
  <c r="H171" i="2"/>
  <c r="K161" i="2"/>
  <c r="K31" i="4" s="1"/>
  <c r="J161" i="2"/>
  <c r="J31" i="4" s="1"/>
  <c r="G161" i="2"/>
  <c r="G31" i="4" s="1"/>
  <c r="I161" i="2"/>
  <c r="I31" i="4" s="1"/>
  <c r="H161" i="2"/>
  <c r="H31" i="4" s="1"/>
  <c r="F161" i="2"/>
  <c r="F31" i="4" s="1"/>
  <c r="E161" i="2"/>
  <c r="E31" i="4" s="1"/>
  <c r="H29" i="5"/>
  <c r="H77" i="4" s="1"/>
  <c r="F17" i="5"/>
  <c r="G17" i="5" s="1"/>
  <c r="H17" i="5" s="1"/>
  <c r="I17" i="5" s="1"/>
  <c r="J17" i="5" s="1"/>
  <c r="K17" i="5" s="1"/>
  <c r="F22" i="5"/>
  <c r="G22" i="5" s="1"/>
  <c r="H22" i="5" s="1"/>
  <c r="I22" i="5" s="1"/>
  <c r="J22" i="5" s="1"/>
  <c r="K22" i="5" s="1"/>
  <c r="F27" i="5"/>
  <c r="G27" i="5" s="1"/>
  <c r="H27" i="5" s="1"/>
  <c r="I27" i="5" s="1"/>
  <c r="J27" i="5" s="1"/>
  <c r="K27" i="5" s="1"/>
  <c r="J29" i="5"/>
  <c r="J39" i="4" s="1"/>
  <c r="J91" i="2"/>
  <c r="J11" i="4" s="1"/>
  <c r="F84" i="2"/>
  <c r="F103" i="2" s="1"/>
  <c r="F15" i="4" s="1"/>
  <c r="I84" i="2"/>
  <c r="I10" i="4" s="1"/>
  <c r="J84" i="2"/>
  <c r="J10" i="4" s="1"/>
  <c r="J105" i="2"/>
  <c r="J16" i="4" s="1"/>
  <c r="I87" i="2"/>
  <c r="I91" i="2"/>
  <c r="I11" i="4" s="1"/>
  <c r="G123" i="2"/>
  <c r="G23" i="4" s="1"/>
  <c r="E123" i="2"/>
  <c r="E23" i="4" s="1"/>
  <c r="G29" i="5"/>
  <c r="G77" i="4" s="1"/>
  <c r="H62" i="2"/>
  <c r="H91" i="2"/>
  <c r="H11" i="4" s="1"/>
  <c r="E84" i="2"/>
  <c r="E10" i="4" s="1"/>
  <c r="J87" i="2"/>
  <c r="E118" i="2"/>
  <c r="E22" i="4" s="1"/>
  <c r="I68" i="2"/>
  <c r="F29" i="5"/>
  <c r="F77" i="4" s="1"/>
  <c r="F128" i="2"/>
  <c r="F24" i="4" s="1"/>
  <c r="I62" i="2"/>
  <c r="E105" i="2"/>
  <c r="E16" i="4" s="1"/>
  <c r="I29" i="5"/>
  <c r="I39" i="4" s="1"/>
  <c r="J62" i="2"/>
  <c r="F105" i="2"/>
  <c r="F16" i="4" s="1"/>
  <c r="H75" i="2"/>
  <c r="I105" i="2"/>
  <c r="I16" i="4" s="1"/>
  <c r="E138" i="2"/>
  <c r="E26" i="4" s="1"/>
  <c r="K29" i="5"/>
  <c r="K77" i="4" s="1"/>
  <c r="G84" i="2"/>
  <c r="G103" i="2" s="1"/>
  <c r="G15" i="4" s="1"/>
  <c r="H84" i="2"/>
  <c r="H10" i="4" s="1"/>
  <c r="F133" i="2"/>
  <c r="F25" i="4" s="1"/>
  <c r="I75" i="2"/>
  <c r="E87" i="2"/>
  <c r="F87" i="2"/>
  <c r="H68" i="2"/>
  <c r="F54" i="2"/>
  <c r="I54" i="2"/>
  <c r="E54" i="2"/>
  <c r="E53" i="5"/>
  <c r="E51" i="5"/>
  <c r="E54" i="5" s="1"/>
  <c r="E37" i="5"/>
  <c r="E40" i="5" s="1"/>
  <c r="E44" i="5"/>
  <c r="E46" i="5" s="1"/>
  <c r="E60" i="5"/>
  <c r="E58" i="5"/>
  <c r="E61" i="5" s="1"/>
  <c r="H127" i="2"/>
  <c r="G128" i="2"/>
  <c r="G24" i="4" s="1"/>
  <c r="G132" i="2"/>
  <c r="H118" i="2"/>
  <c r="H22" i="4" s="1"/>
  <c r="I117" i="2"/>
  <c r="F65" i="4"/>
  <c r="G68" i="2"/>
  <c r="F123" i="2"/>
  <c r="F23" i="4" s="1"/>
  <c r="E47" i="6"/>
  <c r="K54" i="2"/>
  <c r="H54" i="2"/>
  <c r="G54" i="2"/>
  <c r="G91" i="2"/>
  <c r="G11" i="4" s="1"/>
  <c r="F91" i="2"/>
  <c r="F11" i="4" s="1"/>
  <c r="E91" i="2"/>
  <c r="E11" i="4" s="1"/>
  <c r="K91" i="2"/>
  <c r="K11" i="4" s="1"/>
  <c r="F138" i="2"/>
  <c r="F26" i="4" s="1"/>
  <c r="J54" i="2"/>
  <c r="H122" i="2"/>
  <c r="G75" i="2"/>
  <c r="F75" i="2"/>
  <c r="E75" i="2"/>
  <c r="K75" i="2"/>
  <c r="K105" i="2"/>
  <c r="K16" i="4" s="1"/>
  <c r="E128" i="2"/>
  <c r="E24" i="4" s="1"/>
  <c r="H105" i="2"/>
  <c r="H16" i="4" s="1"/>
  <c r="E133" i="2"/>
  <c r="E25" i="4" s="1"/>
  <c r="G105" i="2"/>
  <c r="G16" i="4" s="1"/>
  <c r="G138" i="2"/>
  <c r="G26" i="4" s="1"/>
  <c r="F118" i="2"/>
  <c r="F22" i="4" s="1"/>
  <c r="H137" i="2"/>
  <c r="J68" i="2"/>
  <c r="E68" i="2"/>
  <c r="F68" i="2"/>
  <c r="K68" i="2"/>
  <c r="K84" i="2"/>
  <c r="G118" i="2"/>
  <c r="G22" i="4" s="1"/>
  <c r="E29" i="5"/>
  <c r="E12" i="5"/>
  <c r="K62" i="2"/>
  <c r="E33" i="6" s="1"/>
  <c r="G87" i="2"/>
  <c r="H87" i="2"/>
  <c r="E62" i="2"/>
  <c r="E63" i="2" s="1"/>
  <c r="F60" i="2" s="1"/>
  <c r="F62" i="2"/>
  <c r="E47" i="5" l="1"/>
  <c r="E48" i="5" s="1"/>
  <c r="F45" i="5" s="1"/>
  <c r="F47" i="5" s="1"/>
  <c r="F32" i="4"/>
  <c r="E32" i="4"/>
  <c r="I32" i="4"/>
  <c r="H32" i="4"/>
  <c r="H149" i="2"/>
  <c r="H29" i="4" s="1"/>
  <c r="G29" i="4"/>
  <c r="G32" i="4"/>
  <c r="F182" i="2"/>
  <c r="E182" i="2"/>
  <c r="E34" i="4" s="1"/>
  <c r="H182" i="2"/>
  <c r="G182" i="2"/>
  <c r="K165" i="2"/>
  <c r="K166" i="2" s="1"/>
  <c r="J166" i="2"/>
  <c r="J171" i="2"/>
  <c r="K170" i="2"/>
  <c r="K171" i="2" s="1"/>
  <c r="K175" i="2"/>
  <c r="K176" i="2" s="1"/>
  <c r="J176" i="2"/>
  <c r="E140" i="2"/>
  <c r="E27" i="4" s="1"/>
  <c r="F140" i="2"/>
  <c r="F27" i="4" s="1"/>
  <c r="H39" i="4"/>
  <c r="F10" i="4"/>
  <c r="G39" i="4"/>
  <c r="J103" i="2"/>
  <c r="J15" i="4" s="1"/>
  <c r="J77" i="4"/>
  <c r="F39" i="4"/>
  <c r="E103" i="2"/>
  <c r="E15" i="4" s="1"/>
  <c r="H103" i="2"/>
  <c r="H15" i="4" s="1"/>
  <c r="I103" i="2"/>
  <c r="I15" i="4" s="1"/>
  <c r="K39" i="4"/>
  <c r="G10" i="4"/>
  <c r="I77" i="4"/>
  <c r="E55" i="5"/>
  <c r="F52" i="5" s="1"/>
  <c r="G133" i="2"/>
  <c r="H132" i="2"/>
  <c r="F51" i="5"/>
  <c r="F37" i="5"/>
  <c r="F60" i="5"/>
  <c r="F58" i="5"/>
  <c r="F44" i="5"/>
  <c r="F63" i="2"/>
  <c r="G60" i="2" s="1"/>
  <c r="E64" i="5"/>
  <c r="E83" i="4" s="1"/>
  <c r="E39" i="5"/>
  <c r="E65" i="5" s="1"/>
  <c r="H128" i="2"/>
  <c r="H24" i="4" s="1"/>
  <c r="I127" i="2"/>
  <c r="H123" i="2"/>
  <c r="H23" i="4" s="1"/>
  <c r="I122" i="2"/>
  <c r="I137" i="2"/>
  <c r="H138" i="2"/>
  <c r="H26" i="4" s="1"/>
  <c r="G65" i="4"/>
  <c r="I118" i="2"/>
  <c r="I22" i="4" s="1"/>
  <c r="J117" i="2"/>
  <c r="E62" i="5"/>
  <c r="F59" i="5" s="1"/>
  <c r="F61" i="5" s="1"/>
  <c r="K103" i="2"/>
  <c r="K15" i="4" s="1"/>
  <c r="K10" i="4"/>
  <c r="F12" i="5"/>
  <c r="E30" i="5"/>
  <c r="E58" i="4" s="1"/>
  <c r="E64" i="2"/>
  <c r="E66" i="2" s="1"/>
  <c r="E41" i="5"/>
  <c r="E39" i="4"/>
  <c r="E77" i="4"/>
  <c r="F53" i="5" l="1"/>
  <c r="F54" i="5"/>
  <c r="K32" i="4"/>
  <c r="J32" i="4"/>
  <c r="G140" i="2"/>
  <c r="G25" i="4"/>
  <c r="I149" i="2"/>
  <c r="G34" i="4"/>
  <c r="F34" i="4"/>
  <c r="E66" i="5"/>
  <c r="F55" i="5"/>
  <c r="G52" i="5" s="1"/>
  <c r="G27" i="4"/>
  <c r="F46" i="5"/>
  <c r="F48" i="5"/>
  <c r="G45" i="5" s="1"/>
  <c r="G47" i="5" s="1"/>
  <c r="K117" i="2"/>
  <c r="K118" i="2" s="1"/>
  <c r="K22" i="4" s="1"/>
  <c r="J118" i="2"/>
  <c r="J22" i="4" s="1"/>
  <c r="F64" i="5"/>
  <c r="F83" i="4" s="1"/>
  <c r="I123" i="2"/>
  <c r="I23" i="4" s="1"/>
  <c r="J122" i="2"/>
  <c r="H65" i="4"/>
  <c r="J137" i="2"/>
  <c r="I138" i="2"/>
  <c r="I26" i="4" s="1"/>
  <c r="F62" i="5"/>
  <c r="G59" i="5" s="1"/>
  <c r="G61" i="5" s="1"/>
  <c r="J149" i="2"/>
  <c r="F64" i="2"/>
  <c r="F66" i="2" s="1"/>
  <c r="E71" i="2"/>
  <c r="E69" i="2"/>
  <c r="E93" i="2" s="1"/>
  <c r="E72" i="2"/>
  <c r="H34" i="4"/>
  <c r="F30" i="5"/>
  <c r="F58" i="4" s="1"/>
  <c r="G12" i="5"/>
  <c r="I132" i="2"/>
  <c r="H133" i="2"/>
  <c r="I128" i="2"/>
  <c r="I24" i="4" s="1"/>
  <c r="J127" i="2"/>
  <c r="E43" i="4"/>
  <c r="G58" i="5"/>
  <c r="G44" i="5"/>
  <c r="G51" i="5"/>
  <c r="G37" i="5"/>
  <c r="G63" i="2"/>
  <c r="H60" i="2" s="1"/>
  <c r="G54" i="5" l="1"/>
  <c r="G55" i="5" s="1"/>
  <c r="H52" i="5" s="1"/>
  <c r="H54" i="5" s="1"/>
  <c r="E84" i="4"/>
  <c r="E85" i="4" s="1"/>
  <c r="J182" i="2"/>
  <c r="J29" i="4"/>
  <c r="I182" i="2"/>
  <c r="I34" i="4" s="1"/>
  <c r="I29" i="4"/>
  <c r="H140" i="2"/>
  <c r="H25" i="4"/>
  <c r="G60" i="5"/>
  <c r="H27" i="4"/>
  <c r="G46" i="5"/>
  <c r="G48" i="5"/>
  <c r="H45" i="5" s="1"/>
  <c r="H47" i="5" s="1"/>
  <c r="J138" i="2"/>
  <c r="J26" i="4" s="1"/>
  <c r="K137" i="2"/>
  <c r="K138" i="2" s="1"/>
  <c r="K26" i="4" s="1"/>
  <c r="I65" i="4"/>
  <c r="H63" i="2"/>
  <c r="I60" i="2" s="1"/>
  <c r="H58" i="5"/>
  <c r="H37" i="5"/>
  <c r="H51" i="5"/>
  <c r="H44" i="5"/>
  <c r="J128" i="2"/>
  <c r="J24" i="4" s="1"/>
  <c r="K127" i="2"/>
  <c r="K128" i="2" s="1"/>
  <c r="K24" i="4" s="1"/>
  <c r="G53" i="5"/>
  <c r="K149" i="2"/>
  <c r="F71" i="2"/>
  <c r="F69" i="2"/>
  <c r="F93" i="2" s="1"/>
  <c r="F94" i="2" s="1"/>
  <c r="F72" i="2"/>
  <c r="G62" i="5"/>
  <c r="H59" i="5" s="1"/>
  <c r="H61" i="5" s="1"/>
  <c r="I133" i="2"/>
  <c r="J132" i="2"/>
  <c r="J123" i="2"/>
  <c r="J23" i="4" s="1"/>
  <c r="K122" i="2"/>
  <c r="K123" i="2" s="1"/>
  <c r="E101" i="2"/>
  <c r="E9" i="4"/>
  <c r="G64" i="2"/>
  <c r="G66" i="2" s="1"/>
  <c r="G64" i="5"/>
  <c r="G83" i="4" s="1"/>
  <c r="F38" i="5"/>
  <c r="F40" i="5" s="1"/>
  <c r="E67" i="5"/>
  <c r="G30" i="5"/>
  <c r="G58" i="4" s="1"/>
  <c r="H12" i="5"/>
  <c r="K182" i="2" l="1"/>
  <c r="K34" i="4" s="1"/>
  <c r="K29" i="4"/>
  <c r="I140" i="2"/>
  <c r="I25" i="4"/>
  <c r="E35" i="6"/>
  <c r="K23" i="4"/>
  <c r="E107" i="2"/>
  <c r="E59" i="4" s="1"/>
  <c r="E14" i="4"/>
  <c r="E108" i="2"/>
  <c r="E109" i="2" s="1"/>
  <c r="H64" i="2"/>
  <c r="H66" i="2" s="1"/>
  <c r="H71" i="2" s="1"/>
  <c r="I27" i="4"/>
  <c r="H46" i="5"/>
  <c r="H48" i="5"/>
  <c r="I45" i="5" s="1"/>
  <c r="H62" i="5"/>
  <c r="I59" i="5" s="1"/>
  <c r="H60" i="5"/>
  <c r="I63" i="2"/>
  <c r="J60" i="2" s="1"/>
  <c r="J133" i="2"/>
  <c r="K132" i="2"/>
  <c r="K133" i="2" s="1"/>
  <c r="E67" i="4"/>
  <c r="H30" i="5"/>
  <c r="H58" i="4" s="1"/>
  <c r="I12" i="5"/>
  <c r="J65" i="4"/>
  <c r="F66" i="5"/>
  <c r="F84" i="4" s="1"/>
  <c r="F85" i="4" s="1"/>
  <c r="F39" i="5"/>
  <c r="F65" i="5" s="1"/>
  <c r="H55" i="5"/>
  <c r="I52" i="5" s="1"/>
  <c r="I54" i="5" s="1"/>
  <c r="F9" i="4"/>
  <c r="F101" i="2"/>
  <c r="J34" i="4"/>
  <c r="G71" i="2"/>
  <c r="G72" i="2"/>
  <c r="G69" i="2"/>
  <c r="G93" i="2" s="1"/>
  <c r="G94" i="2" s="1"/>
  <c r="H64" i="5"/>
  <c r="H83" i="4" s="1"/>
  <c r="I51" i="5"/>
  <c r="I58" i="5"/>
  <c r="I44" i="5"/>
  <c r="I37" i="5"/>
  <c r="E73" i="5"/>
  <c r="E12" i="4"/>
  <c r="E142" i="2"/>
  <c r="E183" i="2"/>
  <c r="H53" i="5"/>
  <c r="I61" i="5" l="1"/>
  <c r="I47" i="5"/>
  <c r="E17" i="4"/>
  <c r="E75" i="5"/>
  <c r="E68" i="4" s="1"/>
  <c r="K140" i="2"/>
  <c r="K27" i="4" s="1"/>
  <c r="K25" i="4"/>
  <c r="J140" i="2"/>
  <c r="J25" i="4"/>
  <c r="F107" i="2"/>
  <c r="F59" i="4" s="1"/>
  <c r="F14" i="4"/>
  <c r="J27" i="4"/>
  <c r="H69" i="2"/>
  <c r="H93" i="2" s="1"/>
  <c r="H94" i="2" s="1"/>
  <c r="H72" i="2"/>
  <c r="I64" i="5"/>
  <c r="I83" i="4" s="1"/>
  <c r="I53" i="5"/>
  <c r="I55" i="5"/>
  <c r="J52" i="5" s="1"/>
  <c r="I62" i="5"/>
  <c r="J59" i="5" s="1"/>
  <c r="I60" i="5"/>
  <c r="G9" i="4"/>
  <c r="G101" i="2"/>
  <c r="J63" i="2"/>
  <c r="K60" i="2" s="1"/>
  <c r="J58" i="5"/>
  <c r="J44" i="5"/>
  <c r="J51" i="5"/>
  <c r="J37" i="5"/>
  <c r="F41" i="5"/>
  <c r="K65" i="4"/>
  <c r="I64" i="2"/>
  <c r="I66" i="2" s="1"/>
  <c r="F43" i="4"/>
  <c r="I48" i="5"/>
  <c r="J45" i="5" s="1"/>
  <c r="E19" i="4"/>
  <c r="E11" i="6" s="1"/>
  <c r="E9" i="6"/>
  <c r="I46" i="5"/>
  <c r="F73" i="5"/>
  <c r="F12" i="4"/>
  <c r="F142" i="2"/>
  <c r="F183" i="2"/>
  <c r="E60" i="4"/>
  <c r="J12" i="5"/>
  <c r="I30" i="5"/>
  <c r="I58" i="4" s="1"/>
  <c r="J61" i="5" l="1"/>
  <c r="J47" i="5"/>
  <c r="J54" i="5"/>
  <c r="E76" i="5"/>
  <c r="E77" i="5" s="1"/>
  <c r="E78" i="4" s="1"/>
  <c r="G107" i="2"/>
  <c r="G59" i="4" s="1"/>
  <c r="G14" i="4"/>
  <c r="F75" i="5"/>
  <c r="F68" i="4" s="1"/>
  <c r="F17" i="4"/>
  <c r="F19" i="4" s="1"/>
  <c r="F108" i="2"/>
  <c r="F109" i="2" s="1"/>
  <c r="H9" i="4"/>
  <c r="H101" i="2"/>
  <c r="E12" i="6"/>
  <c r="J53" i="5"/>
  <c r="J55" i="5"/>
  <c r="K52" i="5" s="1"/>
  <c r="K54" i="5" s="1"/>
  <c r="J62" i="5"/>
  <c r="K59" i="5" s="1"/>
  <c r="J60" i="5"/>
  <c r="J46" i="5"/>
  <c r="J48" i="5"/>
  <c r="K45" i="5" s="1"/>
  <c r="I71" i="2"/>
  <c r="I69" i="2"/>
  <c r="I93" i="2" s="1"/>
  <c r="I94" i="2" s="1"/>
  <c r="I72" i="2"/>
  <c r="K58" i="5"/>
  <c r="K46" i="5"/>
  <c r="K44" i="5"/>
  <c r="K51" i="5"/>
  <c r="K37" i="5"/>
  <c r="G38" i="5"/>
  <c r="G40" i="5" s="1"/>
  <c r="F67" i="5"/>
  <c r="E36" i="4"/>
  <c r="E20" i="4"/>
  <c r="G73" i="5"/>
  <c r="G142" i="2"/>
  <c r="G12" i="4"/>
  <c r="G183" i="2"/>
  <c r="H73" i="5"/>
  <c r="H142" i="2"/>
  <c r="H12" i="4"/>
  <c r="H183" i="2"/>
  <c r="K63" i="2"/>
  <c r="K64" i="2" s="1"/>
  <c r="K66" i="2" s="1"/>
  <c r="J64" i="5"/>
  <c r="J83" i="4" s="1"/>
  <c r="J64" i="2"/>
  <c r="J66" i="2" s="1"/>
  <c r="J30" i="5"/>
  <c r="J58" i="4" s="1"/>
  <c r="K12" i="5"/>
  <c r="K30" i="5" s="1"/>
  <c r="K58" i="4" s="1"/>
  <c r="F9" i="6"/>
  <c r="F10" i="6" s="1"/>
  <c r="F60" i="4"/>
  <c r="K47" i="5" l="1"/>
  <c r="K61" i="5"/>
  <c r="E13" i="6"/>
  <c r="E14" i="6" s="1"/>
  <c r="E20" i="6"/>
  <c r="G17" i="4"/>
  <c r="F76" i="5"/>
  <c r="F77" i="5" s="1"/>
  <c r="F78" i="4" s="1"/>
  <c r="G75" i="5"/>
  <c r="G68" i="4" s="1"/>
  <c r="G108" i="2"/>
  <c r="G109" i="2" s="1"/>
  <c r="H107" i="2"/>
  <c r="H59" i="4" s="1"/>
  <c r="H14" i="4"/>
  <c r="K48" i="5"/>
  <c r="K55" i="5"/>
  <c r="K62" i="5"/>
  <c r="K60" i="5"/>
  <c r="H9" i="6"/>
  <c r="G66" i="5"/>
  <c r="G84" i="4" s="1"/>
  <c r="G85" i="4" s="1"/>
  <c r="G39" i="5"/>
  <c r="G65" i="5" s="1"/>
  <c r="K64" i="5"/>
  <c r="K83" i="4" s="1"/>
  <c r="I9" i="4"/>
  <c r="I101" i="2"/>
  <c r="E40" i="4"/>
  <c r="E37" i="4"/>
  <c r="H60" i="4"/>
  <c r="F67" i="4"/>
  <c r="G9" i="6"/>
  <c r="G10" i="6" s="1"/>
  <c r="G19" i="4"/>
  <c r="J71" i="2"/>
  <c r="J69" i="2"/>
  <c r="J93" i="2" s="1"/>
  <c r="J94" i="2" s="1"/>
  <c r="J72" i="2"/>
  <c r="G60" i="4"/>
  <c r="F36" i="4"/>
  <c r="F11" i="6"/>
  <c r="F12" i="6" s="1"/>
  <c r="F20" i="4"/>
  <c r="K72" i="2"/>
  <c r="E32" i="6" s="1"/>
  <c r="K69" i="2"/>
  <c r="K93" i="2" s="1"/>
  <c r="K71" i="2"/>
  <c r="E31" i="6" s="1"/>
  <c r="K53" i="5"/>
  <c r="H10" i="6" l="1"/>
  <c r="K94" i="2"/>
  <c r="F13" i="6"/>
  <c r="F14" i="6" s="1"/>
  <c r="F20" i="6"/>
  <c r="H17" i="4"/>
  <c r="H19" i="4" s="1"/>
  <c r="H36" i="4" s="1"/>
  <c r="H13" i="6" s="1"/>
  <c r="H75" i="5"/>
  <c r="H68" i="4" s="1"/>
  <c r="H108" i="2"/>
  <c r="H109" i="2" s="1"/>
  <c r="G76" i="5"/>
  <c r="G77" i="5" s="1"/>
  <c r="G78" i="4" s="1"/>
  <c r="I107" i="2"/>
  <c r="I59" i="4" s="1"/>
  <c r="I14" i="4"/>
  <c r="G43" i="4"/>
  <c r="F40" i="4"/>
  <c r="F37" i="4"/>
  <c r="G11" i="6"/>
  <c r="G12" i="6" s="1"/>
  <c r="G20" i="4"/>
  <c r="G36" i="4"/>
  <c r="G13" i="6" s="1"/>
  <c r="G41" i="5"/>
  <c r="J9" i="4"/>
  <c r="J101" i="2"/>
  <c r="E44" i="4"/>
  <c r="E41" i="4"/>
  <c r="I73" i="5"/>
  <c r="I12" i="4"/>
  <c r="I142" i="2"/>
  <c r="I183" i="2"/>
  <c r="K9" i="4"/>
  <c r="K101" i="2"/>
  <c r="G20" i="6" l="1"/>
  <c r="E84" i="5"/>
  <c r="E85" i="5"/>
  <c r="H76" i="5"/>
  <c r="H77" i="5" s="1"/>
  <c r="H78" i="4" s="1"/>
  <c r="H20" i="4"/>
  <c r="H11" i="6"/>
  <c r="H12" i="6" s="1"/>
  <c r="I108" i="2"/>
  <c r="I109" i="2" s="1"/>
  <c r="I17" i="4"/>
  <c r="I19" i="4" s="1"/>
  <c r="I75" i="5"/>
  <c r="I68" i="4" s="1"/>
  <c r="J107" i="2"/>
  <c r="J59" i="4" s="1"/>
  <c r="J14" i="4"/>
  <c r="K107" i="2"/>
  <c r="K59" i="4" s="1"/>
  <c r="K14" i="4"/>
  <c r="G40" i="4"/>
  <c r="G37" i="4"/>
  <c r="G14" i="6"/>
  <c r="I9" i="6"/>
  <c r="I10" i="6" s="1"/>
  <c r="I60" i="4"/>
  <c r="J73" i="5"/>
  <c r="J12" i="4"/>
  <c r="J142" i="2"/>
  <c r="J183" i="2"/>
  <c r="F44" i="4"/>
  <c r="F41" i="4"/>
  <c r="K12" i="4"/>
  <c r="K73" i="5"/>
  <c r="K142" i="2"/>
  <c r="K183" i="2"/>
  <c r="G67" i="5"/>
  <c r="H38" i="5"/>
  <c r="H40" i="5" s="1"/>
  <c r="H14" i="6"/>
  <c r="H40" i="4"/>
  <c r="H37" i="4"/>
  <c r="J108" i="2" l="1"/>
  <c r="J109" i="2" s="1"/>
  <c r="F85" i="5"/>
  <c r="J75" i="5"/>
  <c r="J68" i="4" s="1"/>
  <c r="J17" i="4"/>
  <c r="J19" i="4" s="1"/>
  <c r="I76" i="5"/>
  <c r="I77" i="5" s="1"/>
  <c r="I78" i="4" s="1"/>
  <c r="K108" i="2"/>
  <c r="K109" i="2" s="1"/>
  <c r="K75" i="5"/>
  <c r="K68" i="4" s="1"/>
  <c r="K17" i="4"/>
  <c r="K19" i="4" s="1"/>
  <c r="H41" i="4"/>
  <c r="H39" i="5"/>
  <c r="H65" i="5" s="1"/>
  <c r="H66" i="5"/>
  <c r="H84" i="4" s="1"/>
  <c r="H85" i="4" s="1"/>
  <c r="I11" i="6"/>
  <c r="I12" i="6" s="1"/>
  <c r="I36" i="4"/>
  <c r="I13" i="6" s="1"/>
  <c r="I20" i="4"/>
  <c r="J9" i="6"/>
  <c r="J10" i="6" s="1"/>
  <c r="K9" i="6"/>
  <c r="E88" i="5"/>
  <c r="E46" i="4"/>
  <c r="E86" i="5"/>
  <c r="F83" i="5" s="1"/>
  <c r="F84" i="5" s="1"/>
  <c r="E42" i="6"/>
  <c r="G67" i="4"/>
  <c r="J60" i="4"/>
  <c r="K60" i="4"/>
  <c r="G41" i="4"/>
  <c r="G44" i="4"/>
  <c r="G85" i="5" l="1"/>
  <c r="H20" i="6"/>
  <c r="E25" i="6"/>
  <c r="K10" i="6"/>
  <c r="J76" i="5"/>
  <c r="J77" i="5" s="1"/>
  <c r="J78" i="4" s="1"/>
  <c r="K76" i="5"/>
  <c r="I14" i="6"/>
  <c r="I40" i="4"/>
  <c r="I37" i="4"/>
  <c r="E47" i="4"/>
  <c r="E89" i="5"/>
  <c r="E48" i="4" s="1"/>
  <c r="E49" i="4" s="1"/>
  <c r="K11" i="6"/>
  <c r="K12" i="6" s="1"/>
  <c r="K20" i="4"/>
  <c r="E26" i="6"/>
  <c r="E36" i="6"/>
  <c r="E34" i="6"/>
  <c r="K36" i="4"/>
  <c r="K13" i="6" s="1"/>
  <c r="H43" i="4"/>
  <c r="H44" i="4" s="1"/>
  <c r="J11" i="6"/>
  <c r="J12" i="6" s="1"/>
  <c r="J20" i="4"/>
  <c r="J36" i="4"/>
  <c r="J13" i="6" s="1"/>
  <c r="H41" i="5"/>
  <c r="E43" i="6"/>
  <c r="H85" i="5" l="1"/>
  <c r="K77" i="5"/>
  <c r="K78" i="4" s="1"/>
  <c r="E15" i="6"/>
  <c r="E16" i="6" s="1"/>
  <c r="E66" i="4"/>
  <c r="E69" i="4" s="1"/>
  <c r="H67" i="5"/>
  <c r="I38" i="5"/>
  <c r="I40" i="5" s="1"/>
  <c r="J40" i="4"/>
  <c r="J37" i="4"/>
  <c r="J14" i="6"/>
  <c r="K40" i="4"/>
  <c r="K37" i="4"/>
  <c r="I41" i="4"/>
  <c r="F88" i="5"/>
  <c r="F46" i="4"/>
  <c r="E76" i="4"/>
  <c r="E79" i="4" s="1"/>
  <c r="E87" i="4" s="1"/>
  <c r="E91" i="4" s="1"/>
  <c r="E17" i="6" s="1"/>
  <c r="E50" i="4"/>
  <c r="F86" i="5"/>
  <c r="G83" i="5" s="1"/>
  <c r="G84" i="5" s="1"/>
  <c r="E21" i="6" l="1"/>
  <c r="F89" i="4"/>
  <c r="E61" i="4"/>
  <c r="E19" i="6"/>
  <c r="F47" i="4"/>
  <c r="F89" i="5"/>
  <c r="F48" i="4" s="1"/>
  <c r="F49" i="4" s="1"/>
  <c r="F15" i="6" s="1"/>
  <c r="F16" i="6" s="1"/>
  <c r="K14" i="6"/>
  <c r="E28" i="6"/>
  <c r="E27" i="6"/>
  <c r="J41" i="4"/>
  <c r="K41" i="4"/>
  <c r="I39" i="5"/>
  <c r="I65" i="5" s="1"/>
  <c r="I20" i="6" s="1"/>
  <c r="I66" i="5"/>
  <c r="I84" i="4" s="1"/>
  <c r="I85" i="4" s="1"/>
  <c r="H67" i="4"/>
  <c r="F21" i="6" l="1"/>
  <c r="F76" i="4"/>
  <c r="F79" i="4" s="1"/>
  <c r="F87" i="4" s="1"/>
  <c r="F91" i="4" s="1"/>
  <c r="F17" i="6" s="1"/>
  <c r="F50" i="4"/>
  <c r="G46" i="4"/>
  <c r="G88" i="5"/>
  <c r="G86" i="5"/>
  <c r="H83" i="5" s="1"/>
  <c r="H84" i="5" s="1"/>
  <c r="F66" i="4"/>
  <c r="F69" i="4" s="1"/>
  <c r="I43" i="4"/>
  <c r="I44" i="4" s="1"/>
  <c r="I41" i="5"/>
  <c r="E62" i="4"/>
  <c r="E70" i="4" s="1"/>
  <c r="I85" i="5" l="1"/>
  <c r="G89" i="4"/>
  <c r="F61" i="4"/>
  <c r="F19" i="6"/>
  <c r="H88" i="5"/>
  <c r="G89" i="5"/>
  <c r="G48" i="4" s="1"/>
  <c r="G49" i="4" s="1"/>
  <c r="G47" i="4"/>
  <c r="J38" i="5"/>
  <c r="I67" i="5"/>
  <c r="J39" i="5" l="1"/>
  <c r="J65" i="5" s="1"/>
  <c r="J40" i="5"/>
  <c r="J66" i="5" s="1"/>
  <c r="G66" i="4"/>
  <c r="G69" i="4" s="1"/>
  <c r="G15" i="6"/>
  <c r="G16" i="6" s="1"/>
  <c r="H46" i="4"/>
  <c r="H86" i="5"/>
  <c r="I83" i="5" s="1"/>
  <c r="I84" i="5" s="1"/>
  <c r="G50" i="4"/>
  <c r="G76" i="4"/>
  <c r="G79" i="4" s="1"/>
  <c r="G87" i="4" s="1"/>
  <c r="G91" i="4" s="1"/>
  <c r="G17" i="6" s="1"/>
  <c r="F62" i="4"/>
  <c r="F70" i="4" s="1"/>
  <c r="I67" i="4"/>
  <c r="J43" i="4" l="1"/>
  <c r="J44" i="4" s="1"/>
  <c r="J20" i="6"/>
  <c r="G21" i="6"/>
  <c r="G61" i="4"/>
  <c r="H89" i="4"/>
  <c r="G19" i="6"/>
  <c r="I86" i="5"/>
  <c r="J83" i="5" s="1"/>
  <c r="H89" i="5"/>
  <c r="H48" i="4" s="1"/>
  <c r="H49" i="4" s="1"/>
  <c r="H15" i="6" s="1"/>
  <c r="H16" i="6" s="1"/>
  <c r="H47" i="4"/>
  <c r="J84" i="4"/>
  <c r="J85" i="4" s="1"/>
  <c r="J41" i="5"/>
  <c r="J85" i="5" l="1"/>
  <c r="J84" i="5"/>
  <c r="K38" i="5"/>
  <c r="J67" i="5"/>
  <c r="H21" i="6"/>
  <c r="H76" i="4"/>
  <c r="H79" i="4" s="1"/>
  <c r="H87" i="4" s="1"/>
  <c r="H91" i="4" s="1"/>
  <c r="H17" i="6" s="1"/>
  <c r="H50" i="4"/>
  <c r="H66" i="4"/>
  <c r="H69" i="4" s="1"/>
  <c r="G62" i="4"/>
  <c r="G70" i="4" s="1"/>
  <c r="I88" i="5"/>
  <c r="I46" i="4"/>
  <c r="K39" i="5" l="1"/>
  <c r="K65" i="5" s="1"/>
  <c r="K40" i="5"/>
  <c r="I89" i="5"/>
  <c r="I48" i="4" s="1"/>
  <c r="I49" i="4" s="1"/>
  <c r="I47" i="4"/>
  <c r="K66" i="5"/>
  <c r="I89" i="4"/>
  <c r="H61" i="4"/>
  <c r="H19" i="6"/>
  <c r="J46" i="4"/>
  <c r="J88" i="5"/>
  <c r="J67" i="4"/>
  <c r="J86" i="5"/>
  <c r="K83" i="5" s="1"/>
  <c r="K43" i="4" l="1"/>
  <c r="K44" i="4" s="1"/>
  <c r="K20" i="6"/>
  <c r="I66" i="4"/>
  <c r="I69" i="4" s="1"/>
  <c r="I15" i="6"/>
  <c r="I16" i="6" s="1"/>
  <c r="J89" i="5"/>
  <c r="J48" i="4" s="1"/>
  <c r="J49" i="4" s="1"/>
  <c r="J47" i="4"/>
  <c r="H62" i="4"/>
  <c r="H70" i="4" s="1"/>
  <c r="K84" i="4"/>
  <c r="K85" i="4" s="1"/>
  <c r="K41" i="5"/>
  <c r="K67" i="5" s="1"/>
  <c r="I76" i="4"/>
  <c r="I79" i="4" s="1"/>
  <c r="I87" i="4" s="1"/>
  <c r="I91" i="4" s="1"/>
  <c r="I17" i="6" s="1"/>
  <c r="I50" i="4"/>
  <c r="K84" i="5" l="1"/>
  <c r="K85" i="5"/>
  <c r="I21" i="6"/>
  <c r="J66" i="4"/>
  <c r="J69" i="4" s="1"/>
  <c r="J15" i="6"/>
  <c r="J16" i="6" s="1"/>
  <c r="J89" i="4"/>
  <c r="I61" i="4"/>
  <c r="I19" i="6"/>
  <c r="K46" i="4"/>
  <c r="K88" i="5"/>
  <c r="K67" i="4"/>
  <c r="E46" i="6"/>
  <c r="K86" i="5"/>
  <c r="J50" i="4"/>
  <c r="J76" i="4"/>
  <c r="J79" i="4" s="1"/>
  <c r="J87" i="4" s="1"/>
  <c r="J21" i="6" l="1"/>
  <c r="K89" i="5"/>
  <c r="K48" i="4" s="1"/>
  <c r="K49" i="4" s="1"/>
  <c r="K15" i="6" s="1"/>
  <c r="K16" i="6" s="1"/>
  <c r="K47" i="4"/>
  <c r="I62" i="4"/>
  <c r="I70" i="4" s="1"/>
  <c r="J91" i="4"/>
  <c r="J17" i="6" s="1"/>
  <c r="K89" i="4" l="1"/>
  <c r="J61" i="4"/>
  <c r="J62" i="4" s="1"/>
  <c r="J70" i="4" s="1"/>
  <c r="J19" i="6"/>
  <c r="K50" i="4"/>
  <c r="K21" i="6"/>
  <c r="K76" i="4"/>
  <c r="K79" i="4" s="1"/>
  <c r="K87" i="4" s="1"/>
  <c r="E44" i="6"/>
  <c r="K66" i="4"/>
  <c r="K69" i="4" s="1"/>
  <c r="K91" i="4" l="1"/>
  <c r="K17" i="6" s="1"/>
  <c r="E29" i="6" l="1"/>
  <c r="K61" i="4"/>
  <c r="K19" i="6"/>
  <c r="E37" i="6" s="1"/>
  <c r="K62" i="4" l="1"/>
  <c r="E45" i="6"/>
  <c r="K70" i="4" l="1"/>
  <c r="E41" i="6" s="1"/>
  <c r="E49" i="6" s="1"/>
</calcChain>
</file>

<file path=xl/sharedStrings.xml><?xml version="1.0" encoding="utf-8"?>
<sst xmlns="http://schemas.openxmlformats.org/spreadsheetml/2006/main" count="483" uniqueCount="339">
  <si>
    <t>MRR / ARR</t>
  </si>
  <si>
    <t>ARPA</t>
  </si>
  <si>
    <t>EBITDA / EBIT</t>
  </si>
  <si>
    <t>DSO / DIO / DPO</t>
  </si>
  <si>
    <t>CAC / LTV</t>
  </si>
  <si>
    <t>DSCR</t>
  </si>
  <si>
    <t>Action</t>
  </si>
  <si>
    <t xml:space="preserve"> </t>
  </si>
  <si>
    <t>H4sIAAAAAAAEAM2QvU7DMBSF3QZEEDyEdyIrKf2hQxYCAokORalYqqo41hWx6tjBdpDSx+gLgx2lMLAwcgffa0vnu8cHDRBCn65893U5dMfzkltW3iq1w6u2BoMXvNBUtxF+AW24kukoHk1JQmISRzhrhG00pBIaq6mI8LIpBGdP0K7UDmQqGyFOPT//xm477LbHkhw0p4LvaSEgo6yE3y9XK1Uv4ANEd7vjzDobThs47lnvKsxUVVMNOnykpsz5HlCAwsMgb42FimRKCOh0hjyAdBvYsd+/N26bbY+A12S97lW51Vy+RbgyTGnBi58Mxv77fwmgmM3ohE2myfx6DPHNfLMJh33c50E/nPjhP1r15i6+APaTkYMnAgAA</t>
  </si>
  <si>
    <t>0</t>
  </si>
  <si>
    <t>EUR</t>
  </si>
  <si>
    <t>0b</t>
  </si>
  <si>
    <t>Base</t>
  </si>
  <si>
    <t>Prudent</t>
  </si>
  <si>
    <t>0c</t>
  </si>
  <si>
    <t>ISOC</t>
  </si>
  <si>
    <t>Inflation (indexation)</t>
  </si>
  <si>
    <t>0d</t>
  </si>
  <si>
    <t>1</t>
  </si>
  <si>
    <t>Transactions</t>
  </si>
  <si>
    <t>2</t>
  </si>
  <si>
    <t>3</t>
  </si>
  <si>
    <t>4</t>
  </si>
  <si>
    <t>Structure</t>
  </si>
  <si>
    <t>Services</t>
  </si>
  <si>
    <t>Marketing</t>
  </si>
  <si>
    <t>TOTAL SG&amp;A</t>
  </si>
  <si>
    <t>5</t>
  </si>
  <si>
    <t>TOTAL CAPEX</t>
  </si>
  <si>
    <t>6</t>
  </si>
  <si>
    <t>7</t>
  </si>
  <si>
    <t>SG&amp;A</t>
  </si>
  <si>
    <t>EBITDA</t>
  </si>
  <si>
    <t>A</t>
  </si>
  <si>
    <t>Capex</t>
  </si>
  <si>
    <t>B</t>
  </si>
  <si>
    <t>C</t>
  </si>
  <si>
    <t>D</t>
  </si>
  <si>
    <t>LTV / CAC</t>
  </si>
  <si>
    <t>Consultants</t>
  </si>
  <si>
    <t>GLOSSAIRE</t>
  </si>
  <si>
    <t>Terme</t>
  </si>
  <si>
    <t>Modèle économique</t>
  </si>
  <si>
    <t>Chiffre d'affaires</t>
  </si>
  <si>
    <t>Attrition (churn)</t>
  </si>
  <si>
    <t>GMV / Taux de commission</t>
  </si>
  <si>
    <t>Marge brute</t>
  </si>
  <si>
    <t>Dotations aux amortissements</t>
  </si>
  <si>
    <t>Report déficitaire</t>
  </si>
  <si>
    <t>Besoin en fonds de roulement</t>
  </si>
  <si>
    <t>Dette nette / EBITDA</t>
  </si>
  <si>
    <t>Scénario</t>
  </si>
  <si>
    <t>INSTRUCTIONS</t>
  </si>
  <si>
    <t>Comment utiliser le modèle</t>
  </si>
  <si>
    <t>Code couleur</t>
  </si>
  <si>
    <t>Texte bleu</t>
  </si>
  <si>
    <t>Texte noir</t>
  </si>
  <si>
    <t>Texte vert</t>
  </si>
  <si>
    <t>Guide des feuilles</t>
  </si>
  <si>
    <t>États financiers</t>
  </si>
  <si>
    <t>Annexes</t>
  </si>
  <si>
    <t>Tableau de bord</t>
  </si>
  <si>
    <t>Étape par étape</t>
  </si>
  <si>
    <t>Définition</t>
  </si>
  <si>
    <t>Produits totaux issus des moteurs de revenus actifs, avant tout coût.</t>
  </si>
  <si>
    <t>Revenu récurrent mensuel / annuel : revenu d'abonnement normalisé en rythme annualisé.</t>
  </si>
  <si>
    <t>Part des clients récurrents perdus sur une année. Pilote l'évolution des cohortes de clients.</t>
  </si>
  <si>
    <t>Revenu moyen par compte : revenu d'abonnement annuel rapporté à la base de clients moyenne.</t>
  </si>
  <si>
    <t>Volume d'affaires intermédié (GMV) et commission prélevée sur celui-ci.</t>
  </si>
  <si>
    <t>Marge brute rapportée au chiffre d'affaires, après coût des ventes.</t>
  </si>
  <si>
    <t>Résultat d'exploitation avant et après dotations aux amortissements.</t>
  </si>
  <si>
    <t>Amortissement périodique des investissements immobilisés, par catégorie d'actif.</t>
  </si>
  <si>
    <t>Pertes fiscales antérieures venant compenser des bénéfices imposables ultérieurs. Belgique : sans limite de durée.</t>
  </si>
  <si>
    <t>Créances plus stocks moins dettes fournisseurs et dettes fiscales. Trésorerie immobilisée dans l'exploitation.</t>
  </si>
  <si>
    <t>Délai de recouvrement clients / d'écoulement des stocks / de paiement fournisseurs.</t>
  </si>
  <si>
    <t>Coût d'acquisition client et valeur vie client (ARPA × marge / attrition).</t>
  </si>
  <si>
    <t>Ratio de levier mesurant la dette au regard du résultat d'exploitation.</t>
  </si>
  <si>
    <t>Ratio de couverture du service de la dette : EBITDA rapporté au service de la dette (intérêts plus capital).</t>
  </si>
  <si>
    <t>Base / Optimiste / Prudent. Ajuste le chiffre d'affaires et les coûts et décale l'attrition sur tout le plan.</t>
  </si>
  <si>
    <t>Signification</t>
  </si>
  <si>
    <t>Liens reprenant une valeur d'une autre ligne ou d'une autre feuille. Pilotés par la source, ne pas modifier ici.</t>
  </si>
  <si>
    <t>Objet</t>
  </si>
  <si>
    <t>La seule feuille que vous modifiez. Choisissez le modèle économique en haut, puis remplissez les cellules bleues : moteurs de revenus, coûts, personnel, fiscalité, financement. Tout le reste en découle.</t>
  </si>
  <si>
    <t>Remplissez les cellules d'hypothèses bleues pour chaque moteur actif : budget d'acquisition, coût par prospect, conversion, tarification, attrition.</t>
  </si>
  <si>
    <t>Choisissez un scénario (Base / Optimiste / Prudent) pour tester chiffre d'affaires, coûts et attrition sur tout le plan.</t>
  </si>
  <si>
    <t>PARAMÉTRAGE</t>
  </si>
  <si>
    <t>Nom de la société</t>
  </si>
  <si>
    <t>Première année du plan</t>
  </si>
  <si>
    <t>Devise de reporting</t>
  </si>
  <si>
    <t>Moteur A actif  -  Récurrent / Abonnement</t>
  </si>
  <si>
    <t>Moteur B actif  -  Transactionnel / Place de marché</t>
  </si>
  <si>
    <t>Moteur C actif  -  Ponctuel / Produit / Service</t>
  </si>
  <si>
    <t>Stocks actifs (biens physiques)</t>
  </si>
  <si>
    <t>Hybride - inclure le moteur A ?</t>
  </si>
  <si>
    <t>Hybride - inclure le moteur B ?</t>
  </si>
  <si>
    <t>Hybride - inclure le moteur C ?</t>
  </si>
  <si>
    <t>SCÉNARIO</t>
  </si>
  <si>
    <t>Scénario actif</t>
  </si>
  <si>
    <t>Leviers du scénario</t>
  </si>
  <si>
    <t>Coefficient sur le chiffre d'affaires (x)</t>
  </si>
  <si>
    <t>Coefficient sur les coûts (x)</t>
  </si>
  <si>
    <t>Écart d'attrition (points)</t>
  </si>
  <si>
    <t>Coefficient CA appliqué</t>
  </si>
  <si>
    <t>Coefficient coûts appliqué</t>
  </si>
  <si>
    <t>Écart d'attrition appliqué</t>
  </si>
  <si>
    <t>FISCALITÉ &amp; CHARGES SOCIALES</t>
  </si>
  <si>
    <t>Régime fiscal</t>
  </si>
  <si>
    <t>Taux d'imposition des bénéfices</t>
  </si>
  <si>
    <t>Utiliser le report déficitaire</t>
  </si>
  <si>
    <t>Charges sociales (% du brut)</t>
  </si>
  <si>
    <t>Indexation salariale - personnel</t>
  </si>
  <si>
    <t>Indexation salariale - fondateurs</t>
  </si>
  <si>
    <t>TRÉSORERIE</t>
  </si>
  <si>
    <t>Seuil de trésorerie minimum (alerte)</t>
  </si>
  <si>
    <t>Trésorerie d'ouverture (début année 1)</t>
  </si>
  <si>
    <t>CHIFFRE D'AFFAIRES  (moteurs pilotés par le modèle économique)</t>
  </si>
  <si>
    <t>Année</t>
  </si>
  <si>
    <t>Moteur A  -  Récurrent / Abonnement (SaaS)</t>
  </si>
  <si>
    <t>Actif (selon le modèle économique)</t>
  </si>
  <si>
    <t>Budget d'acquisition (moteur A)</t>
  </si>
  <si>
    <t>Coût par prospect</t>
  </si>
  <si>
    <t>Nouveaux prospects par an</t>
  </si>
  <si>
    <t>Taux de conversion prospect-client</t>
  </si>
  <si>
    <t>Nouveaux clients</t>
  </si>
  <si>
    <t>Clients - début d'année</t>
  </si>
  <si>
    <t>Attrition annuelle (brute)</t>
  </si>
  <si>
    <t>Attrition effective (scénario)</t>
  </si>
  <si>
    <t>Clients - fin d'année</t>
  </si>
  <si>
    <t>Clients actifs moyens</t>
  </si>
  <si>
    <t>ARPA - revenu annuel / compte</t>
  </si>
  <si>
    <t>Revenu d'abonnement</t>
  </si>
  <si>
    <t>Frais de mise en service par nouveau client</t>
  </si>
  <si>
    <t>Revenus de mise en service</t>
  </si>
  <si>
    <t>Chiffre d'affaires - moteur A</t>
  </si>
  <si>
    <t>MRR (fin d'année)</t>
  </si>
  <si>
    <t>ARR (fin d'année)</t>
  </si>
  <si>
    <t>Moteur B  -  Transactionnel / Place de marché (commission)</t>
  </si>
  <si>
    <t>Budget d'acquisition (moteur B)</t>
  </si>
  <si>
    <t>Prospects</t>
  </si>
  <si>
    <t>Taux de conversion prospect-transaction</t>
  </si>
  <si>
    <t>Panier moyen</t>
  </si>
  <si>
    <t>GMV (volume d'affaires)</t>
  </si>
  <si>
    <t>Taux de commission</t>
  </si>
  <si>
    <t>Chiffre d'affaires - moteur B</t>
  </si>
  <si>
    <t>Moteur C  -  Ponctuel / Produit / Service</t>
  </si>
  <si>
    <t>Unités vendues  (unités ou jours facturables)</t>
  </si>
  <si>
    <t>Prix unitaire / taux journalier</t>
  </si>
  <si>
    <t>Budget d'acquisition (moteur C)</t>
  </si>
  <si>
    <t>Chiffre d'affaires - moteur C</t>
  </si>
  <si>
    <t>CHIFFRE D'AFFAIRES TOTAL</t>
  </si>
  <si>
    <t>Croissance du chiffre d'affaires</t>
  </si>
  <si>
    <t>COÛT DES VENTES  &amp;  MARGE BRUTE</t>
  </si>
  <si>
    <t>Coût des ventes - moteur A (% du CA A)</t>
  </si>
  <si>
    <t>Coût des ventes - moteur A</t>
  </si>
  <si>
    <t>Coût des ventes - moteur B (% du CA B)</t>
  </si>
  <si>
    <t>Coût des ventes - moteur B</t>
  </si>
  <si>
    <t>Coût unitaire - moteur C (par unité / jour)</t>
  </si>
  <si>
    <t>Coût des ventes - moteur C</t>
  </si>
  <si>
    <t>COÛT DES VENTES TOTAL</t>
  </si>
  <si>
    <t>MARGE BRUTE</t>
  </si>
  <si>
    <t>Taux de marge brute</t>
  </si>
  <si>
    <t>CHARGES DE PERSONNEL</t>
  </si>
  <si>
    <t>Tech &amp; Produit</t>
  </si>
  <si>
    <t>Effectif (ETP)</t>
  </si>
  <si>
    <t>Salaire annuel brut moyen</t>
  </si>
  <si>
    <t>Coût - Tech &amp; Produit</t>
  </si>
  <si>
    <t>Ventes &amp; Marketing</t>
  </si>
  <si>
    <t>Coût - Ventes &amp; Marketing</t>
  </si>
  <si>
    <t>Succès client &amp; Opérations</t>
  </si>
  <si>
    <t>Coût - Succès client &amp; Opérations</t>
  </si>
  <si>
    <t>Frais généraux &amp; administratifs</t>
  </si>
  <si>
    <t>Coût - Frais généraux &amp; administratifs</t>
  </si>
  <si>
    <t>Stagiaires</t>
  </si>
  <si>
    <t>Coût - Stagiaires</t>
  </si>
  <si>
    <t>CHARGES DE PERSONNEL TOTALES</t>
  </si>
  <si>
    <t>Effectif total (ETP)</t>
  </si>
  <si>
    <t>Chiffre d'affaires par ETP</t>
  </si>
  <si>
    <t>CHARGES D'EXPLOITATION  (SG&amp;A)</t>
  </si>
  <si>
    <t>Loyer &amp; charges</t>
  </si>
  <si>
    <t>Logiciels &amp; outils</t>
  </si>
  <si>
    <t>Bureau &amp; autres frais de structure</t>
  </si>
  <si>
    <t>Comptabilité</t>
  </si>
  <si>
    <t>Juridique &amp; conseil</t>
  </si>
  <si>
    <t>Informatique / hébergement (hors coût des ventes)</t>
  </si>
  <si>
    <t>Autres services</t>
  </si>
  <si>
    <t>Marque &amp; autre marketing</t>
  </si>
  <si>
    <t>Dépenses d'acquisition (issues des moteurs)</t>
  </si>
  <si>
    <t>Fondateurs</t>
  </si>
  <si>
    <t>Rémunération annuelle moyenne</t>
  </si>
  <si>
    <t>Coût - Fondateurs</t>
  </si>
  <si>
    <t>Coût - Consultants</t>
  </si>
  <si>
    <t>Freelances / Indépendants</t>
  </si>
  <si>
    <t>Coût - Freelances / Indépendants</t>
  </si>
  <si>
    <t>Autres charges d'exploitation</t>
  </si>
  <si>
    <t>Autres charges 1</t>
  </si>
  <si>
    <t>Autres charges 2</t>
  </si>
  <si>
    <t>SG&amp;A en % du chiffre d'affaires</t>
  </si>
  <si>
    <t>INVESTISSEMENTS (CAPEX)</t>
  </si>
  <si>
    <t>Catégorie d'actif</t>
  </si>
  <si>
    <t>Durée d'utilité (années)</t>
  </si>
  <si>
    <t>Capex - Informatique &amp; équipement</t>
  </si>
  <si>
    <t>Capex - Mobilier &amp; agencements</t>
  </si>
  <si>
    <t>Capex - Logiciels &amp; immobilisations incorporelles</t>
  </si>
  <si>
    <t>Capex - Bâtiment &amp; autres</t>
  </si>
  <si>
    <t>FINANCEMENT</t>
  </si>
  <si>
    <t>Capitaux propres</t>
  </si>
  <si>
    <t>Apport en capital</t>
  </si>
  <si>
    <t>Emprunt 1</t>
  </si>
  <si>
    <t>Montant</t>
  </si>
  <si>
    <t>Année de départ</t>
  </si>
  <si>
    <t>Durée (années)</t>
  </si>
  <si>
    <t>Taux d'intérêt annuel</t>
  </si>
  <si>
    <t>Type de remboursement</t>
  </si>
  <si>
    <t>Différé (années)</t>
  </si>
  <si>
    <t>Emprunt 2</t>
  </si>
  <si>
    <t>Emprunt 3</t>
  </si>
  <si>
    <t>Emprunt 4</t>
  </si>
  <si>
    <t>BESOIN EN FONDS DE ROULEMENT</t>
  </si>
  <si>
    <t>Stocks actifs (selon le modèle économique)</t>
  </si>
  <si>
    <t>DSO - délai de recouvrement clients (jours)</t>
  </si>
  <si>
    <t>DIO - délai d'écoulement des stocks (jours)</t>
  </si>
  <si>
    <t>DPO - délai de paiement fournisseurs (jours)</t>
  </si>
  <si>
    <t>FIN</t>
  </si>
  <si>
    <t>[Société]</t>
  </si>
  <si>
    <t>SaaS / Abonnement</t>
  </si>
  <si>
    <t>Oui</t>
  </si>
  <si>
    <t>Optimiste</t>
  </si>
  <si>
    <t>In fine</t>
  </si>
  <si>
    <t>Linéaire</t>
  </si>
  <si>
    <t>Annuité</t>
  </si>
  <si>
    <t>COMPTE DE RÉSULTAT (en €)</t>
  </si>
  <si>
    <t>Chiffre d'affaires - moteur A (récurrent)</t>
  </si>
  <si>
    <t>Chiffre d'affaires - moteur B (transactionnel)</t>
  </si>
  <si>
    <t>Chiffre d'affaires - moteur C (ponctuel)</t>
  </si>
  <si>
    <t>Chiffre d'affaires total</t>
  </si>
  <si>
    <t>Coût des ventes - moteur A (récurrent)</t>
  </si>
  <si>
    <t>Coût des ventes - moteur B (transactionnel)</t>
  </si>
  <si>
    <t>Coût des ventes - moteur C (ponctuel)</t>
  </si>
  <si>
    <t>Coût des ventes total</t>
  </si>
  <si>
    <t>Charges de personnel</t>
  </si>
  <si>
    <t>Indépendants &amp; prestataires</t>
  </si>
  <si>
    <t>Marge d'EBITDA</t>
  </si>
  <si>
    <t>EBIT (résultat d'exploitation)</t>
  </si>
  <si>
    <t>Marge d'EBIT</t>
  </si>
  <si>
    <t>Charges d'intérêts</t>
  </si>
  <si>
    <t>Résultat avant impôt</t>
  </si>
  <si>
    <t>Report déficitaire utilisé</t>
  </si>
  <si>
    <t>Bénéfice imposable</t>
  </si>
  <si>
    <t>Impôt sur les bénéfices</t>
  </si>
  <si>
    <t>RÉSULTAT NET</t>
  </si>
  <si>
    <t>Marge nette</t>
  </si>
  <si>
    <t>BILAN (en €)</t>
  </si>
  <si>
    <t>Actif</t>
  </si>
  <si>
    <t>Immobilisations nettes</t>
  </si>
  <si>
    <t>Stocks</t>
  </si>
  <si>
    <t>Créances clients</t>
  </si>
  <si>
    <t>Trésorerie &amp; équivalents</t>
  </si>
  <si>
    <t>TOTAL DE L'ACTIF</t>
  </si>
  <si>
    <t>Passif &amp; capitaux propres</t>
  </si>
  <si>
    <t>Capital social</t>
  </si>
  <si>
    <t>Dette financière</t>
  </si>
  <si>
    <t>Dettes fournisseurs</t>
  </si>
  <si>
    <t>TOTAL DU PASSIF</t>
  </si>
  <si>
    <t>TABLEAU DES FLUX DE TRÉSORERIE (en €)</t>
  </si>
  <si>
    <t>Résultat net</t>
  </si>
  <si>
    <t>+/- Variation du besoin en fonds de roulement</t>
  </si>
  <si>
    <t>Flux de trésorerie d'exploitation</t>
  </si>
  <si>
    <t>Flux de trésorerie d'investissement</t>
  </si>
  <si>
    <t>Flux de trésorerie de financement</t>
  </si>
  <si>
    <t>VARIATION NETTE DE TRÉSORERIE</t>
  </si>
  <si>
    <t>Trésorerie - début d'année</t>
  </si>
  <si>
    <t>TRÉSORERIE - FIN D'ANNÉE</t>
  </si>
  <si>
    <t>IMMOBILISATIONS  +  AMORTISSEMENTS (en €)</t>
  </si>
  <si>
    <t>Informatique &amp; équipement</t>
  </si>
  <si>
    <t>Amortissement</t>
  </si>
  <si>
    <t>Valeur nette comptable (fin d'année)</t>
  </si>
  <si>
    <t>Mobilier &amp; agencements</t>
  </si>
  <si>
    <t>Logiciels &amp; immobilisations incorporelles</t>
  </si>
  <si>
    <t>Bâtiment &amp; autres</t>
  </si>
  <si>
    <t>TOTAL DES DOTATIONS AUX AMORTISSEMENTS</t>
  </si>
  <si>
    <t>TOTAL DES IMMOBILISATIONS NETTES</t>
  </si>
  <si>
    <t>DETTE FINANCIÈRE (en €)</t>
  </si>
  <si>
    <t>Tirage</t>
  </si>
  <si>
    <t>Solde d'ouverture</t>
  </si>
  <si>
    <t>Intérêts</t>
  </si>
  <si>
    <t>Remboursement du capital</t>
  </si>
  <si>
    <t>Solde de clôture</t>
  </si>
  <si>
    <t>Total des tirages</t>
  </si>
  <si>
    <t>Total des charges d'intérêts</t>
  </si>
  <si>
    <t>Total des remboursements de capital</t>
  </si>
  <si>
    <t>Encours total de dette (fin d'année)</t>
  </si>
  <si>
    <t>BESOIN EN FONDS DE ROULEMENT (en €)</t>
  </si>
  <si>
    <t>Créances clients (DSO)</t>
  </si>
  <si>
    <t>Stocks (DIO, si produit)</t>
  </si>
  <si>
    <t>Dettes fournisseurs (DPO)</t>
  </si>
  <si>
    <t>Besoin en fonds de roulement net</t>
  </si>
  <si>
    <t>Variation du BFR (impact trésorerie)</t>
  </si>
  <si>
    <t>FISCALITÉ  -  REPORT DÉFICITAIRE (en €)</t>
  </si>
  <si>
    <t>Pertes fiscales à l'ouverture</t>
  </si>
  <si>
    <t>Pertes utilisées</t>
  </si>
  <si>
    <t>Pertes générées</t>
  </si>
  <si>
    <t>Pertes fiscales à la clôture</t>
  </si>
  <si>
    <t>SYNTHÈSE DE PERFORMANCE</t>
  </si>
  <si>
    <t>Trésorerie - fin d'année</t>
  </si>
  <si>
    <t>Dette nette</t>
  </si>
  <si>
    <t>DSCR (EBITDA / service de la dette)</t>
  </si>
  <si>
    <t>Année bénéficiaire ? (RN&gt;0)</t>
  </si>
  <si>
    <t>INDICATEURS CLÉS</t>
  </si>
  <si>
    <t>Point bas de trésorerie</t>
  </si>
  <si>
    <t>Seuil de trésorerie minimum</t>
  </si>
  <si>
    <t>LTV (récurrent)</t>
  </si>
  <si>
    <t>CAC (dépenses V&amp;M / nouveaux récurrents)</t>
  </si>
  <si>
    <t>CONTRÔLES DU MODÈLE</t>
  </si>
  <si>
    <t>Le bilan est équilibré (toutes années)</t>
  </si>
  <si>
    <t>Chiffre d'affaires = somme des moteurs</t>
  </si>
  <si>
    <t>Marge brute = CA - coût des ventes</t>
  </si>
  <si>
    <t>Résultat net = résultat avant impôt - impôt</t>
  </si>
  <si>
    <t>Trésorerie (bilan) = trésorerie (flux)</t>
  </si>
  <si>
    <t>Dette financière jamais négative</t>
  </si>
  <si>
    <t>Au moins un moteur de revenus actif</t>
  </si>
  <si>
    <t>CONTRÔLE FINAL : MODÈLE OK ?</t>
  </si>
  <si>
    <t>Hypothèses</t>
  </si>
  <si>
    <t>Sur la feuille hypothèses, choisissez le modèle économique. Cela active le(s) bon(s) moteur(s) de revenus.</t>
  </si>
  <si>
    <t>Sélecteur en haut de la feuille hypothèses. Active le moteur de revenus correspondant et grise les autres.</t>
  </si>
  <si>
    <t>Cellules de hypothèses à compléter. Ce sont les seules cellules où vous devez écrire : hypothèses, taux, budgets, volumes.</t>
  </si>
  <si>
    <t>Formules et calculs. Ne pas écraser : ils se mettent à jour automatiquement à partir de vos hypothèsess.</t>
  </si>
  <si>
    <t>Renseignez les coûts, le personnel, la fiscalité, le besoin en fonds de roulement et le financement plus bas dans la feuille hypothèses (cellules bleues uniquement).</t>
  </si>
  <si>
    <t>Outputs. Compte de résultat, bilan et flux de trésorerie complets, construits à partir de vos hypothèsess. En lecture seule.</t>
  </si>
  <si>
    <t>Outputs. Détail justificatif : immobilisations et amortissements, dette financière, besoin en fonds de roulement, fiscalité / report déficitaire.</t>
  </si>
  <si>
    <t>Outputs. Indicateurs clés et graphiques pour analyse et présentation. En lecture seule.</t>
  </si>
  <si>
    <t>Ne remplissez que les cellules bleues de la feuille Hypothèses. Toutes les autres feuilles sont des Outputs et se mettent à jour automatiquement.</t>
  </si>
  <si>
    <t>Analysez les Outputs des feuilles 1 à 3. N'y saisissez jamais rien ! Si un chiffre semble erroné, corrigez la hypothèses bleue qui le détermine.</t>
  </si>
  <si>
    <t>Check</t>
  </si>
  <si>
    <t>+ Dotations aux amortissements</t>
  </si>
  <si>
    <t>- Investissements (capex)</t>
  </si>
  <si>
    <t>+ Apport en capital</t>
  </si>
  <si>
    <t>+ Tirage de dette</t>
  </si>
  <si>
    <t>- Remboursement de dette</t>
  </si>
  <si>
    <t>Résultat reporté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</si>
</sst>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\x"/>
    <numFmt numFmtId="165" formatCode="0.0%"/>
    <numFmt numFmtId="166" formatCode="_-* #,##0&quot; €&quot;_-;\-* #,##0&quot; €&quot;_-;_-* \-??&quot; €&quot;_-;_-@_-"/>
    <numFmt numFmtId="167" formatCode="#,##0.0"/>
    <numFmt numFmtId="168" formatCode="#,##0&quot; d&quot;"/>
    <numFmt numFmtId="170" formatCode="_-* #,##0_-;\-* #,##0_-;_-* \-??_-;_-@_-"/>
    <numFmt numFmtId="171" formatCode="&quot;Ex-&quot;0"/>
  </numFmts>
  <fonts count="31" x14ac:knownFonts="1">
    <font>
      <sz val="11"/>
      <color theme="1"/>
      <name val="Calibri"/>
      <family val="2"/>
      <charset val="1"/>
    </font>
    <font>
      <b/>
      <sz val="13"/>
      <color rgb="FF39362C"/>
      <name val="Calibri"/>
      <charset val="1"/>
    </font>
    <font>
      <sz val="11"/>
      <color rgb="FF39362C"/>
      <name val="Calibri"/>
      <charset val="1"/>
    </font>
    <font>
      <b/>
      <sz val="11"/>
      <color rgb="FF39362C"/>
      <name val="Calibri"/>
      <charset val="1"/>
    </font>
    <font>
      <i/>
      <sz val="9"/>
      <color rgb="FFA59F8B"/>
      <name val="Calibri"/>
      <charset val="1"/>
    </font>
    <font>
      <b/>
      <sz val="12"/>
      <color rgb="FF39362C"/>
      <name val="Calibri"/>
      <charset val="1"/>
    </font>
    <font>
      <b/>
      <sz val="13"/>
      <color theme="7"/>
      <name val="Calibri"/>
      <family val="2"/>
    </font>
    <font>
      <sz val="11"/>
      <color theme="7"/>
      <name val="Calibri"/>
      <family val="2"/>
    </font>
    <font>
      <b/>
      <sz val="11"/>
      <color theme="7"/>
      <name val="Calibri"/>
      <family val="2"/>
    </font>
    <font>
      <b/>
      <i/>
      <sz val="9"/>
      <color theme="7"/>
      <name val="Calibri"/>
      <family val="2"/>
    </font>
    <font>
      <sz val="11"/>
      <color theme="1"/>
      <name val="Calibri"/>
      <family val="2"/>
    </font>
    <font>
      <sz val="11"/>
      <color rgb="FF39362C"/>
      <name val="Calibri"/>
      <family val="2"/>
    </font>
    <font>
      <sz val="11"/>
      <color rgb="FFA59F8B"/>
      <name val="Calibri"/>
      <family val="2"/>
    </font>
    <font>
      <sz val="11"/>
      <color theme="5" tint="-0.499984740745262"/>
      <name val="Calibri"/>
      <family val="2"/>
    </font>
    <font>
      <i/>
      <sz val="11"/>
      <color theme="5" tint="-0.499984740745262"/>
      <name val="Calibri"/>
      <family val="2"/>
    </font>
    <font>
      <sz val="11"/>
      <color theme="3"/>
      <name val="Calibri"/>
      <family val="2"/>
    </font>
    <font>
      <sz val="11"/>
      <color theme="0" tint="-0.499984740745262"/>
      <name val="Calibri"/>
      <family val="2"/>
    </font>
    <font>
      <b/>
      <sz val="11"/>
      <color rgb="FF39362C"/>
      <name val="Calibri"/>
      <family val="2"/>
    </font>
    <font>
      <b/>
      <sz val="11"/>
      <color theme="3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3"/>
      <color rgb="FF39362C"/>
      <name val="Calibri"/>
      <family val="2"/>
    </font>
    <font>
      <sz val="9"/>
      <color theme="7"/>
      <name val="Calibri"/>
      <family val="2"/>
    </font>
    <font>
      <sz val="11"/>
      <color rgb="FF39362C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749F57"/>
      <name val="Calibri"/>
      <family val="2"/>
    </font>
    <font>
      <b/>
      <sz val="11"/>
      <color rgb="FF39362C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1"/>
      <color rgb="FF749F57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E8E994"/>
        <bgColor rgb="FFEFF0C0"/>
      </patternFill>
    </fill>
    <fill>
      <patternFill patternType="solid">
        <fgColor rgb="FFEFF0C0"/>
        <bgColor rgb="FFF6F7DD"/>
      </patternFill>
    </fill>
    <fill>
      <patternFill patternType="solid">
        <fgColor rgb="FFF6F7DD"/>
        <bgColor rgb="FFEFF0C0"/>
      </patternFill>
    </fill>
    <fill>
      <patternFill patternType="solid">
        <fgColor rgb="FFFFFFFF"/>
        <bgColor rgb="FFF6F7DD"/>
      </patternFill>
    </fill>
    <fill>
      <patternFill patternType="solid">
        <fgColor theme="4"/>
        <bgColor rgb="FFEFF0C0"/>
      </patternFill>
    </fill>
    <fill>
      <patternFill patternType="solid">
        <fgColor theme="6"/>
        <bgColor rgb="FFF6F7DD"/>
      </patternFill>
    </fill>
    <fill>
      <patternFill patternType="solid">
        <fgColor theme="3"/>
        <bgColor rgb="FFEFF0C0"/>
      </patternFill>
    </fill>
    <fill>
      <patternFill patternType="solid">
        <fgColor theme="5" tint="-9.9978637043366805E-2"/>
        <bgColor rgb="FFEFF0C0"/>
      </patternFill>
    </fill>
    <fill>
      <patternFill patternType="solid">
        <fgColor theme="5" tint="-9.9978637043366805E-2"/>
        <bgColor indexed="64"/>
      </patternFill>
    </fill>
    <fill>
      <patternFill patternType="solid">
        <fgColor rgb="FFE8E994"/>
        <bgColor indexed="64"/>
      </patternFill>
    </fill>
    <fill>
      <patternFill patternType="solid">
        <fgColor theme="7" tint="-4.9989318521683403E-2"/>
        <bgColor rgb="FFF6F7DD"/>
      </patternFill>
    </fill>
    <fill>
      <patternFill patternType="solid">
        <fgColor theme="7" tint="-4.9989318521683403E-2"/>
        <bgColor indexed="64"/>
      </patternFill>
    </fill>
    <fill>
      <patternFill patternType="solid">
        <fgColor rgb="FFEFF0C0"/>
        <bgColor indexed="64"/>
      </patternFill>
    </fill>
    <fill>
      <patternFill patternType="solid">
        <fgColor rgb="FFF6F7DD"/>
        <bgColor indexed="64"/>
      </patternFill>
    </fill>
    <fill>
      <patternFill patternType="solid">
        <fgColor theme="0" tint="-9.9978637043366805E-2"/>
        <bgColor rgb="FFEFF0C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1" fontId="8" fillId="8" borderId="0" xfId="0" applyNumberFormat="1" applyFont="1" applyFill="1" applyAlignment="1">
      <alignment horizontal="right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16" fillId="0" borderId="0" xfId="0" applyFont="1"/>
    <xf numFmtId="166" fontId="11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164" fontId="20" fillId="10" borderId="0" xfId="0" applyNumberFormat="1" applyFont="1" applyFill="1" applyAlignment="1">
      <alignment horizontal="right" vertical="center"/>
    </xf>
    <xf numFmtId="1" fontId="20" fillId="10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2" borderId="0" xfId="0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1" fontId="22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9" fontId="22" fillId="0" borderId="0" xfId="0" applyNumberFormat="1" applyFont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13" fillId="0" borderId="0" xfId="0" applyFont="1" applyAlignment="1">
      <alignment horizontal="right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7" fillId="8" borderId="0" xfId="0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166" fontId="17" fillId="4" borderId="0" xfId="0" applyNumberFormat="1" applyFont="1" applyFill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4" fillId="8" borderId="0" xfId="0" applyFont="1" applyFill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167" fontId="17" fillId="4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 indent="1"/>
    </xf>
    <xf numFmtId="168" fontId="22" fillId="0" borderId="0" xfId="0" applyNumberFormat="1" applyFont="1" applyAlignment="1">
      <alignment horizontal="righ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22" fillId="0" borderId="2" xfId="0" applyFont="1" applyBorder="1" applyAlignment="1">
      <alignment horizontal="right" vertical="center"/>
    </xf>
    <xf numFmtId="0" fontId="20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/>
    </xf>
    <xf numFmtId="166" fontId="26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8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70" fontId="2" fillId="0" borderId="0" xfId="0" applyNumberFormat="1" applyFont="1" applyAlignment="1">
      <alignment horizontal="right" vertical="center"/>
    </xf>
    <xf numFmtId="0" fontId="3" fillId="4" borderId="0" xfId="0" applyFont="1" applyFill="1" applyAlignment="1">
      <alignment vertical="center"/>
    </xf>
    <xf numFmtId="170" fontId="3" fillId="4" borderId="0" xfId="0" applyNumberFormat="1" applyFont="1" applyFill="1" applyAlignment="1">
      <alignment horizontal="right" vertical="center"/>
    </xf>
    <xf numFmtId="0" fontId="19" fillId="9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170" fontId="20" fillId="9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170" fontId="13" fillId="0" borderId="0" xfId="0" applyNumberFormat="1" applyFont="1" applyAlignment="1">
      <alignment horizontal="right" vertical="center"/>
    </xf>
    <xf numFmtId="0" fontId="2" fillId="9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170" fontId="3" fillId="9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170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70" fontId="16" fillId="0" borderId="0" xfId="0" applyNumberFormat="1" applyFont="1" applyAlignment="1">
      <alignment horizontal="right" vertical="center"/>
    </xf>
    <xf numFmtId="170" fontId="11" fillId="0" borderId="0" xfId="0" applyNumberFormat="1" applyFont="1" applyAlignment="1">
      <alignment horizontal="right" vertical="center"/>
    </xf>
    <xf numFmtId="0" fontId="0" fillId="0" borderId="1" xfId="0" applyBorder="1"/>
    <xf numFmtId="0" fontId="11" fillId="0" borderId="1" xfId="0" applyFont="1" applyBorder="1" applyAlignment="1">
      <alignment horizontal="left" vertical="center"/>
    </xf>
    <xf numFmtId="0" fontId="10" fillId="0" borderId="1" xfId="0" applyFont="1" applyBorder="1"/>
    <xf numFmtId="170" fontId="17" fillId="0" borderId="1" xfId="0" applyNumberFormat="1" applyFont="1" applyBorder="1" applyAlignment="1">
      <alignment horizontal="right" vertical="center"/>
    </xf>
    <xf numFmtId="170" fontId="1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0" fontId="3" fillId="0" borderId="0" xfId="0" applyNumberFormat="1" applyFont="1" applyAlignment="1">
      <alignment horizontal="right" vertical="center"/>
    </xf>
    <xf numFmtId="0" fontId="0" fillId="10" borderId="0" xfId="0" applyFill="1"/>
    <xf numFmtId="0" fontId="20" fillId="10" borderId="0" xfId="0" applyFont="1" applyFill="1" applyAlignment="1">
      <alignment horizontal="left" vertical="center"/>
    </xf>
    <xf numFmtId="0" fontId="20" fillId="10" borderId="0" xfId="0" applyFont="1" applyFill="1"/>
    <xf numFmtId="170" fontId="20" fillId="10" borderId="0" xfId="0" applyNumberFormat="1" applyFont="1" applyFill="1" applyAlignment="1">
      <alignment horizontal="right" vertical="center"/>
    </xf>
    <xf numFmtId="0" fontId="21" fillId="0" borderId="0" xfId="0" applyFont="1"/>
    <xf numFmtId="0" fontId="0" fillId="0" borderId="0" xfId="0" applyAlignment="1">
      <alignment horizontal="right"/>
    </xf>
    <xf numFmtId="0" fontId="2" fillId="2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28" fillId="0" borderId="0" xfId="0" applyFont="1"/>
    <xf numFmtId="0" fontId="28" fillId="11" borderId="0" xfId="0" applyFont="1" applyFill="1"/>
    <xf numFmtId="0" fontId="29" fillId="0" borderId="0" xfId="0" applyFont="1"/>
    <xf numFmtId="0" fontId="30" fillId="0" borderId="0" xfId="0" applyFont="1"/>
    <xf numFmtId="0" fontId="28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6" borderId="0" xfId="0" applyFont="1" applyFill="1" applyAlignment="1">
      <alignment vertical="center" wrapText="1"/>
    </xf>
    <xf numFmtId="0" fontId="28" fillId="11" borderId="0" xfId="0" applyFont="1" applyFill="1" applyAlignment="1">
      <alignment wrapText="1"/>
    </xf>
    <xf numFmtId="0" fontId="25" fillId="0" borderId="0" xfId="0" applyFont="1" applyAlignment="1">
      <alignment horizontal="left" wrapText="1"/>
    </xf>
    <xf numFmtId="0" fontId="28" fillId="11" borderId="0" xfId="0" applyFont="1" applyFill="1" applyAlignment="1">
      <alignment horizontal="left" wrapText="1"/>
    </xf>
    <xf numFmtId="0" fontId="20" fillId="12" borderId="0" xfId="0" applyFont="1" applyFill="1" applyAlignment="1">
      <alignment vertical="center"/>
    </xf>
    <xf numFmtId="0" fontId="20" fillId="13" borderId="0" xfId="0" applyFont="1" applyFill="1" applyAlignment="1">
      <alignment horizontal="left" vertical="center" wrapText="1"/>
    </xf>
    <xf numFmtId="0" fontId="28" fillId="0" borderId="0" xfId="0" applyFont="1" applyAlignment="1">
      <alignment vertical="center"/>
    </xf>
    <xf numFmtId="170" fontId="0" fillId="0" borderId="0" xfId="0" applyNumberFormat="1"/>
    <xf numFmtId="166" fontId="10" fillId="0" borderId="0" xfId="0" applyNumberFormat="1" applyFont="1"/>
    <xf numFmtId="0" fontId="20" fillId="0" borderId="2" xfId="0" applyFont="1" applyBorder="1" applyAlignment="1">
      <alignment horizontal="right" vertical="center"/>
    </xf>
    <xf numFmtId="0" fontId="0" fillId="14" borderId="0" xfId="0" applyFill="1"/>
    <xf numFmtId="0" fontId="28" fillId="14" borderId="0" xfId="0" applyFont="1" applyFill="1"/>
    <xf numFmtId="167" fontId="26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8" fillId="14" borderId="0" xfId="0" applyFont="1" applyFill="1" applyAlignment="1">
      <alignment horizontal="left"/>
    </xf>
    <xf numFmtId="0" fontId="16" fillId="0" borderId="0" xfId="0" applyFont="1" applyAlignment="1">
      <alignment horizontal="right"/>
    </xf>
    <xf numFmtId="170" fontId="25" fillId="0" borderId="0" xfId="0" applyNumberFormat="1" applyFont="1" applyAlignment="1">
      <alignment horizontal="right"/>
    </xf>
    <xf numFmtId="0" fontId="0" fillId="15" borderId="0" xfId="0" applyFill="1"/>
    <xf numFmtId="0" fontId="3" fillId="15" borderId="0" xfId="0" applyFont="1" applyFill="1" applyAlignment="1">
      <alignment horizontal="left" vertical="center"/>
    </xf>
    <xf numFmtId="170" fontId="3" fillId="15" borderId="0" xfId="0" applyNumberFormat="1" applyFont="1" applyFill="1" applyAlignment="1">
      <alignment horizontal="right" vertical="center"/>
    </xf>
    <xf numFmtId="0" fontId="2" fillId="16" borderId="0" xfId="0" applyFont="1" applyFill="1" applyAlignment="1">
      <alignment vertical="center"/>
    </xf>
    <xf numFmtId="0" fontId="3" fillId="16" borderId="0" xfId="0" applyFont="1" applyFill="1" applyAlignment="1">
      <alignment vertical="center"/>
    </xf>
    <xf numFmtId="170" fontId="3" fillId="16" borderId="0" xfId="0" applyNumberFormat="1" applyFont="1" applyFill="1" applyAlignment="1">
      <alignment horizontal="right" vertical="center"/>
    </xf>
    <xf numFmtId="171" fontId="8" fillId="8" borderId="0" xfId="0" applyNumberFormat="1" applyFont="1" applyFill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16">
    <dxf>
      <font>
        <b/>
        <color rgb="FF9C0006"/>
      </font>
      <fill>
        <patternFill>
          <bgColor rgb="FFFFC7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b/>
        <color rgb="FF9C0006"/>
      </font>
      <fill>
        <patternFill>
          <bgColor rgb="FFFFC7CE"/>
        </patternFill>
      </fill>
    </dxf>
    <dxf>
      <font>
        <b/>
        <color rgb="FF006100"/>
      </font>
      <fill>
        <patternFill>
          <bgColor rgb="FFC6EFCE"/>
        </patternFill>
      </fill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6F7DD"/>
      </font>
    </dxf>
    <dxf>
      <font>
        <color rgb="FFFFFFFF"/>
      </font>
    </dxf>
    <dxf>
      <font>
        <color rgb="FFF6F7DD"/>
      </font>
    </dxf>
    <dxf>
      <font>
        <color rgb="FFFFFFFF"/>
      </font>
    </dxf>
    <dxf>
      <font>
        <color rgb="FFFFFFFF"/>
      </font>
    </dxf>
    <dxf>
      <font>
        <color rgb="FFF6F7DD"/>
      </font>
    </dxf>
    <dxf>
      <font>
        <color rgb="FFFFFFFF"/>
      </font>
    </dxf>
    <dxf>
      <font>
        <i/>
        <sz val="11"/>
        <color rgb="FFFFFFFF"/>
        <name val="Calibri"/>
        <charset val="1"/>
      </font>
      <fill>
        <patternFill patternType="solid">
          <fgColor indexed="64"/>
          <bgColor rgb="FFFFFFFF"/>
        </patternFill>
      </fill>
    </dxf>
    <dxf>
      <font>
        <i/>
        <sz val="11"/>
        <color rgb="FFFFFFFF"/>
        <name val="Calibri"/>
        <charset val="1"/>
      </font>
      <fill>
        <patternFill patternType="solid">
          <fgColor indexed="64"/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E8E994"/>
      <rgbColor rgb="FFA59F8B"/>
      <rgbColor rgb="FF9999FF"/>
      <rgbColor rgb="FF993366"/>
      <rgbColor rgb="FFF6F7DD"/>
      <rgbColor rgb="FFCCFFFF"/>
      <rgbColor rgb="FF660066"/>
      <rgbColor rgb="FFFF8080"/>
      <rgbColor rgb="FF0070C0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EFF0C0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A9A9A"/>
      <rgbColor rgb="FF003366"/>
      <rgbColor rgb="FF339966"/>
      <rgbColor rgb="FF003300"/>
      <rgbColor rgb="FF333300"/>
      <rgbColor rgb="FF993300"/>
      <rgbColor rgb="FF993366"/>
      <rgbColor rgb="FF333399"/>
      <rgbColor rgb="FF3936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dups.be/" TargetMode="External"/><Relationship Id="rId1" Type="http://schemas.openxmlformats.org/officeDocument/2006/relationships/hyperlink" Target="https://dups.be/en/contact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dups.be/en/contact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ups.be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dups.be/en/contact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ups.be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dups.be/en/contact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ups.be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dups.be/en/contact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ups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5172075</xdr:colOff>
      <xdr:row>1</xdr:row>
      <xdr:rowOff>19050</xdr:rowOff>
    </xdr:from>
    <xdr:to>
      <xdr:col>2</xdr:col>
      <xdr:colOff>7106044</xdr:colOff>
      <xdr:row>3</xdr:row>
      <xdr:rowOff>56806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1E407-6F77-4846-AB16-84017D69E490}"/>
            </a:ext>
          </a:extLst>
        </xdr:cNvPr>
        <xdr:cNvSpPr/>
      </xdr:nvSpPr>
      <xdr:spPr>
        <a:xfrm>
          <a:off x="6981825" y="209550"/>
          <a:ext cx="1933969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  <xdr:twoCellAnchor editAs="oneCell">
    <xdr:from>
      <xdr:col>1</xdr:col>
      <xdr:colOff>47625</xdr:colOff>
      <xdr:row>0</xdr:row>
      <xdr:rowOff>142875</xdr:rowOff>
    </xdr:from>
    <xdr:to>
      <xdr:col>1</xdr:col>
      <xdr:colOff>1076325</xdr:colOff>
      <xdr:row>3</xdr:row>
      <xdr:rowOff>59054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17FD79-4905-4A7E-81E8-08BEA56D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1028700" cy="4876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2</xdr:col>
      <xdr:colOff>739140</xdr:colOff>
      <xdr:row>3</xdr:row>
      <xdr:rowOff>55244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82CCC-DEAD-4FF5-BCDD-5D3ECC2B2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1028700" cy="487679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1</xdr:row>
      <xdr:rowOff>28575</xdr:rowOff>
    </xdr:from>
    <xdr:to>
      <xdr:col>10</xdr:col>
      <xdr:colOff>838200</xdr:colOff>
      <xdr:row>3</xdr:row>
      <xdr:rowOff>66331</xdr:rowOff>
    </xdr:to>
    <xdr:sp macro="" textlink="">
      <xdr:nvSpPr>
        <xdr:cNvPr id="6" name="Rectangle: Rounded Corner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5483B8-48BD-4F03-9B9E-54A6D888B6B8}"/>
            </a:ext>
          </a:extLst>
        </xdr:cNvPr>
        <xdr:cNvSpPr/>
      </xdr:nvSpPr>
      <xdr:spPr>
        <a:xfrm>
          <a:off x="8734425" y="219075"/>
          <a:ext cx="1905000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171450</xdr:rowOff>
    </xdr:from>
    <xdr:to>
      <xdr:col>2</xdr:col>
      <xdr:colOff>819150</xdr:colOff>
      <xdr:row>3</xdr:row>
      <xdr:rowOff>87629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E7DB9F-C3CF-402F-933D-19E8353C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028700" cy="487679"/>
        </a:xfrm>
        <a:prstGeom prst="rect">
          <a:avLst/>
        </a:prstGeom>
      </xdr:spPr>
    </xdr:pic>
    <xdr:clientData/>
  </xdr:twoCellAnchor>
  <xdr:twoCellAnchor>
    <xdr:from>
      <xdr:col>8</xdr:col>
      <xdr:colOff>781050</xdr:colOff>
      <xdr:row>1</xdr:row>
      <xdr:rowOff>33618</xdr:rowOff>
    </xdr:from>
    <xdr:to>
      <xdr:col>11</xdr:col>
      <xdr:colOff>2241</xdr:colOff>
      <xdr:row>3</xdr:row>
      <xdr:rowOff>71374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1455DD5-C07C-4417-BEF7-BDCEC4899F59}"/>
            </a:ext>
          </a:extLst>
        </xdr:cNvPr>
        <xdr:cNvSpPr/>
      </xdr:nvSpPr>
      <xdr:spPr>
        <a:xfrm>
          <a:off x="8793256" y="224118"/>
          <a:ext cx="1910603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2</xdr:col>
      <xdr:colOff>815340</xdr:colOff>
      <xdr:row>3</xdr:row>
      <xdr:rowOff>60959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529501-DC59-4210-B19C-9CB2558C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52400"/>
          <a:ext cx="1028700" cy="487679"/>
        </a:xfrm>
        <a:prstGeom prst="rect">
          <a:avLst/>
        </a:prstGeom>
      </xdr:spPr>
    </xdr:pic>
    <xdr:clientData/>
  </xdr:twoCellAnchor>
  <xdr:twoCellAnchor>
    <xdr:from>
      <xdr:col>8</xdr:col>
      <xdr:colOff>764093</xdr:colOff>
      <xdr:row>1</xdr:row>
      <xdr:rowOff>31401</xdr:rowOff>
    </xdr:from>
    <xdr:to>
      <xdr:col>10</xdr:col>
      <xdr:colOff>871004</xdr:colOff>
      <xdr:row>3</xdr:row>
      <xdr:rowOff>73344</xdr:rowOff>
    </xdr:to>
    <xdr:sp macro="" textlink="">
      <xdr:nvSpPr>
        <xdr:cNvPr id="7" name="Rectangle: Rounded Corner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CC7226-6418-468D-842C-DFB7BA71293C}"/>
            </a:ext>
          </a:extLst>
        </xdr:cNvPr>
        <xdr:cNvSpPr/>
      </xdr:nvSpPr>
      <xdr:spPr>
        <a:xfrm>
          <a:off x="8792307" y="219808"/>
          <a:ext cx="1907241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2</xdr:col>
      <xdr:colOff>819150</xdr:colOff>
      <xdr:row>3</xdr:row>
      <xdr:rowOff>68579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65E4A-BB68-45C7-9AE7-8397CEE3F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52400"/>
          <a:ext cx="1028700" cy="487679"/>
        </a:xfrm>
        <a:prstGeom prst="rect">
          <a:avLst/>
        </a:prstGeom>
      </xdr:spPr>
    </xdr:pic>
    <xdr:clientData/>
  </xdr:twoCellAnchor>
  <xdr:twoCellAnchor>
    <xdr:from>
      <xdr:col>8</xdr:col>
      <xdr:colOff>766948</xdr:colOff>
      <xdr:row>1</xdr:row>
      <xdr:rowOff>24740</xdr:rowOff>
    </xdr:from>
    <xdr:to>
      <xdr:col>11</xdr:col>
      <xdr:colOff>2241</xdr:colOff>
      <xdr:row>3</xdr:row>
      <xdr:rowOff>72392</xdr:rowOff>
    </xdr:to>
    <xdr:sp macro="" textlink="">
      <xdr:nvSpPr>
        <xdr:cNvPr id="7" name="Rectangle: Rounded Corner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6E5071-78CB-4416-B614-5987916581A2}"/>
            </a:ext>
          </a:extLst>
        </xdr:cNvPr>
        <xdr:cNvSpPr/>
      </xdr:nvSpPr>
      <xdr:spPr>
        <a:xfrm>
          <a:off x="8485909" y="210292"/>
          <a:ext cx="1907241" cy="418756"/>
        </a:xfrm>
        <a:prstGeom prst="roundRect">
          <a:avLst/>
        </a:prstGeom>
        <a:solidFill>
          <a:schemeClr val="accent3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latin typeface="PP Mori" pitchFamily="50" charset="0"/>
              <a:cs typeface="Aharoni" panose="02010803020104030203" pitchFamily="2" charset="-79"/>
            </a:rPr>
            <a:t>BOOK A MEETING</a:t>
          </a:r>
          <a:endParaRPr lang="en-BE" sz="1400" b="1">
            <a:solidFill>
              <a:sysClr val="windowText" lastClr="000000"/>
            </a:solidFill>
            <a:latin typeface="PP Mori" pitchFamily="50" charset="0"/>
            <a:cs typeface="Aharoni" panose="02010803020104030203" pitchFamily="2" charset="-79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eme Dups Excel">
  <a:themeElements>
    <a:clrScheme name="Dups">
      <a:dk1>
        <a:srgbClr val="39362C"/>
      </a:dk1>
      <a:lt1>
        <a:srgbClr val="F6F9F4"/>
      </a:lt1>
      <a:dk2>
        <a:srgbClr val="39362C"/>
      </a:dk2>
      <a:lt2>
        <a:srgbClr val="F6F9F4"/>
      </a:lt2>
      <a:accent1>
        <a:srgbClr val="39362C"/>
      </a:accent1>
      <a:accent2>
        <a:srgbClr val="F6F9F4"/>
      </a:accent2>
      <a:accent3>
        <a:srgbClr val="E8E994"/>
      </a:accent3>
      <a:accent4>
        <a:srgbClr val="FFFFFF"/>
      </a:accent4>
      <a:accent5>
        <a:srgbClr val="FFBE00"/>
      </a:accent5>
      <a:accent6>
        <a:srgbClr val="D86400"/>
      </a:accent6>
      <a:hlink>
        <a:srgbClr val="000000"/>
      </a:hlink>
      <a:folHlink>
        <a:srgbClr val="919191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3">
            <a:lumMod val="40000"/>
            <a:lumOff val="60000"/>
          </a:schemeClr>
        </a:solidFill>
        <a:ln>
          <a:noFill/>
        </a:ln>
      </a:spPr>
      <a:bodyPr rtlCol="0" anchor="ctr"/>
      <a:lstStyle>
        <a:defPPr algn="ctr">
          <a:defRPr sz="1400" dirty="0" smtClean="0">
            <a:solidFill>
              <a:schemeClr val="tx1"/>
            </a:solidFill>
            <a:cs typeface="Arial" panose="020B0604020202020204" pitchFamily="34" charset="0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/>
      </a:spPr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marL="7701" marR="3081" algn="l">
          <a:lnSpc>
            <a:spcPct val="132700"/>
          </a:lnSpc>
          <a:spcBef>
            <a:spcPts val="55"/>
          </a:spcBef>
          <a:defRPr sz="1100" dirty="0" err="1" smtClean="0">
            <a:cs typeface="Arial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ups" id="{AF8CFD0B-F9A5-4BD9-9A7B-E0FEEA33AD5A}" vid="{ABA68DDE-7BD4-43B0-ABE0-36BD39A998DE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3701D5A-2D2C-4876-B0FB-109050AA144F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4918007f-e8a6-4a28-9d5d-b0c4a0c3b5a5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5:C45"/>
  <sheetViews>
    <sheetView showGridLines="0" zoomScale="91" zoomScaleNormal="91" workbookViewId="0">
      <selection activeCell="C47" sqref="C47"/>
    </sheetView>
  </sheetViews>
  <sheetFormatPr defaultColWidth="8.7109375" defaultRowHeight="15" x14ac:dyDescent="0.25"/>
  <cols>
    <col min="1" max="1" width="2.42578125" customWidth="1"/>
    <col min="2" max="2" width="28.42578125" bestFit="1" customWidth="1"/>
    <col min="3" max="3" width="106.7109375" customWidth="1"/>
    <col min="4" max="10" width="13.42578125" customWidth="1"/>
    <col min="11" max="11" width="8" customWidth="1"/>
    <col min="12" max="12" width="44" customWidth="1"/>
  </cols>
  <sheetData>
    <row r="5" spans="2:3" ht="17.25" x14ac:dyDescent="0.25">
      <c r="B5" s="7" t="s">
        <v>40</v>
      </c>
      <c r="C5" s="8"/>
    </row>
    <row r="6" spans="2:3" x14ac:dyDescent="0.25">
      <c r="B6" s="9" t="s">
        <v>41</v>
      </c>
      <c r="C6" s="9" t="s">
        <v>63</v>
      </c>
    </row>
    <row r="7" spans="2:3" x14ac:dyDescent="0.25">
      <c r="B7" s="1" t="s">
        <v>42</v>
      </c>
      <c r="C7" s="2" t="s">
        <v>323</v>
      </c>
    </row>
    <row r="8" spans="2:3" x14ac:dyDescent="0.25">
      <c r="B8" s="1" t="s">
        <v>43</v>
      </c>
      <c r="C8" s="2" t="s">
        <v>64</v>
      </c>
    </row>
    <row r="9" spans="2:3" x14ac:dyDescent="0.25">
      <c r="B9" s="1" t="s">
        <v>0</v>
      </c>
      <c r="C9" s="2" t="s">
        <v>65</v>
      </c>
    </row>
    <row r="10" spans="2:3" x14ac:dyDescent="0.25">
      <c r="B10" s="1" t="s">
        <v>44</v>
      </c>
      <c r="C10" s="2" t="s">
        <v>66</v>
      </c>
    </row>
    <row r="11" spans="2:3" x14ac:dyDescent="0.25">
      <c r="B11" s="1" t="s">
        <v>1</v>
      </c>
      <c r="C11" s="2" t="s">
        <v>67</v>
      </c>
    </row>
    <row r="12" spans="2:3" x14ac:dyDescent="0.25">
      <c r="B12" s="1" t="s">
        <v>45</v>
      </c>
      <c r="C12" s="2" t="s">
        <v>68</v>
      </c>
    </row>
    <row r="13" spans="2:3" x14ac:dyDescent="0.25">
      <c r="B13" s="1" t="s">
        <v>46</v>
      </c>
      <c r="C13" s="2" t="s">
        <v>69</v>
      </c>
    </row>
    <row r="14" spans="2:3" x14ac:dyDescent="0.25">
      <c r="B14" s="1" t="s">
        <v>2</v>
      </c>
      <c r="C14" s="2" t="s">
        <v>70</v>
      </c>
    </row>
    <row r="15" spans="2:3" x14ac:dyDescent="0.25">
      <c r="B15" s="1" t="s">
        <v>47</v>
      </c>
      <c r="C15" s="2" t="s">
        <v>71</v>
      </c>
    </row>
    <row r="16" spans="2:3" x14ac:dyDescent="0.25">
      <c r="B16" s="1" t="s">
        <v>48</v>
      </c>
      <c r="C16" s="2" t="s">
        <v>72</v>
      </c>
    </row>
    <row r="17" spans="2:3" x14ac:dyDescent="0.25">
      <c r="B17" s="1" t="s">
        <v>49</v>
      </c>
      <c r="C17" s="2" t="s">
        <v>73</v>
      </c>
    </row>
    <row r="18" spans="2:3" x14ac:dyDescent="0.25">
      <c r="B18" s="1" t="s">
        <v>3</v>
      </c>
      <c r="C18" s="2" t="s">
        <v>74</v>
      </c>
    </row>
    <row r="19" spans="2:3" x14ac:dyDescent="0.25">
      <c r="B19" s="1" t="s">
        <v>4</v>
      </c>
      <c r="C19" s="2" t="s">
        <v>75</v>
      </c>
    </row>
    <row r="20" spans="2:3" x14ac:dyDescent="0.25">
      <c r="B20" s="1" t="s">
        <v>50</v>
      </c>
      <c r="C20" s="2" t="s">
        <v>76</v>
      </c>
    </row>
    <row r="21" spans="2:3" x14ac:dyDescent="0.25">
      <c r="B21" s="1" t="s">
        <v>5</v>
      </c>
      <c r="C21" s="2" t="s">
        <v>77</v>
      </c>
    </row>
    <row r="22" spans="2:3" x14ac:dyDescent="0.25">
      <c r="B22" s="1" t="s">
        <v>51</v>
      </c>
      <c r="C22" s="2" t="s">
        <v>78</v>
      </c>
    </row>
    <row r="23" spans="2:3" x14ac:dyDescent="0.25">
      <c r="C23" s="117"/>
    </row>
    <row r="24" spans="2:3" ht="17.25" x14ac:dyDescent="0.25">
      <c r="B24" s="7" t="s">
        <v>52</v>
      </c>
      <c r="C24" s="118"/>
    </row>
    <row r="25" spans="2:3" ht="30" x14ac:dyDescent="0.25">
      <c r="B25" s="122" t="s">
        <v>53</v>
      </c>
      <c r="C25" s="123" t="s">
        <v>330</v>
      </c>
    </row>
    <row r="26" spans="2:3" ht="5.0999999999999996" customHeight="1" x14ac:dyDescent="0.25"/>
    <row r="27" spans="2:3" x14ac:dyDescent="0.25">
      <c r="B27" s="113" t="s">
        <v>54</v>
      </c>
      <c r="C27" s="119" t="s">
        <v>79</v>
      </c>
    </row>
    <row r="28" spans="2:3" ht="30" x14ac:dyDescent="0.25">
      <c r="B28" s="114" t="s">
        <v>55</v>
      </c>
      <c r="C28" s="120" t="s">
        <v>324</v>
      </c>
    </row>
    <row r="29" spans="2:3" x14ac:dyDescent="0.25">
      <c r="B29" s="112" t="s">
        <v>56</v>
      </c>
      <c r="C29" s="120" t="s">
        <v>325</v>
      </c>
    </row>
    <row r="30" spans="2:3" x14ac:dyDescent="0.25">
      <c r="B30" s="115" t="s">
        <v>57</v>
      </c>
      <c r="C30" s="120" t="s">
        <v>80</v>
      </c>
    </row>
    <row r="32" spans="2:3" x14ac:dyDescent="0.25">
      <c r="B32" s="113" t="s">
        <v>58</v>
      </c>
      <c r="C32" s="121" t="s">
        <v>81</v>
      </c>
    </row>
    <row r="33" spans="2:3" ht="30" x14ac:dyDescent="0.25">
      <c r="B33" s="124" t="s">
        <v>321</v>
      </c>
      <c r="C33" s="120" t="s">
        <v>82</v>
      </c>
    </row>
    <row r="34" spans="2:3" x14ac:dyDescent="0.25">
      <c r="B34" s="112" t="s">
        <v>59</v>
      </c>
      <c r="C34" s="120" t="s">
        <v>327</v>
      </c>
    </row>
    <row r="35" spans="2:3" ht="30" x14ac:dyDescent="0.25">
      <c r="B35" s="112" t="s">
        <v>60</v>
      </c>
      <c r="C35" s="120" t="s">
        <v>328</v>
      </c>
    </row>
    <row r="36" spans="2:3" x14ac:dyDescent="0.25">
      <c r="B36" s="112" t="s">
        <v>61</v>
      </c>
      <c r="C36" s="120" t="s">
        <v>329</v>
      </c>
    </row>
    <row r="38" spans="2:3" x14ac:dyDescent="0.25">
      <c r="B38" s="113" t="s">
        <v>62</v>
      </c>
      <c r="C38" s="121" t="s">
        <v>6</v>
      </c>
    </row>
    <row r="39" spans="2:3" x14ac:dyDescent="0.25">
      <c r="B39" s="116">
        <v>1</v>
      </c>
      <c r="C39" s="120" t="s">
        <v>322</v>
      </c>
    </row>
    <row r="40" spans="2:3" ht="30" x14ac:dyDescent="0.25">
      <c r="B40" s="116">
        <v>2</v>
      </c>
      <c r="C40" s="120" t="s">
        <v>83</v>
      </c>
    </row>
    <row r="41" spans="2:3" ht="30" x14ac:dyDescent="0.25">
      <c r="B41" s="116">
        <v>3</v>
      </c>
      <c r="C41" s="120" t="s">
        <v>326</v>
      </c>
    </row>
    <row r="42" spans="2:3" x14ac:dyDescent="0.25">
      <c r="B42" s="116">
        <v>4</v>
      </c>
      <c r="C42" s="120" t="s">
        <v>84</v>
      </c>
    </row>
    <row r="43" spans="2:3" ht="30" x14ac:dyDescent="0.25">
      <c r="B43" s="116">
        <v>5</v>
      </c>
      <c r="C43" s="120" t="s">
        <v>331</v>
      </c>
    </row>
    <row r="45" spans="2:3" x14ac:dyDescent="0.25">
      <c r="C45" s="120" t="s">
        <v>7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1765-68B8-4C89-A603-720767C50B69}">
  <dimension ref="A1"/>
  <sheetViews>
    <sheetView workbookViewId="0"/>
  </sheetViews>
  <sheetFormatPr defaultRowHeight="15" x14ac:dyDescent="0.25"/>
  <sheetData>
    <row r="1" spans="1:1" x14ac:dyDescent="0.25">
      <c r="A1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8E994"/>
  </sheetPr>
  <dimension ref="B5:Q247"/>
  <sheetViews>
    <sheetView showGridLines="0" topLeftCell="A80" zoomScale="85" zoomScaleNormal="85" workbookViewId="0">
      <selection activeCell="Q32" sqref="Q31:Q32"/>
    </sheetView>
  </sheetViews>
  <sheetFormatPr defaultColWidth="8.7109375" defaultRowHeight="15" x14ac:dyDescent="0.25"/>
  <cols>
    <col min="1" max="1" width="2.42578125" customWidth="1"/>
    <col min="2" max="2" width="5" customWidth="1"/>
    <col min="3" max="3" width="46" style="13" customWidth="1"/>
    <col min="4" max="4" width="28" style="29" bestFit="1" customWidth="1"/>
    <col min="5" max="11" width="13.42578125" style="13" customWidth="1"/>
  </cols>
  <sheetData>
    <row r="5" spans="2:17" ht="18.75" customHeight="1" x14ac:dyDescent="0.25">
      <c r="B5" s="3" t="s">
        <v>9</v>
      </c>
      <c r="C5" s="54" t="s">
        <v>85</v>
      </c>
      <c r="D5" s="30"/>
      <c r="E5" s="55"/>
      <c r="F5" s="55"/>
      <c r="G5" s="55"/>
      <c r="H5" s="55"/>
      <c r="I5" s="55"/>
      <c r="J5" s="55"/>
      <c r="K5" s="55"/>
    </row>
    <row r="6" spans="2:17" ht="9.9499999999999993" customHeight="1" x14ac:dyDescent="0.25"/>
    <row r="7" spans="2:17" x14ac:dyDescent="0.25">
      <c r="C7" s="25" t="s">
        <v>86</v>
      </c>
      <c r="D7" s="31" t="s">
        <v>223</v>
      </c>
    </row>
    <row r="8" spans="2:17" x14ac:dyDescent="0.25">
      <c r="C8" s="25" t="s">
        <v>87</v>
      </c>
      <c r="D8" s="32">
        <v>2026</v>
      </c>
    </row>
    <row r="9" spans="2:17" x14ac:dyDescent="0.25">
      <c r="C9" s="25" t="s">
        <v>88</v>
      </c>
      <c r="D9" s="31" t="s">
        <v>10</v>
      </c>
    </row>
    <row r="10" spans="2:17" x14ac:dyDescent="0.25">
      <c r="C10" s="25" t="s">
        <v>42</v>
      </c>
      <c r="D10" s="31" t="s">
        <v>224</v>
      </c>
      <c r="G10"/>
    </row>
    <row r="11" spans="2:17" ht="5.0999999999999996" customHeight="1" x14ac:dyDescent="0.25"/>
    <row r="12" spans="2:17" ht="5.0999999999999996" customHeight="1" x14ac:dyDescent="0.25"/>
    <row r="13" spans="2:17" x14ac:dyDescent="0.25">
      <c r="C13" s="26" t="s">
        <v>89</v>
      </c>
      <c r="D13" s="33">
        <f>IF($D$10="Hybride (flux multiples)",IF($D$17="Oui",1,0),IF($D$10="SaaS / Abonnement",1,0))</f>
        <v>1</v>
      </c>
      <c r="Q13" t="s">
        <v>7</v>
      </c>
    </row>
    <row r="14" spans="2:17" x14ac:dyDescent="0.25">
      <c r="C14" s="26" t="s">
        <v>90</v>
      </c>
      <c r="D14" s="33">
        <f>IF($D$10="Hybride (flux multiples)",IF($D$18="Oui",1,0),IF($D$10="Place de marché / Transactionnel",1,0))</f>
        <v>0</v>
      </c>
    </row>
    <row r="15" spans="2:17" x14ac:dyDescent="0.25">
      <c r="C15" s="26" t="s">
        <v>91</v>
      </c>
      <c r="D15" s="33">
        <f>IF($D$10="Hybride (flux multiples)",IF($D$19="Oui",1,0),IF(OR($D$10="Produit / E-commerce",$D$10="Services / Conseil"),1,0))</f>
        <v>0</v>
      </c>
      <c r="M15" t="s">
        <v>7</v>
      </c>
    </row>
    <row r="16" spans="2:17" x14ac:dyDescent="0.25">
      <c r="C16" s="26" t="s">
        <v>92</v>
      </c>
      <c r="D16" s="34" t="str">
        <f>IF($D$10="Produit / E-commerce","Oui","Non")</f>
        <v>Non</v>
      </c>
    </row>
    <row r="17" spans="2:15" x14ac:dyDescent="0.25">
      <c r="C17" s="26" t="s">
        <v>93</v>
      </c>
      <c r="D17" s="31" t="s">
        <v>225</v>
      </c>
    </row>
    <row r="18" spans="2:15" x14ac:dyDescent="0.25">
      <c r="C18" s="26" t="s">
        <v>94</v>
      </c>
      <c r="D18" s="31" t="s">
        <v>225</v>
      </c>
    </row>
    <row r="19" spans="2:15" x14ac:dyDescent="0.25">
      <c r="C19" s="26" t="s">
        <v>95</v>
      </c>
      <c r="D19" s="31" t="s">
        <v>225</v>
      </c>
    </row>
    <row r="21" spans="2:15" ht="18.75" customHeight="1" x14ac:dyDescent="0.25">
      <c r="B21" s="3" t="s">
        <v>11</v>
      </c>
      <c r="C21" s="54" t="s">
        <v>96</v>
      </c>
      <c r="D21" s="30"/>
      <c r="E21" s="55"/>
      <c r="F21" s="55"/>
      <c r="G21" s="55"/>
      <c r="H21" s="55"/>
      <c r="I21" s="55"/>
      <c r="J21" s="55"/>
      <c r="K21" s="55"/>
    </row>
    <row r="22" spans="2:15" ht="9.9499999999999993" customHeight="1" x14ac:dyDescent="0.25"/>
    <row r="23" spans="2:15" x14ac:dyDescent="0.25">
      <c r="C23" s="62" t="s">
        <v>97</v>
      </c>
      <c r="D23" s="63" t="s">
        <v>12</v>
      </c>
    </row>
    <row r="24" spans="2:15" ht="5.0999999999999996" customHeight="1" x14ac:dyDescent="0.25">
      <c r="C24"/>
      <c r="D24"/>
      <c r="E24"/>
      <c r="F24"/>
      <c r="G24"/>
      <c r="H24"/>
      <c r="I24"/>
      <c r="J24"/>
      <c r="K24"/>
    </row>
    <row r="25" spans="2:15" s="64" customFormat="1" x14ac:dyDescent="0.25">
      <c r="C25" s="65" t="s">
        <v>98</v>
      </c>
      <c r="D25" s="46" t="s">
        <v>12</v>
      </c>
      <c r="E25" s="66" t="s">
        <v>226</v>
      </c>
      <c r="F25" s="66" t="s">
        <v>13</v>
      </c>
    </row>
    <row r="26" spans="2:15" x14ac:dyDescent="0.25">
      <c r="C26" s="25" t="s">
        <v>99</v>
      </c>
      <c r="D26" s="36">
        <v>1</v>
      </c>
      <c r="E26" s="27">
        <v>1.1499999999999999</v>
      </c>
      <c r="F26" s="27">
        <v>0.85</v>
      </c>
    </row>
    <row r="27" spans="2:15" x14ac:dyDescent="0.25">
      <c r="C27" s="25" t="s">
        <v>100</v>
      </c>
      <c r="D27" s="36">
        <v>1</v>
      </c>
      <c r="E27" s="27">
        <v>0.95</v>
      </c>
      <c r="F27" s="27">
        <v>1.1000000000000001</v>
      </c>
    </row>
    <row r="28" spans="2:15" x14ac:dyDescent="0.25">
      <c r="C28" s="25" t="s">
        <v>101</v>
      </c>
      <c r="D28" s="37">
        <v>0</v>
      </c>
      <c r="E28" s="28">
        <v>-0.02</v>
      </c>
      <c r="F28" s="28">
        <v>0.03</v>
      </c>
      <c r="O28" t="s">
        <v>7</v>
      </c>
    </row>
    <row r="29" spans="2:15" ht="5.0999999999999996" customHeight="1" x14ac:dyDescent="0.25">
      <c r="C29"/>
      <c r="D29"/>
      <c r="E29"/>
      <c r="F29"/>
      <c r="G29"/>
      <c r="H29"/>
      <c r="I29"/>
      <c r="J29"/>
      <c r="K29"/>
    </row>
    <row r="30" spans="2:15" x14ac:dyDescent="0.25">
      <c r="C30" s="25" t="s">
        <v>102</v>
      </c>
      <c r="D30" s="67">
        <f>INDEX(D26:F26,MATCH($D$23,$D$25:$F$25,0))</f>
        <v>1</v>
      </c>
    </row>
    <row r="31" spans="2:15" x14ac:dyDescent="0.25">
      <c r="C31" s="25" t="s">
        <v>103</v>
      </c>
      <c r="D31" s="67">
        <f>INDEX(D27:F27,MATCH($D$23,$D$25:$F$25,0))</f>
        <v>1</v>
      </c>
    </row>
    <row r="32" spans="2:15" x14ac:dyDescent="0.25">
      <c r="C32" s="25" t="s">
        <v>104</v>
      </c>
      <c r="D32" s="68">
        <f>INDEX(D28:F28,MATCH($D$23,$D$25:$F$25,0))</f>
        <v>0</v>
      </c>
    </row>
    <row r="34" spans="2:15" ht="18.75" customHeight="1" x14ac:dyDescent="0.25">
      <c r="B34" s="3" t="s">
        <v>14</v>
      </c>
      <c r="C34" s="54" t="s">
        <v>105</v>
      </c>
      <c r="D34" s="30"/>
      <c r="E34" s="55"/>
      <c r="F34" s="55"/>
      <c r="G34" s="55"/>
      <c r="H34" s="55"/>
      <c r="I34" s="55"/>
      <c r="J34" s="55"/>
      <c r="K34" s="55"/>
      <c r="N34" t="s">
        <v>7</v>
      </c>
    </row>
    <row r="35" spans="2:15" ht="9.9499999999999993" customHeight="1" x14ac:dyDescent="0.25"/>
    <row r="36" spans="2:15" x14ac:dyDescent="0.25">
      <c r="C36" s="25" t="s">
        <v>106</v>
      </c>
      <c r="D36" s="31" t="s">
        <v>15</v>
      </c>
    </row>
    <row r="37" spans="2:15" x14ac:dyDescent="0.25">
      <c r="C37" s="25" t="s">
        <v>107</v>
      </c>
      <c r="D37" s="38">
        <v>0.25</v>
      </c>
    </row>
    <row r="38" spans="2:15" x14ac:dyDescent="0.25">
      <c r="C38" s="25" t="s">
        <v>108</v>
      </c>
      <c r="D38" s="31" t="s">
        <v>225</v>
      </c>
    </row>
    <row r="39" spans="2:15" x14ac:dyDescent="0.25">
      <c r="C39" s="25" t="s">
        <v>16</v>
      </c>
      <c r="D39" s="38">
        <v>0.02</v>
      </c>
    </row>
    <row r="40" spans="2:15" x14ac:dyDescent="0.25">
      <c r="C40" s="25" t="s">
        <v>109</v>
      </c>
      <c r="D40" s="38">
        <v>0.45</v>
      </c>
    </row>
    <row r="41" spans="2:15" x14ac:dyDescent="0.25">
      <c r="C41" s="25" t="s">
        <v>110</v>
      </c>
      <c r="D41" s="38">
        <v>0.05</v>
      </c>
    </row>
    <row r="42" spans="2:15" x14ac:dyDescent="0.25">
      <c r="C42" s="25" t="s">
        <v>111</v>
      </c>
      <c r="D42" s="38">
        <v>0.1</v>
      </c>
      <c r="O42" t="s">
        <v>7</v>
      </c>
    </row>
    <row r="44" spans="2:15" ht="18.75" customHeight="1" x14ac:dyDescent="0.25">
      <c r="B44" s="3" t="s">
        <v>17</v>
      </c>
      <c r="C44" s="54" t="s">
        <v>112</v>
      </c>
      <c r="D44" s="30"/>
      <c r="E44" s="55"/>
      <c r="F44" s="55"/>
      <c r="G44" s="55"/>
      <c r="H44" s="55"/>
      <c r="I44" s="55"/>
      <c r="J44" s="55"/>
      <c r="K44" s="55"/>
    </row>
    <row r="45" spans="2:15" ht="9.9499999999999993" customHeight="1" x14ac:dyDescent="0.25"/>
    <row r="46" spans="2:15" x14ac:dyDescent="0.25">
      <c r="C46" s="25" t="s">
        <v>113</v>
      </c>
      <c r="D46" s="39">
        <v>50000</v>
      </c>
    </row>
    <row r="47" spans="2:15" x14ac:dyDescent="0.25">
      <c r="C47" s="25" t="s">
        <v>114</v>
      </c>
      <c r="D47" s="39">
        <v>10000</v>
      </c>
    </row>
    <row r="49" spans="2:11" ht="18.75" customHeight="1" x14ac:dyDescent="0.25">
      <c r="B49" s="3" t="s">
        <v>18</v>
      </c>
      <c r="C49" s="54" t="s">
        <v>115</v>
      </c>
      <c r="D49" s="30"/>
      <c r="E49" s="55"/>
      <c r="F49" s="55"/>
      <c r="G49" s="55"/>
      <c r="H49" s="55"/>
      <c r="I49" s="55"/>
      <c r="J49" s="55"/>
      <c r="K49" s="55"/>
    </row>
    <row r="50" spans="2:11" ht="9.9499999999999993" customHeight="1" x14ac:dyDescent="0.25"/>
    <row r="51" spans="2:11" x14ac:dyDescent="0.25">
      <c r="B51" s="10"/>
      <c r="C51" s="11" t="s">
        <v>116</v>
      </c>
      <c r="D51" s="56"/>
      <c r="E51" s="141">
        <f>Hypothèses!$D$8</f>
        <v>2026</v>
      </c>
      <c r="F51" s="141">
        <f t="shared" ref="F51:K51" si="0">E51+1</f>
        <v>2027</v>
      </c>
      <c r="G51" s="141">
        <f t="shared" si="0"/>
        <v>2028</v>
      </c>
      <c r="H51" s="141">
        <f t="shared" si="0"/>
        <v>2029</v>
      </c>
      <c r="I51" s="141">
        <f t="shared" si="0"/>
        <v>2030</v>
      </c>
      <c r="J51" s="141">
        <f t="shared" si="0"/>
        <v>2031</v>
      </c>
      <c r="K51" s="141">
        <f t="shared" si="0"/>
        <v>2032</v>
      </c>
    </row>
    <row r="52" spans="2:11" ht="5.0999999999999996" customHeight="1" x14ac:dyDescent="0.25"/>
    <row r="53" spans="2:11" x14ac:dyDescent="0.25">
      <c r="B53" s="47"/>
      <c r="C53" s="48" t="s">
        <v>117</v>
      </c>
      <c r="D53" s="35"/>
      <c r="E53" s="47"/>
      <c r="F53" s="47"/>
      <c r="G53" s="47"/>
      <c r="H53" s="47"/>
      <c r="I53" s="47"/>
      <c r="J53" s="47"/>
      <c r="K53" s="47"/>
    </row>
    <row r="54" spans="2:11" x14ac:dyDescent="0.25">
      <c r="B54" s="13"/>
      <c r="C54" s="14" t="s">
        <v>118</v>
      </c>
      <c r="E54" s="22">
        <f>Hypothèses!$D$13</f>
        <v>1</v>
      </c>
      <c r="F54" s="22">
        <f>Hypothèses!$D$13</f>
        <v>1</v>
      </c>
      <c r="G54" s="22">
        <f>Hypothèses!$D$13</f>
        <v>1</v>
      </c>
      <c r="H54" s="22">
        <f>Hypothèses!$D$13</f>
        <v>1</v>
      </c>
      <c r="I54" s="22">
        <f>Hypothèses!$D$13</f>
        <v>1</v>
      </c>
      <c r="J54" s="22">
        <f>Hypothèses!$D$13</f>
        <v>1</v>
      </c>
      <c r="K54" s="22">
        <f>Hypothèses!$D$13</f>
        <v>1</v>
      </c>
    </row>
    <row r="55" spans="2:11" x14ac:dyDescent="0.25">
      <c r="C55" s="70" t="s">
        <v>119</v>
      </c>
      <c r="D55"/>
      <c r="E55" s="71">
        <v>20000</v>
      </c>
      <c r="F55" s="71">
        <v>36000</v>
      </c>
      <c r="G55" s="71">
        <v>60000</v>
      </c>
      <c r="H55" s="71">
        <v>92000</v>
      </c>
      <c r="I55" s="71">
        <v>132000</v>
      </c>
      <c r="J55" s="71">
        <v>180000</v>
      </c>
      <c r="K55" s="71">
        <v>232000</v>
      </c>
    </row>
    <row r="56" spans="2:11" x14ac:dyDescent="0.25">
      <c r="C56" s="70" t="s">
        <v>120</v>
      </c>
      <c r="D56"/>
      <c r="E56" s="71">
        <v>40</v>
      </c>
      <c r="F56" s="71">
        <f t="shared" ref="F56:K56" si="1">$E$56</f>
        <v>40</v>
      </c>
      <c r="G56" s="71">
        <f t="shared" si="1"/>
        <v>40</v>
      </c>
      <c r="H56" s="71">
        <f t="shared" si="1"/>
        <v>40</v>
      </c>
      <c r="I56" s="71">
        <f t="shared" si="1"/>
        <v>40</v>
      </c>
      <c r="J56" s="71">
        <f t="shared" si="1"/>
        <v>40</v>
      </c>
      <c r="K56" s="71">
        <f t="shared" si="1"/>
        <v>40</v>
      </c>
    </row>
    <row r="57" spans="2:11" x14ac:dyDescent="0.25">
      <c r="B57" s="13"/>
      <c r="C57" s="14" t="s">
        <v>121</v>
      </c>
      <c r="E57" s="49">
        <f>IFERROR(E55/E56,0)</f>
        <v>500</v>
      </c>
      <c r="F57" s="49">
        <f t="shared" ref="F57:K57" si="2">IFERROR(F55/F56,0)</f>
        <v>900</v>
      </c>
      <c r="G57" s="49">
        <f t="shared" si="2"/>
        <v>1500</v>
      </c>
      <c r="H57" s="49">
        <f t="shared" si="2"/>
        <v>2300</v>
      </c>
      <c r="I57" s="49">
        <f t="shared" si="2"/>
        <v>3300</v>
      </c>
      <c r="J57" s="49">
        <f t="shared" si="2"/>
        <v>4500</v>
      </c>
      <c r="K57" s="49">
        <f t="shared" si="2"/>
        <v>5800</v>
      </c>
    </row>
    <row r="58" spans="2:11" x14ac:dyDescent="0.25">
      <c r="B58" s="13"/>
      <c r="C58" s="14" t="s">
        <v>122</v>
      </c>
      <c r="E58" s="37">
        <v>0.08</v>
      </c>
      <c r="F58" s="37">
        <v>0.08</v>
      </c>
      <c r="G58" s="37">
        <v>0.08</v>
      </c>
      <c r="H58" s="37">
        <v>0.08</v>
      </c>
      <c r="I58" s="37">
        <v>0.08</v>
      </c>
      <c r="J58" s="37">
        <v>0.08</v>
      </c>
      <c r="K58" s="37">
        <v>0.08</v>
      </c>
    </row>
    <row r="59" spans="2:11" x14ac:dyDescent="0.25">
      <c r="B59" s="13"/>
      <c r="C59" s="14" t="s">
        <v>123</v>
      </c>
      <c r="E59" s="49">
        <f t="shared" ref="E59:K59" si="3">E57*E58</f>
        <v>40</v>
      </c>
      <c r="F59" s="49">
        <f t="shared" si="3"/>
        <v>72</v>
      </c>
      <c r="G59" s="49">
        <f t="shared" si="3"/>
        <v>120</v>
      </c>
      <c r="H59" s="49">
        <f t="shared" si="3"/>
        <v>184</v>
      </c>
      <c r="I59" s="49">
        <f t="shared" si="3"/>
        <v>264</v>
      </c>
      <c r="J59" s="49">
        <f t="shared" si="3"/>
        <v>360</v>
      </c>
      <c r="K59" s="49">
        <f t="shared" si="3"/>
        <v>464</v>
      </c>
    </row>
    <row r="60" spans="2:11" x14ac:dyDescent="0.25">
      <c r="B60" s="13"/>
      <c r="C60" s="14" t="s">
        <v>124</v>
      </c>
      <c r="D60" s="40">
        <v>40</v>
      </c>
      <c r="E60" s="49">
        <f>$D$60</f>
        <v>40</v>
      </c>
      <c r="F60" s="49">
        <f t="shared" ref="F60:K60" si="4">E63</f>
        <v>76</v>
      </c>
      <c r="G60" s="49">
        <f t="shared" si="4"/>
        <v>141.16</v>
      </c>
      <c r="H60" s="49">
        <f t="shared" si="4"/>
        <v>249.8672</v>
      </c>
      <c r="I60" s="49">
        <f t="shared" si="4"/>
        <v>416.37649599999997</v>
      </c>
      <c r="J60" s="49">
        <f t="shared" si="4"/>
        <v>651.23014128</v>
      </c>
      <c r="K60" s="49">
        <f t="shared" si="4"/>
        <v>972.15633280319992</v>
      </c>
    </row>
    <row r="61" spans="2:11" x14ac:dyDescent="0.25">
      <c r="B61" s="13"/>
      <c r="C61" s="14" t="s">
        <v>125</v>
      </c>
      <c r="E61" s="37">
        <v>0.1</v>
      </c>
      <c r="F61" s="37">
        <v>0.09</v>
      </c>
      <c r="G61" s="37">
        <v>0.08</v>
      </c>
      <c r="H61" s="37">
        <v>7.0000000000000007E-2</v>
      </c>
      <c r="I61" s="37">
        <v>7.0000000000000007E-2</v>
      </c>
      <c r="J61" s="37">
        <v>0.06</v>
      </c>
      <c r="K61" s="37">
        <v>0.06</v>
      </c>
    </row>
    <row r="62" spans="2:11" s="15" customFormat="1" x14ac:dyDescent="0.25">
      <c r="C62" s="16" t="s">
        <v>126</v>
      </c>
      <c r="D62" s="42"/>
      <c r="E62" s="17">
        <f>MAX(0,MIN(0.99,E61+Hypothèses!$D$32))</f>
        <v>0.1</v>
      </c>
      <c r="F62" s="17">
        <f>MAX(0,MIN(0.99,F61+Hypothèses!$D$32))</f>
        <v>0.09</v>
      </c>
      <c r="G62" s="17">
        <f>MAX(0,MIN(0.99,G61+Hypothèses!$D$32))</f>
        <v>0.08</v>
      </c>
      <c r="H62" s="17">
        <f>MAX(0,MIN(0.99,H61+Hypothèses!$D$32))</f>
        <v>7.0000000000000007E-2</v>
      </c>
      <c r="I62" s="17">
        <f>MAX(0,MIN(0.99,I61+Hypothèses!$D$32))</f>
        <v>7.0000000000000007E-2</v>
      </c>
      <c r="J62" s="17">
        <f>MAX(0,MIN(0.99,J61+Hypothèses!$D$32))</f>
        <v>0.06</v>
      </c>
      <c r="K62" s="17">
        <f>MAX(0,MIN(0.99,K61+Hypothèses!$D$32))</f>
        <v>0.06</v>
      </c>
    </row>
    <row r="63" spans="2:11" x14ac:dyDescent="0.25">
      <c r="B63" s="13"/>
      <c r="C63" s="14" t="s">
        <v>127</v>
      </c>
      <c r="E63" s="49">
        <f t="shared" ref="E63:K63" si="5">E60*(1-E62)+E59</f>
        <v>76</v>
      </c>
      <c r="F63" s="49">
        <f t="shared" si="5"/>
        <v>141.16</v>
      </c>
      <c r="G63" s="49">
        <f t="shared" si="5"/>
        <v>249.8672</v>
      </c>
      <c r="H63" s="49">
        <f t="shared" si="5"/>
        <v>416.37649599999997</v>
      </c>
      <c r="I63" s="49">
        <f t="shared" si="5"/>
        <v>651.23014128</v>
      </c>
      <c r="J63" s="49">
        <f t="shared" si="5"/>
        <v>972.15633280319992</v>
      </c>
      <c r="K63" s="49">
        <f t="shared" si="5"/>
        <v>1377.8269528350079</v>
      </c>
    </row>
    <row r="64" spans="2:11" s="15" customFormat="1" x14ac:dyDescent="0.25">
      <c r="C64" s="16" t="s">
        <v>128</v>
      </c>
      <c r="D64" s="42"/>
      <c r="E64" s="53">
        <f t="shared" ref="E64:K64" si="6">(E60+E63)/2</f>
        <v>58</v>
      </c>
      <c r="F64" s="53">
        <f t="shared" si="6"/>
        <v>108.58</v>
      </c>
      <c r="G64" s="53">
        <f t="shared" si="6"/>
        <v>195.5136</v>
      </c>
      <c r="H64" s="53">
        <f t="shared" si="6"/>
        <v>333.121848</v>
      </c>
      <c r="I64" s="53">
        <f t="shared" si="6"/>
        <v>533.80331864000004</v>
      </c>
      <c r="J64" s="53">
        <f t="shared" si="6"/>
        <v>811.69323704160001</v>
      </c>
      <c r="K64" s="53">
        <f t="shared" si="6"/>
        <v>1174.9916428191038</v>
      </c>
    </row>
    <row r="65" spans="2:11" x14ac:dyDescent="0.25">
      <c r="B65" s="13"/>
      <c r="C65" s="14" t="s">
        <v>129</v>
      </c>
      <c r="E65" s="39">
        <v>1200</v>
      </c>
      <c r="F65" s="39">
        <v>1300</v>
      </c>
      <c r="G65" s="39">
        <v>1400</v>
      </c>
      <c r="H65" s="39">
        <v>1500</v>
      </c>
      <c r="I65" s="39">
        <v>1600</v>
      </c>
      <c r="J65" s="39">
        <v>1700</v>
      </c>
      <c r="K65" s="39">
        <v>1800</v>
      </c>
    </row>
    <row r="66" spans="2:11" x14ac:dyDescent="0.25">
      <c r="B66" s="13"/>
      <c r="C66" s="14" t="s">
        <v>130</v>
      </c>
      <c r="E66" s="20">
        <f>E64*E65*Hypothèses!$D$30*Hypothèses!$D$13</f>
        <v>69600</v>
      </c>
      <c r="F66" s="20">
        <f>F64*F65*Hypothèses!$D$30*Hypothèses!$D$13</f>
        <v>141154</v>
      </c>
      <c r="G66" s="20">
        <f>G64*G65*Hypothèses!$D$30*Hypothèses!$D$13</f>
        <v>273719.03999999998</v>
      </c>
      <c r="H66" s="20">
        <f>H64*H65*Hypothèses!$D$30*Hypothèses!$D$13</f>
        <v>499682.772</v>
      </c>
      <c r="I66" s="20">
        <f>I64*I65*Hypothèses!$D$30*Hypothèses!$D$13</f>
        <v>854085.30982400011</v>
      </c>
      <c r="J66" s="20">
        <f>J64*J65*Hypothèses!$D$30*Hypothèses!$D$13</f>
        <v>1379878.5029707199</v>
      </c>
      <c r="K66" s="20">
        <f>K64*K65*Hypothèses!$D$30*Hypothèses!$D$13</f>
        <v>2114984.957074387</v>
      </c>
    </row>
    <row r="67" spans="2:11" x14ac:dyDescent="0.25">
      <c r="B67" s="13"/>
      <c r="C67" s="14" t="s">
        <v>131</v>
      </c>
      <c r="E67" s="39">
        <v>200</v>
      </c>
      <c r="F67" s="39">
        <v>200</v>
      </c>
      <c r="G67" s="39">
        <v>200</v>
      </c>
      <c r="H67" s="39">
        <v>200</v>
      </c>
      <c r="I67" s="39">
        <v>200</v>
      </c>
      <c r="J67" s="39">
        <v>200</v>
      </c>
      <c r="K67" s="39">
        <v>200</v>
      </c>
    </row>
    <row r="68" spans="2:11" x14ac:dyDescent="0.25">
      <c r="B68" s="13"/>
      <c r="C68" s="14" t="s">
        <v>132</v>
      </c>
      <c r="E68" s="20">
        <f>E59*E67*Hypothèses!$D$30*Hypothèses!$D$13</f>
        <v>8000</v>
      </c>
      <c r="F68" s="20">
        <f>F59*F67*Hypothèses!$D$30*Hypothèses!$D$13</f>
        <v>14400</v>
      </c>
      <c r="G68" s="20">
        <f>G59*G67*Hypothèses!$D$30*Hypothèses!$D$13</f>
        <v>24000</v>
      </c>
      <c r="H68" s="20">
        <f>H59*H67*Hypothèses!$D$30*Hypothèses!$D$13</f>
        <v>36800</v>
      </c>
      <c r="I68" s="20">
        <f>I59*I67*Hypothèses!$D$30*Hypothèses!$D$13</f>
        <v>52800</v>
      </c>
      <c r="J68" s="20">
        <f>J59*J67*Hypothèses!$D$30*Hypothèses!$D$13</f>
        <v>72000</v>
      </c>
      <c r="K68" s="20">
        <f>K59*K67*Hypothèses!$D$30*Hypothèses!$D$13</f>
        <v>92800</v>
      </c>
    </row>
    <row r="69" spans="2:11" x14ac:dyDescent="0.25">
      <c r="B69" s="50"/>
      <c r="C69" s="51" t="s">
        <v>133</v>
      </c>
      <c r="D69" s="41"/>
      <c r="E69" s="52">
        <f t="shared" ref="E69:K69" si="7">E66+E68</f>
        <v>77600</v>
      </c>
      <c r="F69" s="52">
        <f t="shared" si="7"/>
        <v>155554</v>
      </c>
      <c r="G69" s="52">
        <f t="shared" si="7"/>
        <v>297719.03999999998</v>
      </c>
      <c r="H69" s="52">
        <f t="shared" si="7"/>
        <v>536482.772</v>
      </c>
      <c r="I69" s="52">
        <f t="shared" si="7"/>
        <v>906885.30982400011</v>
      </c>
      <c r="J69" s="52">
        <f t="shared" si="7"/>
        <v>1451878.5029707199</v>
      </c>
      <c r="K69" s="52">
        <f t="shared" si="7"/>
        <v>2207784.957074387</v>
      </c>
    </row>
    <row r="70" spans="2:11" ht="5.0999999999999996" customHeight="1" x14ac:dyDescent="0.25">
      <c r="B70" s="13"/>
      <c r="D70" s="13"/>
    </row>
    <row r="71" spans="2:11" s="15" customFormat="1" x14ac:dyDescent="0.25">
      <c r="C71" s="16" t="s">
        <v>134</v>
      </c>
      <c r="D71" s="42"/>
      <c r="E71" s="18">
        <f t="shared" ref="E71:K71" si="8">E66/12</f>
        <v>5800</v>
      </c>
      <c r="F71" s="18">
        <f t="shared" si="8"/>
        <v>11762.833333333334</v>
      </c>
      <c r="G71" s="18">
        <f t="shared" si="8"/>
        <v>22809.919999999998</v>
      </c>
      <c r="H71" s="18">
        <f t="shared" si="8"/>
        <v>41640.231</v>
      </c>
      <c r="I71" s="18">
        <f t="shared" si="8"/>
        <v>71173.775818666676</v>
      </c>
      <c r="J71" s="18">
        <f t="shared" si="8"/>
        <v>114989.87524755999</v>
      </c>
      <c r="K71" s="18">
        <f t="shared" si="8"/>
        <v>176248.74642286557</v>
      </c>
    </row>
    <row r="72" spans="2:11" s="15" customFormat="1" x14ac:dyDescent="0.25">
      <c r="C72" s="16" t="s">
        <v>135</v>
      </c>
      <c r="D72" s="42"/>
      <c r="E72" s="18">
        <f t="shared" ref="E72:K72" si="9">E66</f>
        <v>69600</v>
      </c>
      <c r="F72" s="18">
        <f t="shared" si="9"/>
        <v>141154</v>
      </c>
      <c r="G72" s="18">
        <f t="shared" si="9"/>
        <v>273719.03999999998</v>
      </c>
      <c r="H72" s="18">
        <f t="shared" si="9"/>
        <v>499682.772</v>
      </c>
      <c r="I72" s="18">
        <f t="shared" si="9"/>
        <v>854085.30982400011</v>
      </c>
      <c r="J72" s="18">
        <f t="shared" si="9"/>
        <v>1379878.5029707199</v>
      </c>
      <c r="K72" s="18">
        <f t="shared" si="9"/>
        <v>2114984.957074387</v>
      </c>
    </row>
    <row r="73" spans="2:11" x14ac:dyDescent="0.25">
      <c r="K73" s="126"/>
    </row>
    <row r="74" spans="2:11" x14ac:dyDescent="0.25">
      <c r="B74" s="5"/>
      <c r="C74" s="48" t="s">
        <v>136</v>
      </c>
      <c r="D74" s="35"/>
      <c r="E74" s="47"/>
      <c r="F74" s="47"/>
      <c r="G74" s="47"/>
      <c r="H74" s="47"/>
      <c r="I74" s="47"/>
      <c r="J74" s="47"/>
      <c r="K74" s="47"/>
    </row>
    <row r="75" spans="2:11" x14ac:dyDescent="0.25">
      <c r="C75" s="14" t="s">
        <v>118</v>
      </c>
      <c r="E75" s="22">
        <f>Hypothèses!$D$14</f>
        <v>0</v>
      </c>
      <c r="F75" s="22">
        <f>Hypothèses!$D$14</f>
        <v>0</v>
      </c>
      <c r="G75" s="22">
        <f>Hypothèses!$D$14</f>
        <v>0</v>
      </c>
      <c r="H75" s="22">
        <f>Hypothèses!$D$14</f>
        <v>0</v>
      </c>
      <c r="I75" s="22">
        <f>Hypothèses!$D$14</f>
        <v>0</v>
      </c>
      <c r="J75" s="22">
        <f>Hypothèses!$D$14</f>
        <v>0</v>
      </c>
      <c r="K75" s="22">
        <f>Hypothèses!$D$14</f>
        <v>0</v>
      </c>
    </row>
    <row r="76" spans="2:11" x14ac:dyDescent="0.25">
      <c r="C76" s="14" t="s">
        <v>137</v>
      </c>
      <c r="E76" s="39">
        <v>40000</v>
      </c>
      <c r="F76" s="39">
        <v>80000</v>
      </c>
      <c r="G76" s="39">
        <v>120000</v>
      </c>
      <c r="H76" s="39">
        <v>160000</v>
      </c>
      <c r="I76" s="39">
        <v>200000</v>
      </c>
      <c r="J76" s="39">
        <v>240000</v>
      </c>
      <c r="K76" s="39">
        <v>280000</v>
      </c>
    </row>
    <row r="77" spans="2:11" x14ac:dyDescent="0.25">
      <c r="C77" s="14" t="s">
        <v>120</v>
      </c>
      <c r="E77" s="39">
        <v>5</v>
      </c>
      <c r="F77" s="39">
        <v>5</v>
      </c>
      <c r="G77" s="39">
        <v>5</v>
      </c>
      <c r="H77" s="39">
        <v>5</v>
      </c>
      <c r="I77" s="39">
        <v>5</v>
      </c>
      <c r="J77" s="39">
        <v>5</v>
      </c>
      <c r="K77" s="39">
        <v>5</v>
      </c>
    </row>
    <row r="78" spans="2:11" x14ac:dyDescent="0.25">
      <c r="C78" s="14" t="s">
        <v>138</v>
      </c>
      <c r="E78" s="49">
        <f t="shared" ref="E78:K78" si="10">IFERROR(E76/E77,0)</f>
        <v>8000</v>
      </c>
      <c r="F78" s="49">
        <f t="shared" si="10"/>
        <v>16000</v>
      </c>
      <c r="G78" s="49">
        <f t="shared" si="10"/>
        <v>24000</v>
      </c>
      <c r="H78" s="49">
        <f t="shared" si="10"/>
        <v>32000</v>
      </c>
      <c r="I78" s="49">
        <f t="shared" si="10"/>
        <v>40000</v>
      </c>
      <c r="J78" s="49">
        <f t="shared" si="10"/>
        <v>48000</v>
      </c>
      <c r="K78" s="49">
        <f t="shared" si="10"/>
        <v>56000</v>
      </c>
    </row>
    <row r="79" spans="2:11" x14ac:dyDescent="0.25">
      <c r="C79" s="14" t="s">
        <v>139</v>
      </c>
      <c r="E79" s="37">
        <v>0.02</v>
      </c>
      <c r="F79" s="37">
        <v>0.02</v>
      </c>
      <c r="G79" s="37">
        <v>0.02</v>
      </c>
      <c r="H79" s="37">
        <v>0.02</v>
      </c>
      <c r="I79" s="37">
        <v>0.02</v>
      </c>
      <c r="J79" s="37">
        <v>0.02</v>
      </c>
      <c r="K79" s="37">
        <v>0.02</v>
      </c>
    </row>
    <row r="80" spans="2:11" x14ac:dyDescent="0.25">
      <c r="C80" s="14" t="s">
        <v>19</v>
      </c>
      <c r="E80" s="49">
        <f t="shared" ref="E80:K80" si="11">E78*E79</f>
        <v>160</v>
      </c>
      <c r="F80" s="49">
        <f t="shared" si="11"/>
        <v>320</v>
      </c>
      <c r="G80" s="49">
        <f t="shared" si="11"/>
        <v>480</v>
      </c>
      <c r="H80" s="49">
        <f t="shared" si="11"/>
        <v>640</v>
      </c>
      <c r="I80" s="49">
        <f t="shared" si="11"/>
        <v>800</v>
      </c>
      <c r="J80" s="49">
        <f t="shared" si="11"/>
        <v>960</v>
      </c>
      <c r="K80" s="49">
        <f t="shared" si="11"/>
        <v>1120</v>
      </c>
    </row>
    <row r="81" spans="2:17" x14ac:dyDescent="0.25">
      <c r="C81" s="14" t="s">
        <v>140</v>
      </c>
      <c r="E81" s="39">
        <v>100</v>
      </c>
      <c r="F81" s="39">
        <v>100</v>
      </c>
      <c r="G81" s="39">
        <v>100</v>
      </c>
      <c r="H81" s="39">
        <v>100</v>
      </c>
      <c r="I81" s="39">
        <v>100</v>
      </c>
      <c r="J81" s="39">
        <v>100</v>
      </c>
      <c r="K81" s="39">
        <v>100</v>
      </c>
    </row>
    <row r="82" spans="2:17" x14ac:dyDescent="0.25">
      <c r="C82" s="14" t="s">
        <v>141</v>
      </c>
      <c r="E82" s="20">
        <f t="shared" ref="E82:K82" si="12">E80*E81</f>
        <v>16000</v>
      </c>
      <c r="F82" s="20">
        <f t="shared" si="12"/>
        <v>32000</v>
      </c>
      <c r="G82" s="20">
        <f t="shared" si="12"/>
        <v>48000</v>
      </c>
      <c r="H82" s="20">
        <f t="shared" si="12"/>
        <v>64000</v>
      </c>
      <c r="I82" s="20">
        <f t="shared" si="12"/>
        <v>80000</v>
      </c>
      <c r="J82" s="20">
        <f t="shared" si="12"/>
        <v>96000</v>
      </c>
      <c r="K82" s="20">
        <f t="shared" si="12"/>
        <v>112000</v>
      </c>
    </row>
    <row r="83" spans="2:17" x14ac:dyDescent="0.25">
      <c r="C83" s="14" t="s">
        <v>142</v>
      </c>
      <c r="E83" s="37">
        <v>0.15</v>
      </c>
      <c r="F83" s="37">
        <v>0.15</v>
      </c>
      <c r="G83" s="37">
        <v>0.15</v>
      </c>
      <c r="H83" s="37">
        <v>0.15</v>
      </c>
      <c r="I83" s="37">
        <v>0.15</v>
      </c>
      <c r="J83" s="37">
        <v>0.15</v>
      </c>
      <c r="K83" s="37">
        <v>0.15</v>
      </c>
    </row>
    <row r="84" spans="2:17" x14ac:dyDescent="0.25">
      <c r="B84" s="6"/>
      <c r="C84" s="51" t="s">
        <v>143</v>
      </c>
      <c r="D84" s="41"/>
      <c r="E84" s="52">
        <f>E82*E83*Hypothèses!$D$30*Hypothèses!$D$14</f>
        <v>0</v>
      </c>
      <c r="F84" s="52">
        <f>F82*F83*Hypothèses!$D$30*Hypothèses!$D$14</f>
        <v>0</v>
      </c>
      <c r="G84" s="52">
        <f>G82*G83*Hypothèses!$D$30*Hypothèses!$D$14</f>
        <v>0</v>
      </c>
      <c r="H84" s="52">
        <f>H82*H83*Hypothèses!$D$30*Hypothèses!$D$14</f>
        <v>0</v>
      </c>
      <c r="I84" s="52">
        <f>I82*I83*Hypothèses!$D$30*Hypothèses!$D$14</f>
        <v>0</v>
      </c>
      <c r="J84" s="52">
        <f>J82*J83*Hypothèses!$D$30*Hypothèses!$D$14</f>
        <v>0</v>
      </c>
      <c r="K84" s="52">
        <f>K82*K83*Hypothèses!$D$30*Hypothèses!$D$14</f>
        <v>0</v>
      </c>
    </row>
    <row r="86" spans="2:17" x14ac:dyDescent="0.25">
      <c r="B86" s="5"/>
      <c r="C86" s="48" t="s">
        <v>144</v>
      </c>
      <c r="D86" s="35"/>
      <c r="E86" s="47"/>
      <c r="F86" s="47"/>
      <c r="G86" s="47"/>
      <c r="H86" s="47"/>
      <c r="I86" s="47"/>
      <c r="J86" s="47"/>
      <c r="K86" s="47"/>
    </row>
    <row r="87" spans="2:17" s="15" customFormat="1" x14ac:dyDescent="0.25">
      <c r="C87" s="16" t="s">
        <v>118</v>
      </c>
      <c r="D87" s="42"/>
      <c r="E87" s="69">
        <f>Hypothèses!$D$15</f>
        <v>0</v>
      </c>
      <c r="F87" s="69">
        <f>Hypothèses!$D$15</f>
        <v>0</v>
      </c>
      <c r="G87" s="69">
        <f>Hypothèses!$D$15</f>
        <v>0</v>
      </c>
      <c r="H87" s="69">
        <f>Hypothèses!$D$15</f>
        <v>0</v>
      </c>
      <c r="I87" s="69">
        <f>Hypothèses!$D$15</f>
        <v>0</v>
      </c>
      <c r="J87" s="69">
        <f>Hypothèses!$D$15</f>
        <v>0</v>
      </c>
      <c r="K87" s="69">
        <f>Hypothèses!$D$15</f>
        <v>0</v>
      </c>
      <c r="P87"/>
      <c r="Q87"/>
    </row>
    <row r="88" spans="2:17" x14ac:dyDescent="0.25">
      <c r="C88" s="14" t="s">
        <v>145</v>
      </c>
      <c r="E88" s="40">
        <v>250</v>
      </c>
      <c r="F88" s="40">
        <v>2000</v>
      </c>
      <c r="G88" s="40">
        <v>3000</v>
      </c>
      <c r="H88" s="40">
        <v>4200</v>
      </c>
      <c r="I88" s="40">
        <v>5600</v>
      </c>
      <c r="J88" s="40">
        <v>7200</v>
      </c>
      <c r="K88" s="40">
        <v>9000</v>
      </c>
    </row>
    <row r="89" spans="2:17" x14ac:dyDescent="0.25">
      <c r="C89" s="14" t="s">
        <v>146</v>
      </c>
      <c r="E89" s="39">
        <v>500</v>
      </c>
      <c r="F89" s="39">
        <v>500</v>
      </c>
      <c r="G89" s="39">
        <v>500</v>
      </c>
      <c r="H89" s="39">
        <v>500</v>
      </c>
      <c r="I89" s="39">
        <v>500</v>
      </c>
      <c r="J89" s="39">
        <v>500</v>
      </c>
      <c r="K89" s="39">
        <v>500</v>
      </c>
    </row>
    <row r="90" spans="2:17" x14ac:dyDescent="0.25">
      <c r="C90" s="14" t="s">
        <v>147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</row>
    <row r="91" spans="2:17" x14ac:dyDescent="0.25">
      <c r="B91" s="6"/>
      <c r="C91" s="51" t="s">
        <v>148</v>
      </c>
      <c r="D91" s="41"/>
      <c r="E91" s="52">
        <f>E88*E89*Hypothèses!$D$30*Hypothèses!$D$15</f>
        <v>0</v>
      </c>
      <c r="F91" s="52">
        <f>F88*F89*Hypothèses!$D$30*Hypothèses!$D$15</f>
        <v>0</v>
      </c>
      <c r="G91" s="52">
        <f>G88*G89*Hypothèses!$D$30*Hypothèses!$D$15</f>
        <v>0</v>
      </c>
      <c r="H91" s="52">
        <f>H88*H89*Hypothèses!$D$30*Hypothèses!$D$15</f>
        <v>0</v>
      </c>
      <c r="I91" s="52">
        <f>I88*I89*Hypothèses!$D$30*Hypothèses!$D$15</f>
        <v>0</v>
      </c>
      <c r="J91" s="52">
        <f>J88*J89*Hypothèses!$D$30*Hypothèses!$D$15</f>
        <v>0</v>
      </c>
      <c r="K91" s="52">
        <f>K88*K89*Hypothèses!$D$30*Hypothèses!$D$15</f>
        <v>0</v>
      </c>
    </row>
    <row r="93" spans="2:17" x14ac:dyDescent="0.25">
      <c r="B93" s="6"/>
      <c r="C93" s="51" t="s">
        <v>149</v>
      </c>
      <c r="D93" s="41"/>
      <c r="E93" s="52">
        <f t="shared" ref="E93:K93" si="13">E69+E84+E91</f>
        <v>77600</v>
      </c>
      <c r="F93" s="52">
        <f t="shared" si="13"/>
        <v>155554</v>
      </c>
      <c r="G93" s="52">
        <f t="shared" si="13"/>
        <v>297719.03999999998</v>
      </c>
      <c r="H93" s="52">
        <f t="shared" si="13"/>
        <v>536482.772</v>
      </c>
      <c r="I93" s="52">
        <f t="shared" si="13"/>
        <v>906885.30982400011</v>
      </c>
      <c r="J93" s="52">
        <f t="shared" si="13"/>
        <v>1451878.5029707199</v>
      </c>
      <c r="K93" s="52">
        <f t="shared" si="13"/>
        <v>2207784.957074387</v>
      </c>
    </row>
    <row r="94" spans="2:17" s="15" customFormat="1" x14ac:dyDescent="0.25">
      <c r="C94" s="16" t="s">
        <v>150</v>
      </c>
      <c r="D94" s="42"/>
      <c r="E94" s="17" t="str">
        <f>"s.o."</f>
        <v>s.o.</v>
      </c>
      <c r="F94" s="17">
        <f>IFERROR(F93/E93-1,"s.o.")</f>
        <v>1.004561855670103</v>
      </c>
      <c r="G94" s="17">
        <f>IFERROR(G93/F93-1,"s.o.")</f>
        <v>0.91392725355824966</v>
      </c>
      <c r="H94" s="17">
        <f>IFERROR(H93/G93-1,"s.o.")</f>
        <v>0.80197669588078768</v>
      </c>
      <c r="I94" s="17">
        <f>IFERROR(I93/H93-1,"s.o.")</f>
        <v>0.69042764680614965</v>
      </c>
      <c r="J94" s="17">
        <f>IFERROR(J93/I93-1,"s.o.")</f>
        <v>0.60095051407601585</v>
      </c>
      <c r="K94" s="17">
        <f>IFERROR(K93/J93-1,"s.o.")</f>
        <v>0.52064029638636455</v>
      </c>
    </row>
    <row r="96" spans="2:17" ht="18.75" customHeight="1" x14ac:dyDescent="0.25">
      <c r="B96" s="3" t="s">
        <v>20</v>
      </c>
      <c r="C96" s="54" t="s">
        <v>151</v>
      </c>
      <c r="D96" s="30"/>
      <c r="E96" s="55"/>
      <c r="F96" s="55"/>
      <c r="G96" s="55"/>
      <c r="H96" s="55"/>
      <c r="I96" s="55"/>
      <c r="J96" s="55"/>
      <c r="K96" s="55"/>
    </row>
    <row r="97" spans="2:11" ht="9.9499999999999993" customHeight="1" x14ac:dyDescent="0.25"/>
    <row r="98" spans="2:11" x14ac:dyDescent="0.25">
      <c r="B98" s="10"/>
      <c r="C98" s="11" t="s">
        <v>116</v>
      </c>
      <c r="D98" s="56"/>
      <c r="E98" s="141">
        <f>Hypothèses!$D$8</f>
        <v>2026</v>
      </c>
      <c r="F98" s="141">
        <f t="shared" ref="F98:K98" si="14">E98+1</f>
        <v>2027</v>
      </c>
      <c r="G98" s="141">
        <f t="shared" si="14"/>
        <v>2028</v>
      </c>
      <c r="H98" s="141">
        <f t="shared" si="14"/>
        <v>2029</v>
      </c>
      <c r="I98" s="141">
        <f t="shared" si="14"/>
        <v>2030</v>
      </c>
      <c r="J98" s="141">
        <f t="shared" si="14"/>
        <v>2031</v>
      </c>
      <c r="K98" s="141">
        <f t="shared" si="14"/>
        <v>2032</v>
      </c>
    </row>
    <row r="99" spans="2:11" ht="5.0999999999999996" customHeight="1" x14ac:dyDescent="0.25"/>
    <row r="100" spans="2:11" x14ac:dyDescent="0.25">
      <c r="C100" s="14" t="s">
        <v>152</v>
      </c>
      <c r="E100" s="37">
        <v>0.25</v>
      </c>
      <c r="F100" s="37">
        <v>0.24</v>
      </c>
      <c r="G100" s="37">
        <v>0.23</v>
      </c>
      <c r="H100" s="37">
        <v>0.22</v>
      </c>
      <c r="I100" s="37">
        <v>0.21</v>
      </c>
      <c r="J100" s="37">
        <v>0.2</v>
      </c>
      <c r="K100" s="37">
        <v>0.2</v>
      </c>
    </row>
    <row r="101" spans="2:11" x14ac:dyDescent="0.25">
      <c r="C101" s="14" t="s">
        <v>153</v>
      </c>
      <c r="E101" s="20">
        <f>E69*E100*Hypothèses!$D$31</f>
        <v>19400</v>
      </c>
      <c r="F101" s="20">
        <f>F69*F100*Hypothèses!$D$31</f>
        <v>37332.959999999999</v>
      </c>
      <c r="G101" s="20">
        <f>G69*G100*Hypothèses!$D$31</f>
        <v>68475.379199999996</v>
      </c>
      <c r="H101" s="20">
        <f>H69*H100*Hypothèses!$D$31</f>
        <v>118026.20984</v>
      </c>
      <c r="I101" s="20">
        <f>I69*I100*Hypothèses!$D$31</f>
        <v>190445.91506304001</v>
      </c>
      <c r="J101" s="20">
        <f>J69*J100*Hypothèses!$D$31</f>
        <v>290375.700594144</v>
      </c>
      <c r="K101" s="20">
        <f>K69*K100*Hypothèses!$D$31</f>
        <v>441556.99141487741</v>
      </c>
    </row>
    <row r="102" spans="2:11" x14ac:dyDescent="0.25">
      <c r="C102" s="14" t="s">
        <v>154</v>
      </c>
      <c r="E102" s="37">
        <v>0.1</v>
      </c>
      <c r="F102" s="37">
        <v>0.1</v>
      </c>
      <c r="G102" s="37">
        <v>0.1</v>
      </c>
      <c r="H102" s="37">
        <v>0.1</v>
      </c>
      <c r="I102" s="37">
        <v>0.1</v>
      </c>
      <c r="J102" s="37">
        <v>0.1</v>
      </c>
      <c r="K102" s="37">
        <v>0.1</v>
      </c>
    </row>
    <row r="103" spans="2:11" x14ac:dyDescent="0.25">
      <c r="C103" s="14" t="s">
        <v>155</v>
      </c>
      <c r="E103" s="20">
        <f>E84*E102*Hypothèses!$D$31</f>
        <v>0</v>
      </c>
      <c r="F103" s="20">
        <f>F84*F102*Hypothèses!$D$31</f>
        <v>0</v>
      </c>
      <c r="G103" s="20">
        <f>G84*G102*Hypothèses!$D$31</f>
        <v>0</v>
      </c>
      <c r="H103" s="20">
        <f>H84*H102*Hypothèses!$D$31</f>
        <v>0</v>
      </c>
      <c r="I103" s="20">
        <f>I84*I102*Hypothèses!$D$31</f>
        <v>0</v>
      </c>
      <c r="J103" s="20">
        <f>J84*J102*Hypothèses!$D$31</f>
        <v>0</v>
      </c>
      <c r="K103" s="20">
        <f>K84*K102*Hypothèses!$D$31</f>
        <v>0</v>
      </c>
    </row>
    <row r="104" spans="2:11" x14ac:dyDescent="0.25">
      <c r="C104" s="14" t="s">
        <v>156</v>
      </c>
      <c r="E104" s="39">
        <v>40</v>
      </c>
      <c r="F104" s="39">
        <v>40</v>
      </c>
      <c r="G104" s="39">
        <v>40</v>
      </c>
      <c r="H104" s="39">
        <v>40</v>
      </c>
      <c r="I104" s="39">
        <v>40</v>
      </c>
      <c r="J104" s="39">
        <v>40</v>
      </c>
      <c r="K104" s="39">
        <v>40</v>
      </c>
    </row>
    <row r="105" spans="2:11" x14ac:dyDescent="0.25">
      <c r="C105" s="14" t="s">
        <v>157</v>
      </c>
      <c r="E105" s="20">
        <f>E88*E104*Hypothèses!$D$31*Hypothèses!$D$15</f>
        <v>0</v>
      </c>
      <c r="F105" s="20">
        <f>F88*F104*Hypothèses!$D$31*Hypothèses!$D$15</f>
        <v>0</v>
      </c>
      <c r="G105" s="20">
        <f>G88*G104*Hypothèses!$D$31*Hypothèses!$D$15</f>
        <v>0</v>
      </c>
      <c r="H105" s="20">
        <f>H88*H104*Hypothèses!$D$31*Hypothèses!$D$15</f>
        <v>0</v>
      </c>
      <c r="I105" s="20">
        <f>I88*I104*Hypothèses!$D$31*Hypothèses!$D$15</f>
        <v>0</v>
      </c>
      <c r="J105" s="20">
        <f>J88*J104*Hypothèses!$D$31*Hypothèses!$D$15</f>
        <v>0</v>
      </c>
      <c r="K105" s="20">
        <f>K88*K104*Hypothèses!$D$31*Hypothèses!$D$15</f>
        <v>0</v>
      </c>
    </row>
    <row r="106" spans="2:11" x14ac:dyDescent="0.25">
      <c r="C106" s="14"/>
      <c r="E106" s="20"/>
      <c r="F106" s="20"/>
      <c r="G106" s="20"/>
      <c r="H106" s="20"/>
      <c r="I106" s="20"/>
      <c r="J106" s="20"/>
      <c r="K106" s="20"/>
    </row>
    <row r="107" spans="2:11" x14ac:dyDescent="0.25">
      <c r="B107" s="6"/>
      <c r="C107" s="51" t="s">
        <v>158</v>
      </c>
      <c r="D107" s="41"/>
      <c r="E107" s="52">
        <f t="shared" ref="E107:K107" si="15">E101+E103+E105</f>
        <v>19400</v>
      </c>
      <c r="F107" s="52">
        <f t="shared" si="15"/>
        <v>37332.959999999999</v>
      </c>
      <c r="G107" s="52">
        <f t="shared" si="15"/>
        <v>68475.379199999996</v>
      </c>
      <c r="H107" s="52">
        <f t="shared" si="15"/>
        <v>118026.20984</v>
      </c>
      <c r="I107" s="52">
        <f t="shared" si="15"/>
        <v>190445.91506304001</v>
      </c>
      <c r="J107" s="52">
        <f t="shared" si="15"/>
        <v>290375.700594144</v>
      </c>
      <c r="K107" s="52">
        <f t="shared" si="15"/>
        <v>441556.99141487741</v>
      </c>
    </row>
    <row r="108" spans="2:11" x14ac:dyDescent="0.25">
      <c r="B108" s="6"/>
      <c r="C108" s="51" t="s">
        <v>159</v>
      </c>
      <c r="D108" s="41"/>
      <c r="E108" s="52">
        <f t="shared" ref="E108:K108" si="16">E69-E107</f>
        <v>58200</v>
      </c>
      <c r="F108" s="52">
        <f t="shared" si="16"/>
        <v>118221.04000000001</v>
      </c>
      <c r="G108" s="52">
        <f t="shared" si="16"/>
        <v>229243.66079999998</v>
      </c>
      <c r="H108" s="52">
        <f t="shared" si="16"/>
        <v>418456.56215999997</v>
      </c>
      <c r="I108" s="52">
        <f t="shared" si="16"/>
        <v>716439.39476096013</v>
      </c>
      <c r="J108" s="52">
        <f t="shared" si="16"/>
        <v>1161502.802376576</v>
      </c>
      <c r="K108" s="52">
        <f t="shared" si="16"/>
        <v>1766227.9656595096</v>
      </c>
    </row>
    <row r="109" spans="2:11" s="15" customFormat="1" x14ac:dyDescent="0.25">
      <c r="C109" s="16" t="s">
        <v>160</v>
      </c>
      <c r="D109" s="42"/>
      <c r="E109" s="17">
        <f t="shared" ref="E109:K109" si="17">IFERROR(E108/E93,0)</f>
        <v>0.75</v>
      </c>
      <c r="F109" s="17">
        <f t="shared" si="17"/>
        <v>0.76</v>
      </c>
      <c r="G109" s="17">
        <f t="shared" si="17"/>
        <v>0.77</v>
      </c>
      <c r="H109" s="17">
        <f t="shared" si="17"/>
        <v>0.77999999999999992</v>
      </c>
      <c r="I109" s="17">
        <f t="shared" si="17"/>
        <v>0.79</v>
      </c>
      <c r="J109" s="17">
        <f t="shared" si="17"/>
        <v>0.8</v>
      </c>
      <c r="K109" s="17">
        <f t="shared" si="17"/>
        <v>0.8</v>
      </c>
    </row>
    <row r="111" spans="2:11" ht="18.75" customHeight="1" x14ac:dyDescent="0.25">
      <c r="B111" s="3" t="s">
        <v>21</v>
      </c>
      <c r="C111" s="54" t="s">
        <v>161</v>
      </c>
      <c r="D111" s="30"/>
      <c r="E111" s="55"/>
      <c r="F111" s="55"/>
      <c r="G111" s="55"/>
      <c r="H111" s="55"/>
      <c r="I111" s="55"/>
      <c r="J111" s="55"/>
      <c r="K111" s="55"/>
    </row>
    <row r="112" spans="2:11" ht="9.9499999999999993" customHeight="1" x14ac:dyDescent="0.25"/>
    <row r="113" spans="2:11" x14ac:dyDescent="0.25">
      <c r="B113" s="10"/>
      <c r="C113" s="11" t="s">
        <v>116</v>
      </c>
      <c r="D113" s="56"/>
      <c r="E113" s="141">
        <f>Hypothèses!$D$8</f>
        <v>2026</v>
      </c>
      <c r="F113" s="141">
        <f t="shared" ref="F113:K113" si="18">E113+1</f>
        <v>2027</v>
      </c>
      <c r="G113" s="141">
        <f t="shared" si="18"/>
        <v>2028</v>
      </c>
      <c r="H113" s="141">
        <f t="shared" si="18"/>
        <v>2029</v>
      </c>
      <c r="I113" s="141">
        <f t="shared" si="18"/>
        <v>2030</v>
      </c>
      <c r="J113" s="141">
        <f t="shared" si="18"/>
        <v>2031</v>
      </c>
      <c r="K113" s="141">
        <f t="shared" si="18"/>
        <v>2032</v>
      </c>
    </row>
    <row r="114" spans="2:11" ht="5.0999999999999996" customHeight="1" x14ac:dyDescent="0.25"/>
    <row r="115" spans="2:11" x14ac:dyDescent="0.25">
      <c r="B115" s="5"/>
      <c r="C115" s="48" t="s">
        <v>162</v>
      </c>
      <c r="D115" s="35"/>
      <c r="E115" s="47"/>
      <c r="F115" s="47"/>
      <c r="G115" s="47"/>
      <c r="H115" s="47"/>
      <c r="I115" s="47"/>
      <c r="J115" s="47"/>
      <c r="K115" s="47"/>
    </row>
    <row r="116" spans="2:11" x14ac:dyDescent="0.25">
      <c r="C116" s="14" t="s">
        <v>163</v>
      </c>
      <c r="E116" s="57">
        <v>0</v>
      </c>
      <c r="F116" s="57">
        <v>0</v>
      </c>
      <c r="G116" s="57">
        <v>0</v>
      </c>
      <c r="H116" s="57">
        <v>0</v>
      </c>
      <c r="I116" s="57">
        <v>0</v>
      </c>
      <c r="J116" s="57">
        <v>0</v>
      </c>
      <c r="K116" s="57">
        <v>0</v>
      </c>
    </row>
    <row r="117" spans="2:11" x14ac:dyDescent="0.25">
      <c r="C117" s="14" t="s">
        <v>164</v>
      </c>
      <c r="E117" s="39">
        <v>55000</v>
      </c>
      <c r="F117" s="20">
        <f>E117*(1+Hypothèses!$D$41)</f>
        <v>57750</v>
      </c>
      <c r="G117" s="20">
        <f>F117*(1+Hypothèses!$D$41)</f>
        <v>60637.5</v>
      </c>
      <c r="H117" s="20">
        <f>G117*(1+Hypothèses!$D$41)</f>
        <v>63669.375</v>
      </c>
      <c r="I117" s="20">
        <f>H117*(1+Hypothèses!$D$41)</f>
        <v>66852.84375</v>
      </c>
      <c r="J117" s="20">
        <f>I117*(1+Hypothèses!$D$41)</f>
        <v>70195.485937500009</v>
      </c>
      <c r="K117" s="20">
        <f>J117*(1+Hypothèses!$D$41)</f>
        <v>73705.260234375019</v>
      </c>
    </row>
    <row r="118" spans="2:11" x14ac:dyDescent="0.25">
      <c r="C118" s="14" t="s">
        <v>165</v>
      </c>
      <c r="E118" s="20">
        <f>E116*E117*(1+Hypothèses!$D$40)*Hypothèses!$D$31</f>
        <v>0</v>
      </c>
      <c r="F118" s="20">
        <f>F116*F117*(1+Hypothèses!$D$40)*Hypothèses!$D$31</f>
        <v>0</v>
      </c>
      <c r="G118" s="20">
        <f>G116*G117*(1+Hypothèses!$D$40)*Hypothèses!$D$31</f>
        <v>0</v>
      </c>
      <c r="H118" s="20">
        <f>H116*H117*(1+Hypothèses!$D$40)*Hypothèses!$D$31</f>
        <v>0</v>
      </c>
      <c r="I118" s="20">
        <f>I116*I117*(1+Hypothèses!$D$40)*Hypothèses!$D$31</f>
        <v>0</v>
      </c>
      <c r="J118" s="20">
        <f>J116*J117*(1+Hypothèses!$D$40)*Hypothèses!$D$31</f>
        <v>0</v>
      </c>
      <c r="K118" s="20">
        <f>K116*K117*(1+Hypothèses!$D$40)*Hypothèses!$D$31</f>
        <v>0</v>
      </c>
    </row>
    <row r="120" spans="2:11" x14ac:dyDescent="0.25">
      <c r="B120" s="5"/>
      <c r="C120" s="48" t="s">
        <v>166</v>
      </c>
      <c r="D120" s="35"/>
      <c r="E120" s="47"/>
      <c r="F120" s="47"/>
      <c r="G120" s="47"/>
      <c r="H120" s="47"/>
      <c r="I120" s="47"/>
      <c r="J120" s="47"/>
      <c r="K120" s="47"/>
    </row>
    <row r="121" spans="2:11" x14ac:dyDescent="0.25">
      <c r="C121" s="14" t="s">
        <v>163</v>
      </c>
      <c r="E121" s="57">
        <v>1</v>
      </c>
      <c r="F121" s="57">
        <v>1</v>
      </c>
      <c r="G121" s="57">
        <v>1</v>
      </c>
      <c r="H121" s="57">
        <v>1</v>
      </c>
      <c r="I121" s="57">
        <v>1</v>
      </c>
      <c r="J121" s="57">
        <v>1</v>
      </c>
      <c r="K121" s="57">
        <v>1</v>
      </c>
    </row>
    <row r="122" spans="2:11" x14ac:dyDescent="0.25">
      <c r="C122" s="14" t="s">
        <v>164</v>
      </c>
      <c r="E122" s="39">
        <v>50000</v>
      </c>
      <c r="F122" s="20">
        <f>E122*(1+Hypothèses!$D$41)</f>
        <v>52500</v>
      </c>
      <c r="G122" s="20">
        <f>F122*(1+Hypothèses!$D$41)</f>
        <v>55125</v>
      </c>
      <c r="H122" s="20">
        <f>G122*(1+Hypothèses!$D$41)</f>
        <v>57881.25</v>
      </c>
      <c r="I122" s="20">
        <f>H122*(1+Hypothèses!$D$41)</f>
        <v>60775.3125</v>
      </c>
      <c r="J122" s="20">
        <f>I122*(1+Hypothèses!$D$41)</f>
        <v>63814.078125</v>
      </c>
      <c r="K122" s="20">
        <f>J122*(1+Hypothèses!$D$41)</f>
        <v>67004.782031249997</v>
      </c>
    </row>
    <row r="123" spans="2:11" x14ac:dyDescent="0.25">
      <c r="C123" s="14" t="s">
        <v>167</v>
      </c>
      <c r="E123" s="20">
        <f>E121*E122*(1+Hypothèses!$D$40)*Hypothèses!$D$31</f>
        <v>72500</v>
      </c>
      <c r="F123" s="20">
        <f>F121*F122*(1+Hypothèses!$D$40)*Hypothèses!$D$31</f>
        <v>76125</v>
      </c>
      <c r="G123" s="20">
        <f>G121*G122*(1+Hypothèses!$D$40)*Hypothèses!$D$31</f>
        <v>79931.25</v>
      </c>
      <c r="H123" s="20">
        <f>H121*H122*(1+Hypothèses!$D$40)*Hypothèses!$D$31</f>
        <v>83927.8125</v>
      </c>
      <c r="I123" s="20">
        <f>I121*I122*(1+Hypothèses!$D$40)*Hypothèses!$D$31</f>
        <v>88124.203125</v>
      </c>
      <c r="J123" s="20">
        <f>J121*J122*(1+Hypothèses!$D$40)*Hypothèses!$D$31</f>
        <v>92530.413281250003</v>
      </c>
      <c r="K123" s="20">
        <f>K121*K122*(1+Hypothèses!$D$40)*Hypothèses!$D$31</f>
        <v>97156.933945312499</v>
      </c>
    </row>
    <row r="125" spans="2:11" x14ac:dyDescent="0.25">
      <c r="B125" s="5"/>
      <c r="C125" s="48" t="s">
        <v>168</v>
      </c>
      <c r="D125" s="35"/>
      <c r="E125" s="47"/>
      <c r="F125" s="47"/>
      <c r="G125" s="47"/>
      <c r="H125" s="47"/>
      <c r="I125" s="47"/>
      <c r="J125" s="47"/>
      <c r="K125" s="47"/>
    </row>
    <row r="126" spans="2:11" x14ac:dyDescent="0.25">
      <c r="C126" s="14" t="s">
        <v>163</v>
      </c>
      <c r="E126" s="57">
        <v>1</v>
      </c>
      <c r="F126" s="57">
        <v>1</v>
      </c>
      <c r="G126" s="57">
        <v>1</v>
      </c>
      <c r="H126" s="57">
        <v>1</v>
      </c>
      <c r="I126" s="57">
        <v>1</v>
      </c>
      <c r="J126" s="57">
        <v>1</v>
      </c>
      <c r="K126" s="57">
        <v>1</v>
      </c>
    </row>
    <row r="127" spans="2:11" x14ac:dyDescent="0.25">
      <c r="C127" s="14" t="s">
        <v>164</v>
      </c>
      <c r="E127" s="39">
        <v>40000</v>
      </c>
      <c r="F127" s="20">
        <f>E127*(1+Hypothèses!$D$41)</f>
        <v>42000</v>
      </c>
      <c r="G127" s="20">
        <f>F127*(1+Hypothèses!$D$41)</f>
        <v>44100</v>
      </c>
      <c r="H127" s="20">
        <f>G127*(1+Hypothèses!$D$41)</f>
        <v>46305</v>
      </c>
      <c r="I127" s="20">
        <f>H127*(1+Hypothèses!$D$41)</f>
        <v>48620.25</v>
      </c>
      <c r="J127" s="20">
        <f>I127*(1+Hypothèses!$D$41)</f>
        <v>51051.262500000004</v>
      </c>
      <c r="K127" s="20">
        <f>J127*(1+Hypothèses!$D$41)</f>
        <v>53603.825625000005</v>
      </c>
    </row>
    <row r="128" spans="2:11" x14ac:dyDescent="0.25">
      <c r="C128" s="14" t="s">
        <v>169</v>
      </c>
      <c r="E128" s="20">
        <f>E126*E127*(1+Hypothèses!$D$40)*Hypothèses!$D$31</f>
        <v>58000</v>
      </c>
      <c r="F128" s="20">
        <f>F126*F127*(1+Hypothèses!$D$40)*Hypothèses!$D$31</f>
        <v>60900</v>
      </c>
      <c r="G128" s="20">
        <f>G126*G127*(1+Hypothèses!$D$40)*Hypothèses!$D$31</f>
        <v>63945</v>
      </c>
      <c r="H128" s="20">
        <f>H126*H127*(1+Hypothèses!$D$40)*Hypothèses!$D$31</f>
        <v>67142.25</v>
      </c>
      <c r="I128" s="20">
        <f>I126*I127*(1+Hypothèses!$D$40)*Hypothèses!$D$31</f>
        <v>70499.362500000003</v>
      </c>
      <c r="J128" s="20">
        <f>J126*J127*(1+Hypothèses!$D$40)*Hypothèses!$D$31</f>
        <v>74024.330625000002</v>
      </c>
      <c r="K128" s="20">
        <f>K126*K127*(1+Hypothèses!$D$40)*Hypothèses!$D$31</f>
        <v>77725.547156250002</v>
      </c>
    </row>
    <row r="130" spans="2:16" x14ac:dyDescent="0.25">
      <c r="B130" s="5"/>
      <c r="C130" s="48" t="s">
        <v>170</v>
      </c>
      <c r="D130" s="35"/>
      <c r="E130" s="47"/>
      <c r="F130" s="47"/>
      <c r="G130" s="47"/>
      <c r="H130" s="47"/>
      <c r="I130" s="47"/>
      <c r="J130" s="47"/>
      <c r="K130" s="47"/>
    </row>
    <row r="131" spans="2:16" x14ac:dyDescent="0.25">
      <c r="C131" s="14" t="s">
        <v>163</v>
      </c>
      <c r="E131" s="57">
        <v>1</v>
      </c>
      <c r="F131" s="57">
        <v>1</v>
      </c>
      <c r="G131" s="57">
        <v>1</v>
      </c>
      <c r="H131" s="57">
        <v>1</v>
      </c>
      <c r="I131" s="57">
        <v>1</v>
      </c>
      <c r="J131" s="57">
        <v>1</v>
      </c>
      <c r="K131" s="57">
        <v>1</v>
      </c>
    </row>
    <row r="132" spans="2:16" x14ac:dyDescent="0.25">
      <c r="C132" s="14" t="s">
        <v>164</v>
      </c>
      <c r="E132" s="39">
        <v>45000</v>
      </c>
      <c r="F132" s="20">
        <f>E132*(1+Hypothèses!$D$41)</f>
        <v>47250</v>
      </c>
      <c r="G132" s="20">
        <f>F132*(1+Hypothèses!$D$41)</f>
        <v>49612.5</v>
      </c>
      <c r="H132" s="20">
        <f>G132*(1+Hypothèses!$D$41)</f>
        <v>52093.125</v>
      </c>
      <c r="I132" s="20">
        <f>H132*(1+Hypothèses!$D$41)</f>
        <v>54697.78125</v>
      </c>
      <c r="J132" s="20">
        <f>I132*(1+Hypothèses!$D$41)</f>
        <v>57432.670312500006</v>
      </c>
      <c r="K132" s="20">
        <f>J132*(1+Hypothèses!$D$41)</f>
        <v>60304.303828125012</v>
      </c>
    </row>
    <row r="133" spans="2:16" x14ac:dyDescent="0.25">
      <c r="C133" s="14" t="s">
        <v>171</v>
      </c>
      <c r="E133" s="20">
        <f>E131*E132*(1+Hypothèses!$D$40)*Hypothèses!$D$31</f>
        <v>65250</v>
      </c>
      <c r="F133" s="20">
        <f>F131*F132*(1+Hypothèses!$D$40)*Hypothèses!$D$31</f>
        <v>68512.5</v>
      </c>
      <c r="G133" s="20">
        <f>G131*G132*(1+Hypothèses!$D$40)*Hypothèses!$D$31</f>
        <v>71938.125</v>
      </c>
      <c r="H133" s="20">
        <f>H131*H132*(1+Hypothèses!$D$40)*Hypothèses!$D$31</f>
        <v>75535.03125</v>
      </c>
      <c r="I133" s="20">
        <f>I131*I132*(1+Hypothèses!$D$40)*Hypothèses!$D$31</f>
        <v>79311.782812499994</v>
      </c>
      <c r="J133" s="20">
        <f>J131*J132*(1+Hypothèses!$D$40)*Hypothèses!$D$31</f>
        <v>83277.37195312501</v>
      </c>
      <c r="K133" s="20">
        <f>K131*K132*(1+Hypothèses!$D$40)*Hypothèses!$D$31</f>
        <v>87441.240550781265</v>
      </c>
    </row>
    <row r="135" spans="2:16" x14ac:dyDescent="0.25">
      <c r="B135" s="5"/>
      <c r="C135" s="48" t="s">
        <v>172</v>
      </c>
      <c r="D135" s="35"/>
      <c r="E135" s="47"/>
      <c r="F135" s="47"/>
      <c r="G135" s="47"/>
      <c r="H135" s="47"/>
      <c r="I135" s="47"/>
      <c r="J135" s="47"/>
      <c r="K135" s="47"/>
    </row>
    <row r="136" spans="2:16" x14ac:dyDescent="0.25">
      <c r="C136" s="14" t="s">
        <v>163</v>
      </c>
      <c r="E136" s="57">
        <v>1</v>
      </c>
      <c r="F136" s="57">
        <v>1</v>
      </c>
      <c r="G136" s="57">
        <v>1</v>
      </c>
      <c r="H136" s="57">
        <v>1</v>
      </c>
      <c r="I136" s="57">
        <v>1</v>
      </c>
      <c r="J136" s="57">
        <v>1</v>
      </c>
      <c r="K136" s="57">
        <v>1</v>
      </c>
    </row>
    <row r="137" spans="2:16" x14ac:dyDescent="0.25">
      <c r="C137" s="14" t="s">
        <v>164</v>
      </c>
      <c r="E137" s="39">
        <v>12000</v>
      </c>
      <c r="F137" s="20">
        <f>E137*(1+Hypothèses!$D$41)</f>
        <v>12600</v>
      </c>
      <c r="G137" s="20">
        <f>F137*(1+Hypothèses!$D$41)</f>
        <v>13230</v>
      </c>
      <c r="H137" s="20">
        <f>G137*(1+Hypothèses!$D$41)</f>
        <v>13891.5</v>
      </c>
      <c r="I137" s="20">
        <f>H137*(1+Hypothèses!$D$41)</f>
        <v>14586.075000000001</v>
      </c>
      <c r="J137" s="20">
        <f>I137*(1+Hypothèses!$D$41)</f>
        <v>15315.378750000002</v>
      </c>
      <c r="K137" s="20">
        <f>J137*(1+Hypothèses!$D$41)</f>
        <v>16081.147687500003</v>
      </c>
    </row>
    <row r="138" spans="2:16" x14ac:dyDescent="0.25">
      <c r="C138" s="14" t="s">
        <v>173</v>
      </c>
      <c r="E138" s="20">
        <f>E136*E137*(1+Hypothèses!$D$40)*Hypothèses!$D$31</f>
        <v>17400</v>
      </c>
      <c r="F138" s="20">
        <f>F136*F137*(1+Hypothèses!$D$40)*Hypothèses!$D$31</f>
        <v>18270</v>
      </c>
      <c r="G138" s="20">
        <f>G136*G137*(1+Hypothèses!$D$40)*Hypothèses!$D$31</f>
        <v>19183.5</v>
      </c>
      <c r="H138" s="20">
        <f>H136*H137*(1+Hypothèses!$D$40)*Hypothèses!$D$31</f>
        <v>20142.674999999999</v>
      </c>
      <c r="I138" s="20">
        <f>I136*I137*(1+Hypothèses!$D$40)*Hypothèses!$D$31</f>
        <v>21149.80875</v>
      </c>
      <c r="J138" s="20">
        <f>J136*J137*(1+Hypothèses!$D$40)*Hypothèses!$D$31</f>
        <v>22207.299187500001</v>
      </c>
      <c r="K138" s="20">
        <f>K136*K137*(1+Hypothèses!$D$40)*Hypothèses!$D$31</f>
        <v>23317.664146875002</v>
      </c>
    </row>
    <row r="140" spans="2:16" x14ac:dyDescent="0.25">
      <c r="B140" s="6"/>
      <c r="C140" s="51" t="s">
        <v>174</v>
      </c>
      <c r="D140" s="41"/>
      <c r="E140" s="52">
        <f>E118+E123+E128+E133+E138</f>
        <v>213150</v>
      </c>
      <c r="F140" s="52">
        <f t="shared" ref="F140:K140" si="19">F118+F123+F128+F133+F138</f>
        <v>223807.5</v>
      </c>
      <c r="G140" s="52">
        <f t="shared" si="19"/>
        <v>234997.875</v>
      </c>
      <c r="H140" s="52">
        <f t="shared" si="19"/>
        <v>246747.76874999999</v>
      </c>
      <c r="I140" s="52">
        <f t="shared" si="19"/>
        <v>259085.15718749998</v>
      </c>
      <c r="J140" s="52">
        <f t="shared" si="19"/>
        <v>272039.41504687502</v>
      </c>
      <c r="K140" s="52">
        <f t="shared" si="19"/>
        <v>285641.38579921878</v>
      </c>
    </row>
    <row r="141" spans="2:16" x14ac:dyDescent="0.25">
      <c r="B141" s="6"/>
      <c r="C141" s="51" t="s">
        <v>175</v>
      </c>
      <c r="D141" s="41"/>
      <c r="E141" s="58">
        <f>E116+E121+E126+E131+E136</f>
        <v>4</v>
      </c>
      <c r="F141" s="58">
        <f t="shared" ref="F141:K141" si="20">F116+F121+F126+F131+F136</f>
        <v>4</v>
      </c>
      <c r="G141" s="58">
        <f t="shared" si="20"/>
        <v>4</v>
      </c>
      <c r="H141" s="58">
        <f t="shared" si="20"/>
        <v>4</v>
      </c>
      <c r="I141" s="58">
        <f t="shared" si="20"/>
        <v>4</v>
      </c>
      <c r="J141" s="58">
        <f t="shared" si="20"/>
        <v>4</v>
      </c>
      <c r="K141" s="58">
        <f t="shared" si="20"/>
        <v>4</v>
      </c>
    </row>
    <row r="142" spans="2:16" s="15" customFormat="1" x14ac:dyDescent="0.25">
      <c r="C142" s="16" t="s">
        <v>176</v>
      </c>
      <c r="D142" s="42"/>
      <c r="E142" s="18">
        <f t="shared" ref="E142:K142" si="21">IFERROR(E93/E141,0)</f>
        <v>19400</v>
      </c>
      <c r="F142" s="18">
        <f t="shared" si="21"/>
        <v>38888.5</v>
      </c>
      <c r="G142" s="18">
        <f t="shared" si="21"/>
        <v>74429.759999999995</v>
      </c>
      <c r="H142" s="18">
        <f t="shared" si="21"/>
        <v>134120.693</v>
      </c>
      <c r="I142" s="18">
        <f t="shared" si="21"/>
        <v>226721.32745600003</v>
      </c>
      <c r="J142" s="18">
        <f t="shared" si="21"/>
        <v>362969.62574267999</v>
      </c>
      <c r="K142" s="18">
        <f t="shared" si="21"/>
        <v>551946.23926859675</v>
      </c>
    </row>
    <row r="144" spans="2:16" ht="18.75" customHeight="1" x14ac:dyDescent="0.25">
      <c r="B144" s="3" t="s">
        <v>22</v>
      </c>
      <c r="C144" s="54" t="s">
        <v>177</v>
      </c>
      <c r="D144" s="30"/>
      <c r="E144" s="55"/>
      <c r="F144" s="55"/>
      <c r="G144" s="55"/>
      <c r="H144" s="55"/>
      <c r="I144" s="55"/>
      <c r="J144" s="55"/>
      <c r="K144" s="55"/>
      <c r="P144" t="s">
        <v>7</v>
      </c>
    </row>
    <row r="145" spans="2:14" ht="9.9499999999999993" customHeight="1" x14ac:dyDescent="0.25"/>
    <row r="146" spans="2:14" x14ac:dyDescent="0.25">
      <c r="B146" s="10"/>
      <c r="C146" s="11" t="s">
        <v>116</v>
      </c>
      <c r="D146" s="56"/>
      <c r="E146" s="141">
        <f>Hypothèses!$D$8</f>
        <v>2026</v>
      </c>
      <c r="F146" s="141">
        <f t="shared" ref="F146:K146" si="22">E146+1</f>
        <v>2027</v>
      </c>
      <c r="G146" s="141">
        <f t="shared" si="22"/>
        <v>2028</v>
      </c>
      <c r="H146" s="141">
        <f t="shared" si="22"/>
        <v>2029</v>
      </c>
      <c r="I146" s="141">
        <f t="shared" si="22"/>
        <v>2030</v>
      </c>
      <c r="J146" s="141">
        <f t="shared" si="22"/>
        <v>2031</v>
      </c>
      <c r="K146" s="141">
        <f t="shared" si="22"/>
        <v>2032</v>
      </c>
    </row>
    <row r="147" spans="2:14" ht="5.0999999999999996" customHeight="1" x14ac:dyDescent="0.25"/>
    <row r="148" spans="2:14" x14ac:dyDescent="0.25">
      <c r="B148" s="5"/>
      <c r="C148" s="48" t="s">
        <v>23</v>
      </c>
      <c r="D148" s="35"/>
      <c r="E148" s="47"/>
      <c r="F148" s="47"/>
      <c r="G148" s="47"/>
      <c r="H148" s="47"/>
      <c r="I148" s="47"/>
      <c r="J148" s="47"/>
      <c r="K148" s="47"/>
    </row>
    <row r="149" spans="2:14" x14ac:dyDescent="0.25">
      <c r="C149" s="14" t="s">
        <v>178</v>
      </c>
      <c r="E149" s="39">
        <v>24000</v>
      </c>
      <c r="F149" s="20">
        <f>E149*(1+Hypothèses!$D$39)</f>
        <v>24480</v>
      </c>
      <c r="G149" s="20">
        <f>F149*(1+Hypothèses!$D$39)</f>
        <v>24969.600000000002</v>
      </c>
      <c r="H149" s="20">
        <f>G149*(1+Hypothèses!$D$39)</f>
        <v>25468.992000000002</v>
      </c>
      <c r="I149" s="20">
        <f>H149*(1+Hypothèses!$D$39)</f>
        <v>25978.371840000003</v>
      </c>
      <c r="J149" s="20">
        <f>I149*(1+Hypothèses!$D$39)</f>
        <v>26497.939276800003</v>
      </c>
      <c r="K149" s="20">
        <f>J149*(1+Hypothèses!$D$39)</f>
        <v>27027.898062336004</v>
      </c>
    </row>
    <row r="150" spans="2:14" x14ac:dyDescent="0.25">
      <c r="C150" s="14" t="s">
        <v>179</v>
      </c>
      <c r="E150" s="39">
        <v>6000</v>
      </c>
      <c r="F150" s="39">
        <v>9000</v>
      </c>
      <c r="G150" s="39">
        <v>13000</v>
      </c>
      <c r="H150" s="39">
        <v>18000</v>
      </c>
      <c r="I150" s="39">
        <v>24000</v>
      </c>
      <c r="J150" s="39">
        <v>30000</v>
      </c>
      <c r="K150" s="39">
        <v>36000</v>
      </c>
    </row>
    <row r="151" spans="2:14" x14ac:dyDescent="0.25">
      <c r="C151" s="14" t="s">
        <v>180</v>
      </c>
      <c r="E151" s="39">
        <v>4000</v>
      </c>
      <c r="F151" s="39">
        <v>4000</v>
      </c>
      <c r="G151" s="39">
        <v>4000</v>
      </c>
      <c r="H151" s="39">
        <v>4000</v>
      </c>
      <c r="I151" s="39">
        <v>4000</v>
      </c>
      <c r="J151" s="39">
        <v>4000</v>
      </c>
      <c r="K151" s="39">
        <v>4000</v>
      </c>
    </row>
    <row r="152" spans="2:14" x14ac:dyDescent="0.25">
      <c r="C152" s="14"/>
      <c r="E152" s="39"/>
      <c r="F152" s="39"/>
      <c r="G152" s="39"/>
      <c r="H152" s="39"/>
      <c r="I152" s="39"/>
      <c r="J152" s="39"/>
      <c r="K152" s="39"/>
    </row>
    <row r="153" spans="2:14" x14ac:dyDescent="0.25">
      <c r="B153" s="5"/>
      <c r="C153" s="48" t="s">
        <v>24</v>
      </c>
      <c r="D153" s="35"/>
      <c r="E153" s="47"/>
      <c r="F153" s="47"/>
      <c r="G153" s="47"/>
      <c r="H153" s="47"/>
      <c r="I153" s="47"/>
      <c r="J153" s="47"/>
      <c r="K153" s="47"/>
    </row>
    <row r="154" spans="2:14" x14ac:dyDescent="0.25">
      <c r="C154" s="14" t="s">
        <v>181</v>
      </c>
      <c r="E154" s="39">
        <v>6000</v>
      </c>
      <c r="F154" s="39">
        <v>6000</v>
      </c>
      <c r="G154" s="39">
        <v>6000</v>
      </c>
      <c r="H154" s="39">
        <v>6000</v>
      </c>
      <c r="I154" s="39">
        <v>6000</v>
      </c>
      <c r="J154" s="39">
        <v>6000</v>
      </c>
      <c r="K154" s="39">
        <v>6000</v>
      </c>
    </row>
    <row r="155" spans="2:14" x14ac:dyDescent="0.25">
      <c r="C155" s="14" t="s">
        <v>182</v>
      </c>
      <c r="E155" s="39">
        <v>5000</v>
      </c>
      <c r="F155" s="39">
        <v>5000</v>
      </c>
      <c r="G155" s="39">
        <v>5000</v>
      </c>
      <c r="H155" s="39">
        <v>5000</v>
      </c>
      <c r="I155" s="39">
        <v>5000</v>
      </c>
      <c r="J155" s="39">
        <v>5000</v>
      </c>
      <c r="K155" s="39">
        <v>5000</v>
      </c>
    </row>
    <row r="156" spans="2:14" x14ac:dyDescent="0.25">
      <c r="C156" s="14" t="s">
        <v>183</v>
      </c>
      <c r="E156" s="39">
        <v>3000</v>
      </c>
      <c r="F156" s="39">
        <v>3000</v>
      </c>
      <c r="G156" s="39">
        <v>3000</v>
      </c>
      <c r="H156" s="39">
        <v>3000</v>
      </c>
      <c r="I156" s="39">
        <v>3000</v>
      </c>
      <c r="J156" s="39">
        <v>3000</v>
      </c>
      <c r="K156" s="39">
        <v>3000</v>
      </c>
    </row>
    <row r="157" spans="2:14" x14ac:dyDescent="0.25">
      <c r="C157" s="14" t="s">
        <v>184</v>
      </c>
      <c r="E157" s="39">
        <v>2000</v>
      </c>
      <c r="F157" s="39">
        <v>2000</v>
      </c>
      <c r="G157" s="39">
        <v>2000</v>
      </c>
      <c r="H157" s="39">
        <v>2000</v>
      </c>
      <c r="I157" s="39">
        <v>2000</v>
      </c>
      <c r="J157" s="39">
        <v>2000</v>
      </c>
      <c r="K157" s="39">
        <v>2000</v>
      </c>
    </row>
    <row r="158" spans="2:14" x14ac:dyDescent="0.25">
      <c r="C158" s="14"/>
      <c r="E158" s="39"/>
      <c r="F158" s="39"/>
      <c r="G158" s="39"/>
      <c r="H158" s="39"/>
      <c r="I158" s="39"/>
      <c r="J158" s="39"/>
      <c r="K158" s="39"/>
    </row>
    <row r="159" spans="2:14" x14ac:dyDescent="0.25">
      <c r="B159" s="5"/>
      <c r="C159" s="48" t="s">
        <v>25</v>
      </c>
      <c r="D159" s="35"/>
      <c r="E159" s="47"/>
      <c r="F159" s="47"/>
      <c r="G159" s="47"/>
      <c r="H159" s="47"/>
      <c r="I159" s="47"/>
      <c r="J159" s="47"/>
      <c r="K159" s="47"/>
      <c r="N159" t="s">
        <v>7</v>
      </c>
    </row>
    <row r="160" spans="2:14" x14ac:dyDescent="0.25">
      <c r="C160" s="14" t="s">
        <v>185</v>
      </c>
      <c r="E160" s="39">
        <v>8000</v>
      </c>
      <c r="F160" s="39">
        <v>12000</v>
      </c>
      <c r="G160" s="39">
        <v>18000</v>
      </c>
      <c r="H160" s="39">
        <v>25000</v>
      </c>
      <c r="I160" s="39">
        <v>32000</v>
      </c>
      <c r="J160" s="39">
        <v>40000</v>
      </c>
      <c r="K160" s="39">
        <v>48000</v>
      </c>
    </row>
    <row r="161" spans="2:16" s="15" customFormat="1" x14ac:dyDescent="0.25">
      <c r="C161" s="16" t="s">
        <v>186</v>
      </c>
      <c r="D161" s="42"/>
      <c r="E161" s="72">
        <f t="shared" ref="E161:K161" si="23">E55*$D$13+E76*$D$14+E90*$D$15</f>
        <v>20000</v>
      </c>
      <c r="F161" s="72">
        <f t="shared" si="23"/>
        <v>36000</v>
      </c>
      <c r="G161" s="72">
        <f t="shared" si="23"/>
        <v>60000</v>
      </c>
      <c r="H161" s="72">
        <f t="shared" si="23"/>
        <v>92000</v>
      </c>
      <c r="I161" s="72">
        <f t="shared" si="23"/>
        <v>132000</v>
      </c>
      <c r="J161" s="72">
        <f t="shared" si="23"/>
        <v>180000</v>
      </c>
      <c r="K161" s="72">
        <f t="shared" si="23"/>
        <v>232000</v>
      </c>
      <c r="P161" s="15" t="s">
        <v>7</v>
      </c>
    </row>
    <row r="162" spans="2:16" x14ac:dyDescent="0.25">
      <c r="C162" s="14"/>
      <c r="E162" s="39"/>
      <c r="F162" s="39"/>
      <c r="G162" s="39"/>
      <c r="H162" s="39"/>
      <c r="I162" s="39"/>
      <c r="J162" s="39"/>
      <c r="K162" s="39"/>
    </row>
    <row r="163" spans="2:16" x14ac:dyDescent="0.25">
      <c r="B163" s="5"/>
      <c r="C163" s="129" t="s">
        <v>187</v>
      </c>
      <c r="D163" s="128"/>
      <c r="E163" s="128"/>
      <c r="F163" s="128"/>
      <c r="G163" s="128"/>
      <c r="H163" s="128"/>
      <c r="I163" s="128"/>
      <c r="J163" s="128"/>
      <c r="K163" s="128"/>
    </row>
    <row r="164" spans="2:16" x14ac:dyDescent="0.25">
      <c r="C164" s="70" t="s">
        <v>163</v>
      </c>
      <c r="D164"/>
      <c r="E164" s="130">
        <v>1</v>
      </c>
      <c r="F164" s="130">
        <v>1</v>
      </c>
      <c r="G164" s="130">
        <v>1</v>
      </c>
      <c r="H164" s="130">
        <v>1</v>
      </c>
      <c r="I164" s="130">
        <v>1</v>
      </c>
      <c r="J164" s="130">
        <v>1</v>
      </c>
      <c r="K164" s="130">
        <v>1</v>
      </c>
    </row>
    <row r="165" spans="2:16" x14ac:dyDescent="0.25">
      <c r="C165" s="70" t="s">
        <v>188</v>
      </c>
      <c r="D165"/>
      <c r="E165" s="71">
        <v>40000</v>
      </c>
      <c r="F165" s="131">
        <f>E165*(1+Hypothèses!$D$42)</f>
        <v>44000</v>
      </c>
      <c r="G165" s="131">
        <f>F165*(1+Hypothèses!$D$42)</f>
        <v>48400.000000000007</v>
      </c>
      <c r="H165" s="131">
        <f>G165*(1+Hypothèses!$D$42)</f>
        <v>53240.000000000015</v>
      </c>
      <c r="I165" s="131">
        <f>H165*(1+Hypothèses!$D$42)</f>
        <v>58564.000000000022</v>
      </c>
      <c r="J165" s="131">
        <f>I165*(1+Hypothèses!$D$42)</f>
        <v>64420.400000000031</v>
      </c>
      <c r="K165" s="131">
        <f>J165*(1+Hypothèses!$D$42)</f>
        <v>70862.440000000046</v>
      </c>
    </row>
    <row r="166" spans="2:16" x14ac:dyDescent="0.25">
      <c r="C166" s="70" t="s">
        <v>189</v>
      </c>
      <c r="D166"/>
      <c r="E166" s="131">
        <f>E164*E165*Hypothèses!$D$31</f>
        <v>40000</v>
      </c>
      <c r="F166" s="131">
        <f>F164*F165*Hypothèses!$D$31</f>
        <v>44000</v>
      </c>
      <c r="G166" s="131">
        <f>G164*G165*Hypothèses!$D$31</f>
        <v>48400.000000000007</v>
      </c>
      <c r="H166" s="131">
        <f>H164*H165*Hypothèses!$D$31</f>
        <v>53240.000000000015</v>
      </c>
      <c r="I166" s="131">
        <f>I164*I165*Hypothèses!$D$31</f>
        <v>58564.000000000022</v>
      </c>
      <c r="J166" s="131">
        <f>J164*J165*Hypothèses!$D$31</f>
        <v>64420.400000000031</v>
      </c>
      <c r="K166" s="131">
        <f>K164*K165*Hypothèses!$D$31</f>
        <v>70862.440000000046</v>
      </c>
    </row>
    <row r="167" spans="2:16" x14ac:dyDescent="0.25">
      <c r="C167"/>
      <c r="D167"/>
      <c r="E167"/>
      <c r="F167"/>
      <c r="G167"/>
      <c r="H167"/>
      <c r="I167"/>
      <c r="J167"/>
      <c r="K167"/>
    </row>
    <row r="168" spans="2:16" x14ac:dyDescent="0.25">
      <c r="B168" s="5"/>
      <c r="C168" s="132" t="s">
        <v>39</v>
      </c>
      <c r="D168" s="128"/>
      <c r="E168" s="128"/>
      <c r="F168" s="128"/>
      <c r="G168" s="128"/>
      <c r="H168" s="128"/>
      <c r="I168" s="128"/>
      <c r="J168" s="128"/>
      <c r="K168" s="128"/>
    </row>
    <row r="169" spans="2:16" x14ac:dyDescent="0.25">
      <c r="C169" s="70" t="s">
        <v>163</v>
      </c>
      <c r="D169"/>
      <c r="E169" s="130">
        <v>0</v>
      </c>
      <c r="F169" s="130">
        <v>0</v>
      </c>
      <c r="G169" s="130">
        <v>0</v>
      </c>
      <c r="H169" s="130">
        <v>0</v>
      </c>
      <c r="I169" s="130">
        <v>0</v>
      </c>
      <c r="J169" s="130">
        <v>0</v>
      </c>
      <c r="K169" s="130">
        <v>0</v>
      </c>
    </row>
    <row r="170" spans="2:16" x14ac:dyDescent="0.25">
      <c r="C170" s="70" t="s">
        <v>188</v>
      </c>
      <c r="D170"/>
      <c r="E170" s="71">
        <v>60000</v>
      </c>
      <c r="F170" s="131">
        <f>E170*(1+Hypothèses!$D$41)</f>
        <v>63000</v>
      </c>
      <c r="G170" s="131">
        <f>F170*(1+Hypothèses!$D$41)</f>
        <v>66150</v>
      </c>
      <c r="H170" s="131">
        <f>G170*(1+Hypothèses!$D$41)</f>
        <v>69457.5</v>
      </c>
      <c r="I170" s="131">
        <f>H170*(1+Hypothèses!$D$41)</f>
        <v>72930.375</v>
      </c>
      <c r="J170" s="131">
        <f>I170*(1+Hypothèses!$D$41)</f>
        <v>76576.893750000003</v>
      </c>
      <c r="K170" s="131">
        <f>J170*(1+Hypothèses!$D$41)</f>
        <v>80405.738437500011</v>
      </c>
    </row>
    <row r="171" spans="2:16" x14ac:dyDescent="0.25">
      <c r="C171" s="70" t="s">
        <v>190</v>
      </c>
      <c r="D171"/>
      <c r="E171" s="131">
        <f>E169*E170*Hypothèses!$D$31</f>
        <v>0</v>
      </c>
      <c r="F171" s="131">
        <f>F169*F170*Hypothèses!$D$31</f>
        <v>0</v>
      </c>
      <c r="G171" s="131">
        <f>G169*G170*Hypothèses!$D$31</f>
        <v>0</v>
      </c>
      <c r="H171" s="131">
        <f>H169*H170*Hypothèses!$D$31</f>
        <v>0</v>
      </c>
      <c r="I171" s="131">
        <f>I169*I170*Hypothèses!$D$31</f>
        <v>0</v>
      </c>
      <c r="J171" s="131">
        <f>J169*J170*Hypothèses!$D$31</f>
        <v>0</v>
      </c>
      <c r="K171" s="131">
        <f>K169*K170*Hypothèses!$D$31</f>
        <v>0</v>
      </c>
    </row>
    <row r="172" spans="2:16" x14ac:dyDescent="0.25">
      <c r="C172"/>
      <c r="D172"/>
      <c r="E172"/>
      <c r="F172"/>
      <c r="G172"/>
      <c r="H172"/>
      <c r="I172"/>
      <c r="J172"/>
      <c r="K172"/>
    </row>
    <row r="173" spans="2:16" x14ac:dyDescent="0.25">
      <c r="B173" s="5"/>
      <c r="C173" s="132" t="s">
        <v>191</v>
      </c>
      <c r="D173" s="128"/>
      <c r="E173" s="128"/>
      <c r="F173" s="128"/>
      <c r="G173" s="128"/>
      <c r="H173" s="128"/>
      <c r="I173" s="128"/>
      <c r="J173" s="128"/>
      <c r="K173" s="128"/>
    </row>
    <row r="174" spans="2:16" x14ac:dyDescent="0.25">
      <c r="C174" s="70" t="s">
        <v>163</v>
      </c>
      <c r="D174"/>
      <c r="E174" s="130">
        <v>0</v>
      </c>
      <c r="F174" s="130">
        <v>0</v>
      </c>
      <c r="G174" s="130">
        <v>0</v>
      </c>
      <c r="H174" s="130">
        <v>0</v>
      </c>
      <c r="I174" s="130">
        <v>0</v>
      </c>
      <c r="J174" s="130">
        <v>0</v>
      </c>
      <c r="K174" s="130">
        <v>0</v>
      </c>
    </row>
    <row r="175" spans="2:16" x14ac:dyDescent="0.25">
      <c r="C175" s="70" t="s">
        <v>188</v>
      </c>
      <c r="D175"/>
      <c r="E175" s="71">
        <v>50000</v>
      </c>
      <c r="F175" s="131">
        <f>E175*(1+Hypothèses!$D$41)</f>
        <v>52500</v>
      </c>
      <c r="G175" s="131">
        <f>F175*(1+Hypothèses!$D$41)</f>
        <v>55125</v>
      </c>
      <c r="H175" s="131">
        <f>G175*(1+Hypothèses!$D$41)</f>
        <v>57881.25</v>
      </c>
      <c r="I175" s="131">
        <f>H175*(1+Hypothèses!$D$41)</f>
        <v>60775.3125</v>
      </c>
      <c r="J175" s="131">
        <f>I175*(1+Hypothèses!$D$41)</f>
        <v>63814.078125</v>
      </c>
      <c r="K175" s="131">
        <f>J175*(1+Hypothèses!$D$41)</f>
        <v>67004.782031249997</v>
      </c>
    </row>
    <row r="176" spans="2:16" x14ac:dyDescent="0.25">
      <c r="C176" s="70" t="s">
        <v>192</v>
      </c>
      <c r="D176"/>
      <c r="E176" s="131">
        <f>E174*E175*Hypothèses!$D$31</f>
        <v>0</v>
      </c>
      <c r="F176" s="131">
        <f>F174*F175*Hypothèses!$D$31</f>
        <v>0</v>
      </c>
      <c r="G176" s="131">
        <f>G174*G175*Hypothèses!$D$31</f>
        <v>0</v>
      </c>
      <c r="H176" s="131">
        <f>H174*H175*Hypothèses!$D$31</f>
        <v>0</v>
      </c>
      <c r="I176" s="131">
        <f>I174*I175*Hypothèses!$D$31</f>
        <v>0</v>
      </c>
      <c r="J176" s="131">
        <f>J174*J175*Hypothèses!$D$31</f>
        <v>0</v>
      </c>
      <c r="K176" s="131">
        <f>K174*K175*Hypothèses!$D$31</f>
        <v>0</v>
      </c>
    </row>
    <row r="177" spans="2:11" x14ac:dyDescent="0.25">
      <c r="C177"/>
      <c r="D177"/>
      <c r="E177"/>
      <c r="F177"/>
      <c r="G177"/>
      <c r="H177"/>
      <c r="I177"/>
      <c r="J177"/>
      <c r="K177"/>
    </row>
    <row r="178" spans="2:11" x14ac:dyDescent="0.25">
      <c r="B178" s="5"/>
      <c r="C178" s="48" t="s">
        <v>193</v>
      </c>
      <c r="D178" s="35"/>
      <c r="E178" s="47"/>
      <c r="F178" s="47"/>
      <c r="G178" s="47"/>
      <c r="H178" s="47"/>
      <c r="I178" s="47"/>
      <c r="J178" s="47"/>
      <c r="K178" s="47"/>
    </row>
    <row r="179" spans="2:11" x14ac:dyDescent="0.25">
      <c r="C179" s="14" t="s">
        <v>194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</row>
    <row r="180" spans="2:11" x14ac:dyDescent="0.25">
      <c r="C180" s="14" t="s">
        <v>195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</row>
    <row r="181" spans="2:11" x14ac:dyDescent="0.25">
      <c r="C181" s="14"/>
      <c r="E181" s="39"/>
      <c r="F181" s="39"/>
      <c r="G181" s="39"/>
      <c r="H181" s="39"/>
      <c r="I181" s="39"/>
      <c r="J181" s="39"/>
      <c r="K181" s="39"/>
    </row>
    <row r="182" spans="2:11" x14ac:dyDescent="0.25">
      <c r="B182" s="6"/>
      <c r="C182" s="51" t="s">
        <v>26</v>
      </c>
      <c r="D182" s="41"/>
      <c r="E182" s="52">
        <f>(E149+E150+E151+E154+E155+E156+E157+E160+E179+E180)*Hypothèses!$D$31+E161+E166+E171+E176</f>
        <v>118000</v>
      </c>
      <c r="F182" s="52">
        <f>(F149+F150+F151+F154+F155+F156+F157+F160+F179+F180)*Hypothèses!$D$31+F161+F166+F171+F176</f>
        <v>145480</v>
      </c>
      <c r="G182" s="52">
        <f>(G149+G150+G151+G154+G155+G156+G157+G160+G179+G180)*Hypothèses!$D$31+G161+G166+G171+G176</f>
        <v>184369.6</v>
      </c>
      <c r="H182" s="52">
        <f>(H149+H150+H151+H154+H155+H156+H157+H160+H179+H180)*Hypothèses!$D$31+H161+H166+H171+H176</f>
        <v>233708.99200000003</v>
      </c>
      <c r="I182" s="52">
        <f>(I149+I150+I151+I154+I155+I156+I157+I160+I179+I180)*Hypothèses!$D$31+I161+I166+I171+I176</f>
        <v>292542.37184000004</v>
      </c>
      <c r="J182" s="52">
        <f>(J149+J150+J151+J154+J155+J156+J157+J160+J179+J180)*Hypothèses!$D$31+J161+J166+J171+J176</f>
        <v>360918.33927680005</v>
      </c>
      <c r="K182" s="52">
        <f>(K149+K150+K151+K154+K155+K156+K157+K160+K179+K180)*Hypothèses!$D$31+K161+K166+K171+K176</f>
        <v>433890.33806233609</v>
      </c>
    </row>
    <row r="183" spans="2:11" s="19" customFormat="1" x14ac:dyDescent="0.25">
      <c r="C183" s="92" t="s">
        <v>196</v>
      </c>
      <c r="D183" s="133"/>
      <c r="E183" s="21">
        <f t="shared" ref="E183:K183" si="24">IFERROR(E182/E93,0)</f>
        <v>1.5206185567010309</v>
      </c>
      <c r="F183" s="21">
        <f t="shared" si="24"/>
        <v>0.93523792380780946</v>
      </c>
      <c r="G183" s="21">
        <f t="shared" si="24"/>
        <v>0.61927379585800091</v>
      </c>
      <c r="H183" s="21">
        <f t="shared" si="24"/>
        <v>0.43563186778344493</v>
      </c>
      <c r="I183" s="21">
        <f t="shared" si="24"/>
        <v>0.32257923760698465</v>
      </c>
      <c r="J183" s="21">
        <f t="shared" si="24"/>
        <v>0.24858715005306384</v>
      </c>
      <c r="K183" s="21">
        <f t="shared" si="24"/>
        <v>0.19652744560652291</v>
      </c>
    </row>
    <row r="185" spans="2:11" ht="18.75" customHeight="1" x14ac:dyDescent="0.25">
      <c r="B185" s="3" t="s">
        <v>27</v>
      </c>
      <c r="C185" s="54" t="s">
        <v>197</v>
      </c>
      <c r="D185" s="30"/>
      <c r="E185" s="55"/>
      <c r="F185" s="55"/>
      <c r="G185" s="55"/>
      <c r="H185" s="55"/>
      <c r="I185" s="55"/>
      <c r="J185" s="55"/>
      <c r="K185" s="55"/>
    </row>
    <row r="186" spans="2:11" ht="9.9499999999999993" customHeight="1" x14ac:dyDescent="0.25"/>
    <row r="187" spans="2:11" x14ac:dyDescent="0.25">
      <c r="B187" s="10"/>
      <c r="C187" s="11" t="s">
        <v>116</v>
      </c>
      <c r="D187" s="56"/>
      <c r="E187" s="141">
        <f>Hypothèses!$D$8</f>
        <v>2026</v>
      </c>
      <c r="F187" s="141">
        <f t="shared" ref="F187:K187" si="25">E187+1</f>
        <v>2027</v>
      </c>
      <c r="G187" s="141">
        <f t="shared" si="25"/>
        <v>2028</v>
      </c>
      <c r="H187" s="141">
        <f t="shared" si="25"/>
        <v>2029</v>
      </c>
      <c r="I187" s="141">
        <f t="shared" si="25"/>
        <v>2030</v>
      </c>
      <c r="J187" s="141">
        <f t="shared" si="25"/>
        <v>2031</v>
      </c>
      <c r="K187" s="141">
        <f t="shared" si="25"/>
        <v>2032</v>
      </c>
    </row>
    <row r="188" spans="2:11" ht="5.0999999999999996" customHeight="1" x14ac:dyDescent="0.25"/>
    <row r="189" spans="2:11" x14ac:dyDescent="0.25">
      <c r="C189" s="61" t="s">
        <v>198</v>
      </c>
      <c r="D189" s="127" t="s">
        <v>199</v>
      </c>
    </row>
    <row r="190" spans="2:11" x14ac:dyDescent="0.25">
      <c r="C190" s="14" t="s">
        <v>200</v>
      </c>
      <c r="D190" s="32">
        <v>5</v>
      </c>
      <c r="E190" s="39">
        <v>15000</v>
      </c>
      <c r="F190" s="39">
        <v>12000</v>
      </c>
      <c r="G190" s="39">
        <v>15000</v>
      </c>
      <c r="H190" s="39">
        <v>18000</v>
      </c>
      <c r="I190" s="39">
        <v>20000</v>
      </c>
      <c r="J190" s="39">
        <v>22000</v>
      </c>
      <c r="K190" s="39">
        <v>24000</v>
      </c>
    </row>
    <row r="191" spans="2:11" x14ac:dyDescent="0.25">
      <c r="C191" s="14" t="s">
        <v>201</v>
      </c>
      <c r="D191" s="32">
        <v>5</v>
      </c>
      <c r="E191" s="39">
        <v>10000</v>
      </c>
      <c r="F191" s="39">
        <v>5000</v>
      </c>
      <c r="G191" s="39">
        <v>5000</v>
      </c>
      <c r="H191" s="39">
        <v>8000</v>
      </c>
      <c r="I191" s="39">
        <v>5000</v>
      </c>
      <c r="J191" s="39">
        <v>5000</v>
      </c>
      <c r="K191" s="39">
        <v>5000</v>
      </c>
    </row>
    <row r="192" spans="2:11" x14ac:dyDescent="0.25">
      <c r="C192" s="14" t="s">
        <v>202</v>
      </c>
      <c r="D192" s="32">
        <v>10</v>
      </c>
      <c r="E192" s="39">
        <v>40000</v>
      </c>
      <c r="F192" s="39">
        <v>30000</v>
      </c>
      <c r="G192" s="39">
        <v>30000</v>
      </c>
      <c r="H192" s="39">
        <v>40000</v>
      </c>
      <c r="I192" s="39">
        <v>40000</v>
      </c>
      <c r="J192" s="39">
        <v>40000</v>
      </c>
      <c r="K192" s="39">
        <v>40000</v>
      </c>
    </row>
    <row r="193" spans="2:11" x14ac:dyDescent="0.25">
      <c r="C193" s="14" t="s">
        <v>203</v>
      </c>
      <c r="D193" s="32">
        <v>20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</row>
    <row r="194" spans="2:11" x14ac:dyDescent="0.25">
      <c r="B194" s="6"/>
      <c r="C194" s="51" t="s">
        <v>28</v>
      </c>
      <c r="D194" s="41"/>
      <c r="E194" s="52">
        <f t="shared" ref="E194:K194" si="26">E190+E191+E192+E193</f>
        <v>65000</v>
      </c>
      <c r="F194" s="52">
        <f t="shared" si="26"/>
        <v>47000</v>
      </c>
      <c r="G194" s="52">
        <f t="shared" si="26"/>
        <v>50000</v>
      </c>
      <c r="H194" s="52">
        <f t="shared" si="26"/>
        <v>66000</v>
      </c>
      <c r="I194" s="52">
        <f t="shared" si="26"/>
        <v>65000</v>
      </c>
      <c r="J194" s="52">
        <f t="shared" si="26"/>
        <v>67000</v>
      </c>
      <c r="K194" s="52">
        <f t="shared" si="26"/>
        <v>69000</v>
      </c>
    </row>
    <row r="196" spans="2:11" ht="18.75" customHeight="1" x14ac:dyDescent="0.25">
      <c r="B196" s="3" t="s">
        <v>29</v>
      </c>
      <c r="C196" s="54" t="s">
        <v>204</v>
      </c>
      <c r="D196" s="30"/>
      <c r="E196" s="55"/>
      <c r="F196" s="55"/>
      <c r="G196" s="55"/>
      <c r="H196" s="55"/>
      <c r="I196" s="55"/>
      <c r="J196" s="55"/>
      <c r="K196" s="55"/>
    </row>
    <row r="197" spans="2:11" ht="9.9499999999999993" customHeight="1" x14ac:dyDescent="0.25"/>
    <row r="198" spans="2:11" x14ac:dyDescent="0.25">
      <c r="B198" s="10"/>
      <c r="C198" s="11" t="s">
        <v>116</v>
      </c>
      <c r="D198" s="56"/>
      <c r="E198" s="141">
        <f>Hypothèses!$D$8</f>
        <v>2026</v>
      </c>
      <c r="F198" s="141">
        <f t="shared" ref="F198:K198" si="27">E198+1</f>
        <v>2027</v>
      </c>
      <c r="G198" s="141">
        <f t="shared" si="27"/>
        <v>2028</v>
      </c>
      <c r="H198" s="141">
        <f t="shared" si="27"/>
        <v>2029</v>
      </c>
      <c r="I198" s="141">
        <f t="shared" si="27"/>
        <v>2030</v>
      </c>
      <c r="J198" s="141">
        <f t="shared" si="27"/>
        <v>2031</v>
      </c>
      <c r="K198" s="141">
        <f t="shared" si="27"/>
        <v>2032</v>
      </c>
    </row>
    <row r="199" spans="2:11" ht="5.0999999999999996" customHeight="1" x14ac:dyDescent="0.25"/>
    <row r="200" spans="2:11" x14ac:dyDescent="0.25">
      <c r="B200" s="5"/>
      <c r="C200" s="48" t="s">
        <v>205</v>
      </c>
      <c r="D200" s="35"/>
      <c r="E200" s="47"/>
      <c r="F200" s="47"/>
      <c r="G200" s="47"/>
      <c r="H200" s="47"/>
      <c r="I200" s="47"/>
      <c r="J200" s="47"/>
      <c r="K200" s="47"/>
    </row>
    <row r="201" spans="2:11" x14ac:dyDescent="0.25">
      <c r="C201" s="14" t="s">
        <v>206</v>
      </c>
      <c r="E201" s="39">
        <v>250000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</row>
    <row r="203" spans="2:11" x14ac:dyDescent="0.25">
      <c r="B203" s="5"/>
      <c r="C203" s="48" t="s">
        <v>207</v>
      </c>
      <c r="D203" s="35"/>
      <c r="E203" s="47"/>
      <c r="F203" s="47"/>
      <c r="G203" s="47"/>
      <c r="H203" s="47"/>
      <c r="I203" s="47"/>
      <c r="J203" s="47"/>
      <c r="K203" s="47"/>
    </row>
    <row r="204" spans="2:11" x14ac:dyDescent="0.25">
      <c r="C204" s="59" t="s">
        <v>208</v>
      </c>
      <c r="D204" s="39">
        <v>150000</v>
      </c>
    </row>
    <row r="205" spans="2:11" x14ac:dyDescent="0.25">
      <c r="C205" s="59" t="s">
        <v>209</v>
      </c>
      <c r="D205" s="32">
        <v>2026</v>
      </c>
    </row>
    <row r="206" spans="2:11" x14ac:dyDescent="0.25">
      <c r="C206" s="59" t="s">
        <v>210</v>
      </c>
      <c r="D206" s="32">
        <v>5</v>
      </c>
    </row>
    <row r="207" spans="2:11" x14ac:dyDescent="0.25">
      <c r="C207" s="59" t="s">
        <v>211</v>
      </c>
      <c r="D207" s="37">
        <v>0.04</v>
      </c>
    </row>
    <row r="208" spans="2:11" x14ac:dyDescent="0.25">
      <c r="C208" s="59" t="s">
        <v>212</v>
      </c>
      <c r="D208" s="31" t="s">
        <v>227</v>
      </c>
    </row>
    <row r="209" spans="2:11" x14ac:dyDescent="0.25">
      <c r="C209" s="59" t="s">
        <v>213</v>
      </c>
      <c r="D209" s="32">
        <v>0</v>
      </c>
    </row>
    <row r="211" spans="2:11" x14ac:dyDescent="0.25">
      <c r="B211" s="5"/>
      <c r="C211" s="48" t="s">
        <v>214</v>
      </c>
      <c r="D211" s="35"/>
      <c r="E211" s="47"/>
      <c r="F211" s="47"/>
      <c r="G211" s="47"/>
      <c r="H211" s="47"/>
      <c r="I211" s="47"/>
      <c r="J211" s="47"/>
      <c r="K211" s="47"/>
    </row>
    <row r="212" spans="2:11" x14ac:dyDescent="0.25">
      <c r="C212" s="59" t="s">
        <v>208</v>
      </c>
      <c r="D212" s="39">
        <v>0</v>
      </c>
    </row>
    <row r="213" spans="2:11" x14ac:dyDescent="0.25">
      <c r="C213" s="59" t="s">
        <v>209</v>
      </c>
      <c r="D213" s="32">
        <v>2027</v>
      </c>
    </row>
    <row r="214" spans="2:11" x14ac:dyDescent="0.25">
      <c r="C214" s="59" t="s">
        <v>210</v>
      </c>
      <c r="D214" s="32">
        <v>5</v>
      </c>
    </row>
    <row r="215" spans="2:11" x14ac:dyDescent="0.25">
      <c r="C215" s="59" t="s">
        <v>211</v>
      </c>
      <c r="D215" s="37">
        <v>0.05</v>
      </c>
    </row>
    <row r="216" spans="2:11" x14ac:dyDescent="0.25">
      <c r="C216" s="59" t="s">
        <v>212</v>
      </c>
      <c r="D216" s="31" t="s">
        <v>228</v>
      </c>
    </row>
    <row r="217" spans="2:11" x14ac:dyDescent="0.25">
      <c r="C217" s="59" t="s">
        <v>213</v>
      </c>
      <c r="D217" s="32">
        <v>1</v>
      </c>
    </row>
    <row r="219" spans="2:11" x14ac:dyDescent="0.25">
      <c r="B219" s="5"/>
      <c r="C219" s="48" t="s">
        <v>215</v>
      </c>
      <c r="D219" s="35"/>
      <c r="E219" s="47"/>
      <c r="F219" s="47"/>
      <c r="G219" s="47"/>
      <c r="H219" s="47"/>
      <c r="I219" s="47"/>
      <c r="J219" s="47"/>
      <c r="K219" s="47"/>
    </row>
    <row r="220" spans="2:11" x14ac:dyDescent="0.25">
      <c r="C220" s="59" t="s">
        <v>208</v>
      </c>
      <c r="D220" s="39">
        <v>0</v>
      </c>
    </row>
    <row r="221" spans="2:11" x14ac:dyDescent="0.25">
      <c r="C221" s="59" t="s">
        <v>209</v>
      </c>
      <c r="D221" s="32">
        <v>2028</v>
      </c>
    </row>
    <row r="222" spans="2:11" x14ac:dyDescent="0.25">
      <c r="C222" s="59" t="s">
        <v>210</v>
      </c>
      <c r="D222" s="32">
        <v>3</v>
      </c>
    </row>
    <row r="223" spans="2:11" x14ac:dyDescent="0.25">
      <c r="C223" s="59" t="s">
        <v>211</v>
      </c>
      <c r="D223" s="37">
        <v>0.06</v>
      </c>
    </row>
    <row r="224" spans="2:11" x14ac:dyDescent="0.25">
      <c r="C224" s="59" t="s">
        <v>212</v>
      </c>
      <c r="D224" s="31" t="s">
        <v>227</v>
      </c>
    </row>
    <row r="225" spans="2:14" x14ac:dyDescent="0.25">
      <c r="C225" s="59" t="s">
        <v>213</v>
      </c>
      <c r="D225" s="32">
        <v>0</v>
      </c>
    </row>
    <row r="227" spans="2:14" x14ac:dyDescent="0.25">
      <c r="B227" s="5"/>
      <c r="C227" s="48" t="s">
        <v>216</v>
      </c>
      <c r="D227" s="35"/>
      <c r="E227" s="47"/>
      <c r="F227" s="47"/>
      <c r="G227" s="47"/>
      <c r="H227" s="47"/>
      <c r="I227" s="47"/>
      <c r="J227" s="47"/>
      <c r="K227" s="47"/>
    </row>
    <row r="228" spans="2:14" x14ac:dyDescent="0.25">
      <c r="C228" s="59" t="s">
        <v>208</v>
      </c>
      <c r="D228" s="39">
        <v>0</v>
      </c>
    </row>
    <row r="229" spans="2:14" x14ac:dyDescent="0.25">
      <c r="C229" s="59" t="s">
        <v>209</v>
      </c>
      <c r="D229" s="32">
        <v>2029</v>
      </c>
    </row>
    <row r="230" spans="2:14" x14ac:dyDescent="0.25">
      <c r="C230" s="59" t="s">
        <v>210</v>
      </c>
      <c r="D230" s="32">
        <v>5</v>
      </c>
      <c r="N230" t="s">
        <v>7</v>
      </c>
    </row>
    <row r="231" spans="2:14" x14ac:dyDescent="0.25">
      <c r="C231" s="59" t="s">
        <v>211</v>
      </c>
      <c r="D231" s="37">
        <v>0.05</v>
      </c>
    </row>
    <row r="232" spans="2:14" x14ac:dyDescent="0.25">
      <c r="C232" s="59" t="s">
        <v>212</v>
      </c>
      <c r="D232" s="31" t="s">
        <v>229</v>
      </c>
    </row>
    <row r="233" spans="2:14" x14ac:dyDescent="0.25">
      <c r="C233" s="59" t="s">
        <v>213</v>
      </c>
      <c r="D233" s="32">
        <v>0</v>
      </c>
    </row>
    <row r="235" spans="2:14" ht="18.75" customHeight="1" x14ac:dyDescent="0.25">
      <c r="B235" s="3" t="s">
        <v>30</v>
      </c>
      <c r="C235" s="54" t="s">
        <v>217</v>
      </c>
      <c r="D235" s="30"/>
      <c r="E235" s="55"/>
      <c r="F235" s="55"/>
      <c r="G235" s="55"/>
      <c r="H235" s="55"/>
      <c r="I235" s="55"/>
      <c r="J235" s="55"/>
      <c r="K235" s="55"/>
    </row>
    <row r="236" spans="2:14" ht="9.9499999999999993" customHeight="1" x14ac:dyDescent="0.25"/>
    <row r="237" spans="2:14" x14ac:dyDescent="0.25">
      <c r="B237" s="10"/>
      <c r="C237" s="11" t="s">
        <v>116</v>
      </c>
      <c r="D237" s="56"/>
      <c r="E237" s="141">
        <f>Hypothèses!$D$8</f>
        <v>2026</v>
      </c>
      <c r="F237" s="141">
        <f t="shared" ref="F237:K237" si="28">E237+1</f>
        <v>2027</v>
      </c>
      <c r="G237" s="141">
        <f t="shared" si="28"/>
        <v>2028</v>
      </c>
      <c r="H237" s="141">
        <f t="shared" si="28"/>
        <v>2029</v>
      </c>
      <c r="I237" s="141">
        <f t="shared" si="28"/>
        <v>2030</v>
      </c>
      <c r="J237" s="141">
        <f t="shared" si="28"/>
        <v>2031</v>
      </c>
      <c r="K237" s="141">
        <f t="shared" si="28"/>
        <v>2032</v>
      </c>
    </row>
    <row r="238" spans="2:14" ht="5.0999999999999996" customHeight="1" x14ac:dyDescent="0.25"/>
    <row r="239" spans="2:14" x14ac:dyDescent="0.25">
      <c r="C239" s="14" t="s">
        <v>218</v>
      </c>
      <c r="D239" s="46" t="str">
        <f>$D$16</f>
        <v>Non</v>
      </c>
    </row>
    <row r="240" spans="2:14" x14ac:dyDescent="0.25">
      <c r="C240" s="14" t="s">
        <v>219</v>
      </c>
      <c r="E240" s="60">
        <v>45</v>
      </c>
      <c r="F240" s="60">
        <v>45</v>
      </c>
      <c r="G240" s="60">
        <v>45</v>
      </c>
      <c r="H240" s="60">
        <v>45</v>
      </c>
      <c r="I240" s="60">
        <v>45</v>
      </c>
      <c r="J240" s="60">
        <v>45</v>
      </c>
      <c r="K240" s="60">
        <v>45</v>
      </c>
    </row>
    <row r="241" spans="2:11" x14ac:dyDescent="0.25">
      <c r="C241" s="14" t="s">
        <v>220</v>
      </c>
      <c r="E241" s="60">
        <v>30</v>
      </c>
      <c r="F241" s="60">
        <v>30</v>
      </c>
      <c r="G241" s="60">
        <v>30</v>
      </c>
      <c r="H241" s="60">
        <v>30</v>
      </c>
      <c r="I241" s="60">
        <v>30</v>
      </c>
      <c r="J241" s="60">
        <v>30</v>
      </c>
      <c r="K241" s="60">
        <v>30</v>
      </c>
    </row>
    <row r="242" spans="2:11" x14ac:dyDescent="0.25">
      <c r="C242" s="14" t="s">
        <v>221</v>
      </c>
      <c r="E242" s="60">
        <v>60</v>
      </c>
      <c r="F242" s="60">
        <v>60</v>
      </c>
      <c r="G242" s="60">
        <v>60</v>
      </c>
      <c r="H242" s="60">
        <v>60</v>
      </c>
      <c r="I242" s="60">
        <v>60</v>
      </c>
      <c r="J242" s="60">
        <v>60</v>
      </c>
      <c r="K242" s="60">
        <v>60</v>
      </c>
    </row>
    <row r="244" spans="2:11" ht="18.75" customHeight="1" x14ac:dyDescent="0.25">
      <c r="B244" s="43"/>
      <c r="C244" s="44" t="s">
        <v>222</v>
      </c>
      <c r="D244" s="45"/>
      <c r="E244" s="10"/>
      <c r="F244" s="10"/>
      <c r="G244" s="10"/>
      <c r="H244" s="10"/>
      <c r="I244" s="10"/>
      <c r="J244" s="10"/>
      <c r="K244" s="10"/>
    </row>
    <row r="247" spans="2:11" x14ac:dyDescent="0.25">
      <c r="C247" s="13" t="s">
        <v>7</v>
      </c>
      <c r="D247" s="29" t="s">
        <v>7</v>
      </c>
    </row>
  </sheetData>
  <conditionalFormatting sqref="B241 D241:K241">
    <cfRule type="expression" dxfId="15" priority="21">
      <formula>$D$16="No"</formula>
    </cfRule>
  </conditionalFormatting>
  <conditionalFormatting sqref="C17:D19">
    <cfRule type="expression" dxfId="14" priority="20">
      <formula>$D$10&lt;&gt;"Hybrid (multiple streams)"</formula>
    </cfRule>
  </conditionalFormatting>
  <conditionalFormatting sqref="D54:K68">
    <cfRule type="expression" dxfId="13" priority="22">
      <formula>$D$13=0</formula>
    </cfRule>
  </conditionalFormatting>
  <conditionalFormatting sqref="D69:K69">
    <cfRule type="expression" dxfId="12" priority="24">
      <formula>$D$13=0</formula>
    </cfRule>
  </conditionalFormatting>
  <conditionalFormatting sqref="D71:K72">
    <cfRule type="expression" dxfId="11" priority="23">
      <formula>$D$13=0</formula>
    </cfRule>
  </conditionalFormatting>
  <conditionalFormatting sqref="E75:K83">
    <cfRule type="expression" dxfId="10" priority="25">
      <formula>$D$14=0</formula>
    </cfRule>
  </conditionalFormatting>
  <conditionalFormatting sqref="E84:K84">
    <cfRule type="expression" dxfId="9" priority="26">
      <formula>$D$14=0</formula>
    </cfRule>
  </conditionalFormatting>
  <conditionalFormatting sqref="E87:K90">
    <cfRule type="expression" dxfId="8" priority="27">
      <formula>$D$15=0</formula>
    </cfRule>
  </conditionalFormatting>
  <conditionalFormatting sqref="E91:K91">
    <cfRule type="expression" dxfId="7" priority="28">
      <formula>$D$15=0</formula>
    </cfRule>
  </conditionalFormatting>
  <conditionalFormatting sqref="E100:K101">
    <cfRule type="expression" dxfId="6" priority="32">
      <formula>$D$13=0</formula>
    </cfRule>
  </conditionalFormatting>
  <conditionalFormatting sqref="E102:K103">
    <cfRule type="expression" dxfId="5" priority="33">
      <formula>$D$14=0</formula>
    </cfRule>
  </conditionalFormatting>
  <conditionalFormatting sqref="E104:K105">
    <cfRule type="expression" dxfId="4" priority="34">
      <formula>$D$15=0</formula>
    </cfRule>
  </conditionalFormatting>
  <dataValidations count="5">
    <dataValidation type="list" sqref="D36" xr:uid="{00000000-0002-0000-0100-000003000000}">
      <formula1>"ISOC,IPP"</formula1>
      <formula2>0</formula2>
    </dataValidation>
    <dataValidation type="list" allowBlank="1" showInputMessage="1" showErrorMessage="1" sqref="D10" xr:uid="{E0891838-1CAA-40E2-858B-FC6ABF5ECA39}">
      <formula1>"SaaS / Abonnement,Place de marché / Transactionnel,Produit / E-commerce,Services / Conseil,Hybride (flux multiples)"</formula1>
    </dataValidation>
    <dataValidation type="list" allowBlank="1" showInputMessage="1" showErrorMessage="1" sqref="D23" xr:uid="{ACAB2664-8460-4F67-8A20-B2197902E8E5}">
      <formula1>"Base,Optimiste,Prudent"</formula1>
    </dataValidation>
    <dataValidation type="list" allowBlank="1" showInputMessage="1" showErrorMessage="1" sqref="D38 D17 D18 D19" xr:uid="{8C4BE32A-AB15-492D-85EA-6A24A500871F}">
      <formula1>"Oui,Non"</formula1>
    </dataValidation>
    <dataValidation type="list" allowBlank="1" showInputMessage="1" showErrorMessage="1" sqref="D208 D216 D224 D232" xr:uid="{7FF31896-3B5A-49BA-9485-8A556073FD78}">
      <formula1>"Linéaire,Annuité,In fine"</formula1>
    </dataValidation>
  </dataValidations>
  <pageMargins left="0.75" right="0.75" top="1" bottom="1" header="0.511811023622047" footer="0.511811023622047"/>
  <pageSetup paperSize="9" orientation="portrait" horizontalDpi="300" verticalDpi="300"/>
  <ignoredErrors>
    <ignoredError sqref="B5 B49 B96 B144 B185 B196 B235 B1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9.9978637043366805E-2"/>
  </sheetPr>
  <dimension ref="A2"/>
  <sheetViews>
    <sheetView showGridLines="0" zoomScale="74" zoomScaleNormal="100" workbookViewId="0">
      <selection activeCell="O37" sqref="O37"/>
    </sheetView>
  </sheetViews>
  <sheetFormatPr defaultColWidth="8.7109375" defaultRowHeight="15" x14ac:dyDescent="0.25"/>
  <cols>
    <col min="3" max="3" width="70" customWidth="1"/>
  </cols>
  <sheetData>
    <row r="2" ht="21.75" customHeight="1" x14ac:dyDescent="0.25"/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9.9978637043366805E-2"/>
  </sheetPr>
  <dimension ref="B5:S100"/>
  <sheetViews>
    <sheetView showGridLines="0" tabSelected="1" topLeftCell="A62" zoomScale="85" zoomScaleNormal="85" workbookViewId="0">
      <selection activeCell="L82" sqref="L82"/>
    </sheetView>
  </sheetViews>
  <sheetFormatPr defaultColWidth="8.7109375" defaultRowHeight="15" outlineLevelRow="1" x14ac:dyDescent="0.25"/>
  <cols>
    <col min="1" max="1" width="2.42578125" customWidth="1"/>
    <col min="2" max="2" width="5" customWidth="1"/>
    <col min="3" max="3" width="46" customWidth="1"/>
    <col min="4" max="4" width="13" customWidth="1"/>
    <col min="5" max="11" width="13.42578125" customWidth="1"/>
    <col min="12" max="12" width="44" customWidth="1"/>
  </cols>
  <sheetData>
    <row r="5" spans="2:12" ht="18.75" customHeight="1" x14ac:dyDescent="0.25">
      <c r="B5" s="3" t="s">
        <v>18</v>
      </c>
      <c r="C5" s="73" t="s">
        <v>230</v>
      </c>
      <c r="D5" s="74"/>
      <c r="E5" s="74"/>
      <c r="F5" s="74"/>
      <c r="G5" s="74"/>
      <c r="H5" s="74"/>
      <c r="I5" s="74"/>
      <c r="J5" s="74"/>
      <c r="K5" s="74"/>
    </row>
    <row r="6" spans="2:12" ht="9.9499999999999993" customHeight="1" x14ac:dyDescent="0.25"/>
    <row r="7" spans="2:12" x14ac:dyDescent="0.25">
      <c r="B7" s="10"/>
      <c r="C7" s="11" t="s">
        <v>116</v>
      </c>
      <c r="D7" s="75"/>
      <c r="E7" s="141">
        <f>Hypothèses!$D$8</f>
        <v>2026</v>
      </c>
      <c r="F7" s="141">
        <f t="shared" ref="F7:K7" si="0">E7+1</f>
        <v>2027</v>
      </c>
      <c r="G7" s="141">
        <f t="shared" si="0"/>
        <v>2028</v>
      </c>
      <c r="H7" s="141">
        <f t="shared" si="0"/>
        <v>2029</v>
      </c>
      <c r="I7" s="141">
        <f t="shared" si="0"/>
        <v>2030</v>
      </c>
      <c r="J7" s="141">
        <f t="shared" si="0"/>
        <v>2031</v>
      </c>
      <c r="K7" s="141">
        <f t="shared" si="0"/>
        <v>2032</v>
      </c>
    </row>
    <row r="8" spans="2:12" ht="5.0999999999999996" customHeight="1" x14ac:dyDescent="0.25"/>
    <row r="9" spans="2:12" outlineLevel="1" x14ac:dyDescent="0.25">
      <c r="C9" s="76" t="s">
        <v>231</v>
      </c>
      <c r="E9" s="77">
        <f>Hypothèses!E69</f>
        <v>77600</v>
      </c>
      <c r="F9" s="77">
        <f>Hypothèses!F69</f>
        <v>155554</v>
      </c>
      <c r="G9" s="77">
        <f>Hypothèses!G69</f>
        <v>297719.03999999998</v>
      </c>
      <c r="H9" s="77">
        <f>Hypothèses!H69</f>
        <v>536482.772</v>
      </c>
      <c r="I9" s="77">
        <f>Hypothèses!I69</f>
        <v>906885.30982400011</v>
      </c>
      <c r="J9" s="77">
        <f>Hypothèses!J69</f>
        <v>1451878.5029707199</v>
      </c>
      <c r="K9" s="77">
        <f>Hypothèses!K69</f>
        <v>2207784.957074387</v>
      </c>
    </row>
    <row r="10" spans="2:12" outlineLevel="1" x14ac:dyDescent="0.25">
      <c r="C10" s="76" t="s">
        <v>232</v>
      </c>
      <c r="E10" s="77">
        <f>Hypothèses!E84</f>
        <v>0</v>
      </c>
      <c r="F10" s="77">
        <f>Hypothèses!F84</f>
        <v>0</v>
      </c>
      <c r="G10" s="77">
        <f>Hypothèses!G84</f>
        <v>0</v>
      </c>
      <c r="H10" s="77">
        <f>Hypothèses!H84</f>
        <v>0</v>
      </c>
      <c r="I10" s="77">
        <f>Hypothèses!I84</f>
        <v>0</v>
      </c>
      <c r="J10" s="77">
        <f>Hypothèses!J84</f>
        <v>0</v>
      </c>
      <c r="K10" s="77">
        <f>Hypothèses!K84</f>
        <v>0</v>
      </c>
    </row>
    <row r="11" spans="2:12" outlineLevel="1" x14ac:dyDescent="0.25">
      <c r="C11" s="76" t="s">
        <v>233</v>
      </c>
      <c r="E11" s="77">
        <f>Hypothèses!E91</f>
        <v>0</v>
      </c>
      <c r="F11" s="77">
        <f>Hypothèses!F91</f>
        <v>0</v>
      </c>
      <c r="G11" s="77">
        <f>Hypothèses!G91</f>
        <v>0</v>
      </c>
      <c r="H11" s="77">
        <f>Hypothèses!H91</f>
        <v>0</v>
      </c>
      <c r="I11" s="77">
        <f>Hypothèses!I91</f>
        <v>0</v>
      </c>
      <c r="J11" s="77">
        <f>Hypothèses!J91</f>
        <v>0</v>
      </c>
      <c r="K11" s="77">
        <f>Hypothèses!K91</f>
        <v>0</v>
      </c>
      <c r="L11" t="s">
        <v>7</v>
      </c>
    </row>
    <row r="12" spans="2:12" x14ac:dyDescent="0.25">
      <c r="B12" s="6"/>
      <c r="C12" s="78" t="s">
        <v>234</v>
      </c>
      <c r="D12" s="6"/>
      <c r="E12" s="79">
        <f>Hypothèses!E93</f>
        <v>77600</v>
      </c>
      <c r="F12" s="79">
        <f>Hypothèses!F93</f>
        <v>155554</v>
      </c>
      <c r="G12" s="79">
        <f>Hypothèses!G93</f>
        <v>297719.03999999998</v>
      </c>
      <c r="H12" s="79">
        <f>Hypothèses!H93</f>
        <v>536482.772</v>
      </c>
      <c r="I12" s="79">
        <f>Hypothèses!I93</f>
        <v>906885.30982400011</v>
      </c>
      <c r="J12" s="79">
        <f>Hypothèses!J93</f>
        <v>1451878.5029707199</v>
      </c>
      <c r="K12" s="79">
        <f>Hypothèses!K93</f>
        <v>2207784.957074387</v>
      </c>
    </row>
    <row r="14" spans="2:12" outlineLevel="1" x14ac:dyDescent="0.25">
      <c r="C14" s="76" t="s">
        <v>235</v>
      </c>
      <c r="E14" s="134">
        <f>-Hypothèses!E101</f>
        <v>-19400</v>
      </c>
      <c r="F14" s="134">
        <f>-Hypothèses!F101</f>
        <v>-37332.959999999999</v>
      </c>
      <c r="G14" s="134">
        <f>-Hypothèses!G101</f>
        <v>-68475.379199999996</v>
      </c>
      <c r="H14" s="134">
        <f>-Hypothèses!H101</f>
        <v>-118026.20984</v>
      </c>
      <c r="I14" s="134">
        <f>-Hypothèses!I101</f>
        <v>-190445.91506304001</v>
      </c>
      <c r="J14" s="134">
        <f>-Hypothèses!J101</f>
        <v>-290375.700594144</v>
      </c>
      <c r="K14" s="134">
        <f>-Hypothèses!K101</f>
        <v>-441556.99141487741</v>
      </c>
    </row>
    <row r="15" spans="2:12" outlineLevel="1" x14ac:dyDescent="0.25">
      <c r="C15" s="76" t="s">
        <v>236</v>
      </c>
      <c r="E15" s="134">
        <f>-Hypothèses!E103</f>
        <v>0</v>
      </c>
      <c r="F15" s="134">
        <f>-Hypothèses!F103</f>
        <v>0</v>
      </c>
      <c r="G15" s="134">
        <f>-Hypothèses!G103</f>
        <v>0</v>
      </c>
      <c r="H15" s="134">
        <f>-Hypothèses!H103</f>
        <v>0</v>
      </c>
      <c r="I15" s="134">
        <f>-Hypothèses!I103</f>
        <v>0</v>
      </c>
      <c r="J15" s="134">
        <f>-Hypothèses!J103</f>
        <v>0</v>
      </c>
      <c r="K15" s="134">
        <f>-Hypothèses!K103</f>
        <v>0</v>
      </c>
    </row>
    <row r="16" spans="2:12" outlineLevel="1" x14ac:dyDescent="0.25">
      <c r="C16" s="76" t="s">
        <v>237</v>
      </c>
      <c r="E16" s="134">
        <f>-Hypothèses!E105</f>
        <v>0</v>
      </c>
      <c r="F16" s="134">
        <f>-Hypothèses!F105</f>
        <v>0</v>
      </c>
      <c r="G16" s="134">
        <f>-Hypothèses!G105</f>
        <v>0</v>
      </c>
      <c r="H16" s="134">
        <f>-Hypothèses!H105</f>
        <v>0</v>
      </c>
      <c r="I16" s="134">
        <f>-Hypothèses!I105</f>
        <v>0</v>
      </c>
      <c r="J16" s="134">
        <f>-Hypothèses!J105</f>
        <v>0</v>
      </c>
      <c r="K16" s="134">
        <f>-Hypothèses!K105</f>
        <v>0</v>
      </c>
    </row>
    <row r="17" spans="2:12" x14ac:dyDescent="0.25">
      <c r="B17" s="135"/>
      <c r="C17" s="136" t="s">
        <v>238</v>
      </c>
      <c r="D17" s="135"/>
      <c r="E17" s="137">
        <f>-Hypothèses!E107</f>
        <v>-19400</v>
      </c>
      <c r="F17" s="137">
        <f>-Hypothèses!F107</f>
        <v>-37332.959999999999</v>
      </c>
      <c r="G17" s="137">
        <f>-Hypothèses!G107</f>
        <v>-68475.379199999996</v>
      </c>
      <c r="H17" s="137">
        <f>-Hypothèses!H107</f>
        <v>-118026.20984</v>
      </c>
      <c r="I17" s="137">
        <f>-Hypothèses!I107</f>
        <v>-190445.91506304001</v>
      </c>
      <c r="J17" s="137">
        <f>-Hypothèses!J107</f>
        <v>-290375.700594144</v>
      </c>
      <c r="K17" s="137">
        <f>-Hypothèses!K107</f>
        <v>-441556.99141487741</v>
      </c>
    </row>
    <row r="19" spans="2:12" x14ac:dyDescent="0.25">
      <c r="B19" s="6"/>
      <c r="C19" s="78" t="s">
        <v>46</v>
      </c>
      <c r="D19" s="6"/>
      <c r="E19" s="79">
        <f t="shared" ref="E19:K19" si="1">E12+E17</f>
        <v>58200</v>
      </c>
      <c r="F19" s="79">
        <f t="shared" si="1"/>
        <v>118221.04000000001</v>
      </c>
      <c r="G19" s="79">
        <f t="shared" si="1"/>
        <v>229243.66079999998</v>
      </c>
      <c r="H19" s="79">
        <f t="shared" si="1"/>
        <v>418456.56215999997</v>
      </c>
      <c r="I19" s="79">
        <f t="shared" si="1"/>
        <v>716439.39476096013</v>
      </c>
      <c r="J19" s="79">
        <f t="shared" si="1"/>
        <v>1161502.802376576</v>
      </c>
      <c r="K19" s="79">
        <f t="shared" si="1"/>
        <v>1766227.9656595096</v>
      </c>
      <c r="L19" t="s">
        <v>7</v>
      </c>
    </row>
    <row r="20" spans="2:12" s="15" customFormat="1" x14ac:dyDescent="0.25">
      <c r="C20" s="16" t="s">
        <v>160</v>
      </c>
      <c r="E20" s="17">
        <f t="shared" ref="E20:K20" si="2">IFERROR(E19/E12,0)</f>
        <v>0.75</v>
      </c>
      <c r="F20" s="17">
        <f t="shared" si="2"/>
        <v>0.76</v>
      </c>
      <c r="G20" s="17">
        <f t="shared" si="2"/>
        <v>0.77</v>
      </c>
      <c r="H20" s="17">
        <f t="shared" si="2"/>
        <v>0.77999999999999992</v>
      </c>
      <c r="I20" s="17">
        <f t="shared" si="2"/>
        <v>0.79</v>
      </c>
      <c r="J20" s="17">
        <f t="shared" si="2"/>
        <v>0.8</v>
      </c>
      <c r="K20" s="17">
        <f t="shared" si="2"/>
        <v>0.8</v>
      </c>
    </row>
    <row r="22" spans="2:12" outlineLevel="1" x14ac:dyDescent="0.25">
      <c r="C22" s="70" t="s">
        <v>162</v>
      </c>
      <c r="E22" s="134">
        <f>-Hypothèses!E118</f>
        <v>0</v>
      </c>
      <c r="F22" s="134">
        <f>-Hypothèses!F118</f>
        <v>0</v>
      </c>
      <c r="G22" s="134">
        <f>-Hypothèses!G118</f>
        <v>0</v>
      </c>
      <c r="H22" s="134">
        <f>-Hypothèses!H118</f>
        <v>0</v>
      </c>
      <c r="I22" s="134">
        <f>-Hypothèses!I118</f>
        <v>0</v>
      </c>
      <c r="J22" s="134">
        <f>-Hypothèses!J118</f>
        <v>0</v>
      </c>
      <c r="K22" s="134">
        <f>-Hypothèses!K118</f>
        <v>0</v>
      </c>
    </row>
    <row r="23" spans="2:12" outlineLevel="1" x14ac:dyDescent="0.25">
      <c r="C23" s="70" t="s">
        <v>166</v>
      </c>
      <c r="E23" s="134">
        <f>-Hypothèses!E123</f>
        <v>-72500</v>
      </c>
      <c r="F23" s="134">
        <f>-Hypothèses!F123</f>
        <v>-76125</v>
      </c>
      <c r="G23" s="134">
        <f>-Hypothèses!G123</f>
        <v>-79931.25</v>
      </c>
      <c r="H23" s="134">
        <f>-Hypothèses!H123</f>
        <v>-83927.8125</v>
      </c>
      <c r="I23" s="134">
        <f>-Hypothèses!I123</f>
        <v>-88124.203125</v>
      </c>
      <c r="J23" s="134">
        <f>-Hypothèses!J123</f>
        <v>-92530.413281250003</v>
      </c>
      <c r="K23" s="134">
        <f>-Hypothèses!K123</f>
        <v>-97156.933945312499</v>
      </c>
    </row>
    <row r="24" spans="2:12" outlineLevel="1" x14ac:dyDescent="0.25">
      <c r="C24" s="70" t="s">
        <v>168</v>
      </c>
      <c r="E24" s="134">
        <f>-Hypothèses!E128</f>
        <v>-58000</v>
      </c>
      <c r="F24" s="134">
        <f>-Hypothèses!F128</f>
        <v>-60900</v>
      </c>
      <c r="G24" s="134">
        <f>-Hypothèses!G128</f>
        <v>-63945</v>
      </c>
      <c r="H24" s="134">
        <f>-Hypothèses!H128</f>
        <v>-67142.25</v>
      </c>
      <c r="I24" s="134">
        <f>-Hypothèses!I128</f>
        <v>-70499.362500000003</v>
      </c>
      <c r="J24" s="134">
        <f>-Hypothèses!J128</f>
        <v>-74024.330625000002</v>
      </c>
      <c r="K24" s="134">
        <f>-Hypothèses!K128</f>
        <v>-77725.547156250002</v>
      </c>
    </row>
    <row r="25" spans="2:12" outlineLevel="1" x14ac:dyDescent="0.25">
      <c r="C25" s="70" t="s">
        <v>170</v>
      </c>
      <c r="E25" s="134">
        <f>-Hypothèses!E133</f>
        <v>-65250</v>
      </c>
      <c r="F25" s="134">
        <f>-Hypothèses!F133</f>
        <v>-68512.5</v>
      </c>
      <c r="G25" s="134">
        <f>-Hypothèses!G133</f>
        <v>-71938.125</v>
      </c>
      <c r="H25" s="134">
        <f>-Hypothèses!H133</f>
        <v>-75535.03125</v>
      </c>
      <c r="I25" s="134">
        <f>-Hypothèses!I133</f>
        <v>-79311.782812499994</v>
      </c>
      <c r="J25" s="134">
        <f>-Hypothèses!J133</f>
        <v>-83277.37195312501</v>
      </c>
      <c r="K25" s="134">
        <f>-Hypothèses!K133</f>
        <v>-87441.240550781265</v>
      </c>
    </row>
    <row r="26" spans="2:12" outlineLevel="1" x14ac:dyDescent="0.25">
      <c r="C26" s="70" t="s">
        <v>172</v>
      </c>
      <c r="E26" s="134">
        <f>-Hypothèses!E138</f>
        <v>-17400</v>
      </c>
      <c r="F26" s="134">
        <f>-Hypothèses!F138</f>
        <v>-18270</v>
      </c>
      <c r="G26" s="134">
        <f>-Hypothèses!G138</f>
        <v>-19183.5</v>
      </c>
      <c r="H26" s="134">
        <f>-Hypothèses!H138</f>
        <v>-20142.674999999999</v>
      </c>
      <c r="I26" s="134">
        <f>-Hypothèses!I138</f>
        <v>-21149.80875</v>
      </c>
      <c r="J26" s="134">
        <f>-Hypothèses!J138</f>
        <v>-22207.299187500001</v>
      </c>
      <c r="K26" s="134">
        <f>-Hypothèses!K138</f>
        <v>-23317.664146875002</v>
      </c>
    </row>
    <row r="27" spans="2:12" x14ac:dyDescent="0.25">
      <c r="B27" s="135"/>
      <c r="C27" s="136" t="s">
        <v>239</v>
      </c>
      <c r="D27" s="135"/>
      <c r="E27" s="137">
        <f>-Hypothèses!E140</f>
        <v>-213150</v>
      </c>
      <c r="F27" s="137">
        <f>-Hypothèses!F140</f>
        <v>-223807.5</v>
      </c>
      <c r="G27" s="137">
        <f>-Hypothèses!G140</f>
        <v>-234997.875</v>
      </c>
      <c r="H27" s="137">
        <f>-Hypothèses!H140</f>
        <v>-246747.76874999999</v>
      </c>
      <c r="I27" s="137">
        <f>-Hypothèses!I140</f>
        <v>-259085.15718749998</v>
      </c>
      <c r="J27" s="137">
        <f>-Hypothèses!J140</f>
        <v>-272039.41504687502</v>
      </c>
      <c r="K27" s="137">
        <f>-Hypothèses!K140</f>
        <v>-285641.38579921878</v>
      </c>
    </row>
    <row r="29" spans="2:12" outlineLevel="1" x14ac:dyDescent="0.25">
      <c r="C29" s="76" t="s">
        <v>23</v>
      </c>
      <c r="E29" s="77">
        <f>-(Hypothèses!E149+Hypothèses!E150+Hypothèses!E151)*Hypothèses!$D$31</f>
        <v>-34000</v>
      </c>
      <c r="F29" s="77">
        <f>-(Hypothèses!F149+Hypothèses!F150+Hypothèses!F151)*Hypothèses!$D$31</f>
        <v>-37480</v>
      </c>
      <c r="G29" s="77">
        <f>-(Hypothèses!G149+Hypothèses!G150+Hypothèses!G151)*Hypothèses!$D$31</f>
        <v>-41969.600000000006</v>
      </c>
      <c r="H29" s="77">
        <f>-(Hypothèses!H149+Hypothèses!H150+Hypothèses!H151)*Hypothèses!$D$31</f>
        <v>-47468.991999999998</v>
      </c>
      <c r="I29" s="77">
        <f>-(Hypothèses!I149+Hypothèses!I150+Hypothèses!I151)*Hypothèses!$D$31</f>
        <v>-53978.371840000007</v>
      </c>
      <c r="J29" s="77">
        <f>-(Hypothèses!J149+Hypothèses!J150+Hypothèses!J151)*Hypothèses!$D$31</f>
        <v>-60497.939276800003</v>
      </c>
      <c r="K29" s="77">
        <f>-(Hypothèses!K149+Hypothèses!K150+Hypothèses!K151)*Hypothèses!$D$31</f>
        <v>-67027.898062335997</v>
      </c>
    </row>
    <row r="30" spans="2:12" outlineLevel="1" x14ac:dyDescent="0.25">
      <c r="C30" s="76" t="s">
        <v>24</v>
      </c>
      <c r="E30" s="77">
        <f>-(Hypothèses!E154+Hypothèses!E155+Hypothèses!E156+Hypothèses!E157)*Hypothèses!$D$31</f>
        <v>-16000</v>
      </c>
      <c r="F30" s="77">
        <f>-(Hypothèses!F154+Hypothèses!F155+Hypothèses!F156+Hypothèses!F157)*Hypothèses!$D$31</f>
        <v>-16000</v>
      </c>
      <c r="G30" s="77">
        <f>-(Hypothèses!G154+Hypothèses!G155+Hypothèses!G156+Hypothèses!G157)*Hypothèses!$D$31</f>
        <v>-16000</v>
      </c>
      <c r="H30" s="77">
        <f>-(Hypothèses!H154+Hypothèses!H155+Hypothèses!H156+Hypothèses!H157)*Hypothèses!$D$31</f>
        <v>-16000</v>
      </c>
      <c r="I30" s="77">
        <f>-(Hypothèses!I154+Hypothèses!I155+Hypothèses!I156+Hypothèses!I157)*Hypothèses!$D$31</f>
        <v>-16000</v>
      </c>
      <c r="J30" s="77">
        <f>-(Hypothèses!J154+Hypothèses!J155+Hypothèses!J156+Hypothèses!J157)*Hypothèses!$D$31</f>
        <v>-16000</v>
      </c>
      <c r="K30" s="77">
        <f>-(Hypothèses!K154+Hypothèses!K155+Hypothèses!K156+Hypothèses!K157)*Hypothèses!$D$31</f>
        <v>-16000</v>
      </c>
    </row>
    <row r="31" spans="2:12" outlineLevel="1" x14ac:dyDescent="0.25">
      <c r="C31" s="76" t="s">
        <v>25</v>
      </c>
      <c r="E31" s="77">
        <f>-(Hypothèses!E160*Hypothèses!$D$31+Hypothèses!E161)</f>
        <v>-28000</v>
      </c>
      <c r="F31" s="77">
        <f>-(Hypothèses!F160*Hypothèses!$D$31+Hypothèses!F161)</f>
        <v>-48000</v>
      </c>
      <c r="G31" s="77">
        <f>-(Hypothèses!G160*Hypothèses!$D$31+Hypothèses!G161)</f>
        <v>-78000</v>
      </c>
      <c r="H31" s="77">
        <f>-(Hypothèses!H160*Hypothèses!$D$31+Hypothèses!H161)</f>
        <v>-117000</v>
      </c>
      <c r="I31" s="77">
        <f>-(Hypothèses!I160*Hypothèses!$D$31+Hypothèses!I161)</f>
        <v>-164000</v>
      </c>
      <c r="J31" s="77">
        <f>-(Hypothèses!J160*Hypothèses!$D$31+Hypothèses!J161)</f>
        <v>-220000</v>
      </c>
      <c r="K31" s="77">
        <f>-(Hypothèses!K160*Hypothèses!$D$31+Hypothèses!K161)</f>
        <v>-280000</v>
      </c>
    </row>
    <row r="32" spans="2:12" outlineLevel="1" x14ac:dyDescent="0.25">
      <c r="C32" s="76" t="s">
        <v>240</v>
      </c>
      <c r="E32" s="77">
        <f>-(Hypothèses!E166+Hypothèses!E171+Hypothèses!E176)</f>
        <v>-40000</v>
      </c>
      <c r="F32" s="77">
        <f>-(Hypothèses!F166+Hypothèses!F171+Hypothèses!F176)</f>
        <v>-44000</v>
      </c>
      <c r="G32" s="77">
        <f>-(Hypothèses!G166+Hypothèses!G171+Hypothèses!G176)</f>
        <v>-48400.000000000007</v>
      </c>
      <c r="H32" s="77">
        <f>-(Hypothèses!H166+Hypothèses!H171+Hypothèses!H176)</f>
        <v>-53240.000000000015</v>
      </c>
      <c r="I32" s="77">
        <f>-(Hypothèses!I166+Hypothèses!I171+Hypothèses!I176)</f>
        <v>-58564.000000000022</v>
      </c>
      <c r="J32" s="77">
        <f>-(Hypothèses!J166+Hypothèses!J171+Hypothèses!J176)</f>
        <v>-64420.400000000031</v>
      </c>
      <c r="K32" s="77">
        <f>-(Hypothèses!K166+Hypothèses!K171+Hypothèses!K176)</f>
        <v>-70862.440000000046</v>
      </c>
    </row>
    <row r="33" spans="2:19" outlineLevel="1" x14ac:dyDescent="0.25">
      <c r="C33" s="76" t="s">
        <v>193</v>
      </c>
      <c r="E33" s="77">
        <f>-(Hypothèses!E179+Hypothèses!E180)*Hypothèses!$D$31</f>
        <v>0</v>
      </c>
      <c r="F33" s="77">
        <f>-(Hypothèses!F179+Hypothèses!F180)*Hypothèses!$D$31</f>
        <v>0</v>
      </c>
      <c r="G33" s="77">
        <f>-(Hypothèses!G179+Hypothèses!G180)*Hypothèses!$D$31</f>
        <v>0</v>
      </c>
      <c r="H33" s="77">
        <f>-(Hypothèses!H179+Hypothèses!H180)*Hypothèses!$D$31</f>
        <v>0</v>
      </c>
      <c r="I33" s="77">
        <f>-(Hypothèses!I179+Hypothèses!I180)*Hypothèses!$D$31</f>
        <v>0</v>
      </c>
      <c r="J33" s="77">
        <f>-(Hypothèses!J179+Hypothèses!J180)*Hypothèses!$D$31</f>
        <v>0</v>
      </c>
      <c r="K33" s="77">
        <f>-(Hypothèses!K179+Hypothèses!K180)*Hypothèses!$D$31</f>
        <v>0</v>
      </c>
    </row>
    <row r="34" spans="2:19" x14ac:dyDescent="0.25">
      <c r="B34" s="135"/>
      <c r="C34" s="136" t="s">
        <v>31</v>
      </c>
      <c r="D34" s="135"/>
      <c r="E34" s="137">
        <f>-Hypothèses!E182</f>
        <v>-118000</v>
      </c>
      <c r="F34" s="137">
        <f>-Hypothèses!F182</f>
        <v>-145480</v>
      </c>
      <c r="G34" s="137">
        <f>-Hypothèses!G182</f>
        <v>-184369.6</v>
      </c>
      <c r="H34" s="137">
        <f>-Hypothèses!H182</f>
        <v>-233708.99200000003</v>
      </c>
      <c r="I34" s="137">
        <f>-Hypothèses!I182</f>
        <v>-292542.37184000004</v>
      </c>
      <c r="J34" s="137">
        <f>-Hypothèses!J182</f>
        <v>-360918.33927680005</v>
      </c>
      <c r="K34" s="137">
        <f>-Hypothèses!K182</f>
        <v>-433890.33806233609</v>
      </c>
    </row>
    <row r="36" spans="2:19" x14ac:dyDescent="0.25">
      <c r="B36" s="6"/>
      <c r="C36" s="78" t="s">
        <v>32</v>
      </c>
      <c r="D36" s="6"/>
      <c r="E36" s="79">
        <f t="shared" ref="E36:K36" si="3">E19+E27+E34</f>
        <v>-272950</v>
      </c>
      <c r="F36" s="79">
        <f t="shared" si="3"/>
        <v>-251066.46</v>
      </c>
      <c r="G36" s="79">
        <f t="shared" si="3"/>
        <v>-190123.81420000002</v>
      </c>
      <c r="H36" s="79">
        <f t="shared" si="3"/>
        <v>-62000.198590000044</v>
      </c>
      <c r="I36" s="79">
        <f t="shared" si="3"/>
        <v>164811.86573346012</v>
      </c>
      <c r="J36" s="79">
        <f t="shared" si="3"/>
        <v>528545.04805290094</v>
      </c>
      <c r="K36" s="79">
        <f t="shared" si="3"/>
        <v>1046696.2417979549</v>
      </c>
    </row>
    <row r="37" spans="2:19" s="15" customFormat="1" x14ac:dyDescent="0.25">
      <c r="C37" s="16" t="s">
        <v>241</v>
      </c>
      <c r="E37" s="17">
        <f t="shared" ref="E37:K37" si="4">IFERROR(E36/E12,0)</f>
        <v>-3.517396907216495</v>
      </c>
      <c r="F37" s="17">
        <f t="shared" si="4"/>
        <v>-1.6140148115766872</v>
      </c>
      <c r="G37" s="17">
        <f t="shared" si="4"/>
        <v>-0.63860146196897594</v>
      </c>
      <c r="H37" s="17">
        <f t="shared" si="4"/>
        <v>-0.11556792095832677</v>
      </c>
      <c r="I37" s="17">
        <f t="shared" si="4"/>
        <v>0.18173396784367946</v>
      </c>
      <c r="J37" s="17">
        <f t="shared" si="4"/>
        <v>0.36404220254755032</v>
      </c>
      <c r="K37" s="17">
        <f t="shared" si="4"/>
        <v>0.47409338416046126</v>
      </c>
      <c r="L37" s="15" t="s">
        <v>7</v>
      </c>
    </row>
    <row r="39" spans="2:19" x14ac:dyDescent="0.25">
      <c r="C39" s="76" t="s">
        <v>47</v>
      </c>
      <c r="E39" s="77">
        <f>-'2. Annexes'!E29</f>
        <v>-9000</v>
      </c>
      <c r="F39" s="77">
        <f>-'2. Annexes'!F29</f>
        <v>-15400</v>
      </c>
      <c r="G39" s="77">
        <f>-'2. Annexes'!G29</f>
        <v>-22400</v>
      </c>
      <c r="H39" s="77">
        <f>-'2. Annexes'!H29</f>
        <v>-31600</v>
      </c>
      <c r="I39" s="77">
        <f>-'2. Annexes'!I29</f>
        <v>-40600</v>
      </c>
      <c r="J39" s="77">
        <f>-'2. Annexes'!J29</f>
        <v>-45000</v>
      </c>
      <c r="K39" s="77">
        <f>-'2. Annexes'!K29</f>
        <v>-51400</v>
      </c>
    </row>
    <row r="40" spans="2:19" x14ac:dyDescent="0.25">
      <c r="B40" s="6"/>
      <c r="C40" s="78" t="s">
        <v>242</v>
      </c>
      <c r="D40" s="6"/>
      <c r="E40" s="79">
        <f t="shared" ref="E40:K40" si="5">E36+E39</f>
        <v>-281950</v>
      </c>
      <c r="F40" s="79">
        <f t="shared" si="5"/>
        <v>-266466.45999999996</v>
      </c>
      <c r="G40" s="79">
        <f t="shared" si="5"/>
        <v>-212523.81420000002</v>
      </c>
      <c r="H40" s="79">
        <f t="shared" si="5"/>
        <v>-93600.198590000044</v>
      </c>
      <c r="I40" s="79">
        <f t="shared" si="5"/>
        <v>124211.86573346012</v>
      </c>
      <c r="J40" s="79">
        <f t="shared" si="5"/>
        <v>483545.04805290094</v>
      </c>
      <c r="K40" s="79">
        <f t="shared" si="5"/>
        <v>995296.24179795489</v>
      </c>
    </row>
    <row r="41" spans="2:19" s="15" customFormat="1" x14ac:dyDescent="0.25">
      <c r="C41" s="16" t="s">
        <v>243</v>
      </c>
      <c r="E41" s="17">
        <f t="shared" ref="E41:K41" si="6">IFERROR(E40/E12,0)</f>
        <v>-3.633376288659794</v>
      </c>
      <c r="F41" s="17">
        <f t="shared" si="6"/>
        <v>-1.7130158015865871</v>
      </c>
      <c r="G41" s="17">
        <f t="shared" si="6"/>
        <v>-0.71384018368459079</v>
      </c>
      <c r="H41" s="17">
        <f t="shared" si="6"/>
        <v>-0.17447009200511671</v>
      </c>
      <c r="I41" s="17">
        <f t="shared" si="6"/>
        <v>0.13696535205489876</v>
      </c>
      <c r="J41" s="17">
        <f t="shared" si="6"/>
        <v>0.33304787354004411</v>
      </c>
      <c r="K41" s="17">
        <f t="shared" si="6"/>
        <v>0.45081213123077746</v>
      </c>
      <c r="S41" s="15" t="s">
        <v>7</v>
      </c>
    </row>
    <row r="43" spans="2:19" x14ac:dyDescent="0.25">
      <c r="C43" s="76" t="s">
        <v>244</v>
      </c>
      <c r="E43" s="77">
        <f>-'2. Annexes'!E65</f>
        <v>-6000</v>
      </c>
      <c r="F43" s="77">
        <f>-'2. Annexes'!F65</f>
        <v>-6000</v>
      </c>
      <c r="G43" s="77">
        <f>-'2. Annexes'!G65</f>
        <v>-6000</v>
      </c>
      <c r="H43" s="77">
        <f>-'2. Annexes'!H65</f>
        <v>-6000</v>
      </c>
      <c r="I43" s="77">
        <f>-'2. Annexes'!I65</f>
        <v>-6000</v>
      </c>
      <c r="J43" s="77">
        <f>-'2. Annexes'!J65</f>
        <v>0</v>
      </c>
      <c r="K43" s="77">
        <f>-'2. Annexes'!K65</f>
        <v>0</v>
      </c>
    </row>
    <row r="44" spans="2:19" x14ac:dyDescent="0.25">
      <c r="B44" s="6"/>
      <c r="C44" s="78" t="s">
        <v>245</v>
      </c>
      <c r="D44" s="6"/>
      <c r="E44" s="79">
        <f t="shared" ref="E44:K44" si="7">E40+E43</f>
        <v>-287950</v>
      </c>
      <c r="F44" s="79">
        <f t="shared" si="7"/>
        <v>-272466.45999999996</v>
      </c>
      <c r="G44" s="79">
        <f t="shared" si="7"/>
        <v>-218523.81420000002</v>
      </c>
      <c r="H44" s="79">
        <f t="shared" si="7"/>
        <v>-99600.198590000044</v>
      </c>
      <c r="I44" s="79">
        <f t="shared" si="7"/>
        <v>118211.86573346012</v>
      </c>
      <c r="J44" s="79">
        <f t="shared" si="7"/>
        <v>483545.04805290094</v>
      </c>
      <c r="K44" s="79">
        <f t="shared" si="7"/>
        <v>995296.24179795489</v>
      </c>
      <c r="P44" t="s">
        <v>7</v>
      </c>
    </row>
    <row r="46" spans="2:19" outlineLevel="1" x14ac:dyDescent="0.25">
      <c r="C46" s="16" t="s">
        <v>246</v>
      </c>
      <c r="D46" s="15"/>
      <c r="E46" s="85">
        <f>'2. Annexes'!E84</f>
        <v>0</v>
      </c>
      <c r="F46" s="85">
        <f>'2. Annexes'!F84</f>
        <v>0</v>
      </c>
      <c r="G46" s="85">
        <f>'2. Annexes'!G84</f>
        <v>0</v>
      </c>
      <c r="H46" s="85">
        <f>'2. Annexes'!H84</f>
        <v>0</v>
      </c>
      <c r="I46" s="85">
        <f>'2. Annexes'!I84</f>
        <v>118211.86573346012</v>
      </c>
      <c r="J46" s="85">
        <f>'2. Annexes'!J84</f>
        <v>483545.04805290094</v>
      </c>
      <c r="K46" s="85">
        <f>'2. Annexes'!K84</f>
        <v>276783.55900363903</v>
      </c>
    </row>
    <row r="47" spans="2:19" outlineLevel="1" x14ac:dyDescent="0.25">
      <c r="C47" s="16" t="s">
        <v>247</v>
      </c>
      <c r="D47" s="15"/>
      <c r="E47" s="85">
        <f>'2. Annexes'!E88</f>
        <v>0</v>
      </c>
      <c r="F47" s="85">
        <f>'2. Annexes'!F88</f>
        <v>0</v>
      </c>
      <c r="G47" s="85">
        <f>'2. Annexes'!G88</f>
        <v>0</v>
      </c>
      <c r="H47" s="85">
        <f>'2. Annexes'!H88</f>
        <v>0</v>
      </c>
      <c r="I47" s="85">
        <f>'2. Annexes'!I88</f>
        <v>0</v>
      </c>
      <c r="J47" s="85">
        <f>'2. Annexes'!J88</f>
        <v>0</v>
      </c>
      <c r="K47" s="85">
        <f>'2. Annexes'!K88</f>
        <v>718512.68279431586</v>
      </c>
    </row>
    <row r="48" spans="2:19" x14ac:dyDescent="0.25">
      <c r="C48" s="76" t="s">
        <v>248</v>
      </c>
      <c r="E48" s="77">
        <f>-'2. Annexes'!E89</f>
        <v>0</v>
      </c>
      <c r="F48" s="77">
        <f>-'2. Annexes'!F89</f>
        <v>0</v>
      </c>
      <c r="G48" s="77">
        <f>-'2. Annexes'!G89</f>
        <v>0</v>
      </c>
      <c r="H48" s="77">
        <f>-'2. Annexes'!H89</f>
        <v>0</v>
      </c>
      <c r="I48" s="77">
        <f>-'2. Annexes'!I89</f>
        <v>0</v>
      </c>
      <c r="J48" s="77">
        <f>-'2. Annexes'!J89</f>
        <v>0</v>
      </c>
      <c r="K48" s="77">
        <f>-'2. Annexes'!K89</f>
        <v>-179628.17069857896</v>
      </c>
    </row>
    <row r="49" spans="2:12" x14ac:dyDescent="0.25">
      <c r="B49" s="80"/>
      <c r="C49" s="81" t="s">
        <v>249</v>
      </c>
      <c r="D49" s="80"/>
      <c r="E49" s="82">
        <f t="shared" ref="E49:K49" si="8">E44+E48</f>
        <v>-287950</v>
      </c>
      <c r="F49" s="82">
        <f t="shared" si="8"/>
        <v>-272466.45999999996</v>
      </c>
      <c r="G49" s="82">
        <f t="shared" si="8"/>
        <v>-218523.81420000002</v>
      </c>
      <c r="H49" s="82">
        <f t="shared" si="8"/>
        <v>-99600.198590000044</v>
      </c>
      <c r="I49" s="82">
        <f t="shared" si="8"/>
        <v>118211.86573346012</v>
      </c>
      <c r="J49" s="82">
        <f t="shared" si="8"/>
        <v>483545.04805290094</v>
      </c>
      <c r="K49" s="82">
        <f t="shared" si="8"/>
        <v>815668.07109937596</v>
      </c>
    </row>
    <row r="50" spans="2:12" s="15" customFormat="1" x14ac:dyDescent="0.25">
      <c r="C50" s="16" t="s">
        <v>250</v>
      </c>
      <c r="E50" s="17">
        <f t="shared" ref="E50:K50" si="9">IFERROR(E49/E12,0)</f>
        <v>-3.7106958762886597</v>
      </c>
      <c r="F50" s="17">
        <f t="shared" si="9"/>
        <v>-1.7515876158761585</v>
      </c>
      <c r="G50" s="17">
        <f t="shared" si="9"/>
        <v>-0.73399341271555907</v>
      </c>
      <c r="H50" s="17">
        <f t="shared" si="9"/>
        <v>-0.1856540485329882</v>
      </c>
      <c r="I50" s="17">
        <f t="shared" si="9"/>
        <v>0.13034930046049767</v>
      </c>
      <c r="J50" s="17">
        <f t="shared" si="9"/>
        <v>0.33304787354004411</v>
      </c>
      <c r="K50" s="17">
        <f t="shared" si="9"/>
        <v>0.36945086906482333</v>
      </c>
    </row>
    <row r="53" spans="2:12" ht="18.75" customHeight="1" x14ac:dyDescent="0.25">
      <c r="B53" s="3" t="s">
        <v>20</v>
      </c>
      <c r="C53" s="73" t="s">
        <v>251</v>
      </c>
      <c r="D53" s="74"/>
      <c r="E53" s="74"/>
      <c r="F53" s="74"/>
      <c r="G53" s="74"/>
      <c r="H53" s="74"/>
      <c r="I53" s="74"/>
      <c r="J53" s="74"/>
      <c r="K53" s="74"/>
    </row>
    <row r="54" spans="2:12" ht="9.9499999999999993" customHeight="1" x14ac:dyDescent="0.25"/>
    <row r="55" spans="2:12" x14ac:dyDescent="0.25">
      <c r="B55" s="10"/>
      <c r="C55" s="11" t="s">
        <v>116</v>
      </c>
      <c r="D55" s="75"/>
      <c r="E55" s="141">
        <f>Hypothèses!$D$8</f>
        <v>2026</v>
      </c>
      <c r="F55" s="141">
        <f t="shared" ref="F55:K55" si="10">E55+1</f>
        <v>2027</v>
      </c>
      <c r="G55" s="141">
        <f t="shared" si="10"/>
        <v>2028</v>
      </c>
      <c r="H55" s="141">
        <f t="shared" si="10"/>
        <v>2029</v>
      </c>
      <c r="I55" s="141">
        <f t="shared" si="10"/>
        <v>2030</v>
      </c>
      <c r="J55" s="141">
        <f t="shared" si="10"/>
        <v>2031</v>
      </c>
      <c r="K55" s="141">
        <f t="shared" si="10"/>
        <v>2032</v>
      </c>
    </row>
    <row r="56" spans="2:12" ht="5.0999999999999996" customHeight="1" x14ac:dyDescent="0.25"/>
    <row r="57" spans="2:12" x14ac:dyDescent="0.25">
      <c r="B57" s="5"/>
      <c r="C57" s="83" t="s">
        <v>252</v>
      </c>
      <c r="D57" s="5"/>
      <c r="E57" s="5"/>
      <c r="F57" s="5"/>
      <c r="G57" s="5"/>
      <c r="H57" s="5"/>
      <c r="I57" s="5"/>
      <c r="J57" s="5"/>
      <c r="K57" s="5"/>
    </row>
    <row r="58" spans="2:12" x14ac:dyDescent="0.25">
      <c r="C58" s="76" t="s">
        <v>253</v>
      </c>
      <c r="E58" s="77">
        <f>'2. Annexes'!E30</f>
        <v>56000</v>
      </c>
      <c r="F58" s="77">
        <f>'2. Annexes'!F30</f>
        <v>87600</v>
      </c>
      <c r="G58" s="77">
        <f>'2. Annexes'!G30</f>
        <v>115200</v>
      </c>
      <c r="H58" s="77">
        <f>'2. Annexes'!H30</f>
        <v>149600</v>
      </c>
      <c r="I58" s="77">
        <f>'2. Annexes'!I30</f>
        <v>174000</v>
      </c>
      <c r="J58" s="77">
        <f>'2. Annexes'!J30</f>
        <v>196000</v>
      </c>
      <c r="K58" s="77">
        <f>'2. Annexes'!K30</f>
        <v>213600</v>
      </c>
    </row>
    <row r="59" spans="2:12" x14ac:dyDescent="0.25">
      <c r="C59" s="76" t="s">
        <v>254</v>
      </c>
      <c r="E59" s="77">
        <f>'2. Annexes'!E74</f>
        <v>0</v>
      </c>
      <c r="F59" s="77">
        <f>'2. Annexes'!F74</f>
        <v>0</v>
      </c>
      <c r="G59" s="77">
        <f>'2. Annexes'!G74</f>
        <v>0</v>
      </c>
      <c r="H59" s="77">
        <f>'2. Annexes'!H74</f>
        <v>0</v>
      </c>
      <c r="I59" s="77">
        <f>'2. Annexes'!I74</f>
        <v>0</v>
      </c>
      <c r="J59" s="77">
        <f>'2. Annexes'!J74</f>
        <v>0</v>
      </c>
      <c r="K59" s="77">
        <f>'2. Annexes'!K74</f>
        <v>0</v>
      </c>
    </row>
    <row r="60" spans="2:12" x14ac:dyDescent="0.25">
      <c r="C60" s="76" t="s">
        <v>255</v>
      </c>
      <c r="E60" s="77">
        <f>'2. Annexes'!E73</f>
        <v>9567.1232876712329</v>
      </c>
      <c r="F60" s="77">
        <f>'2. Annexes'!F73</f>
        <v>19177.890410958902</v>
      </c>
      <c r="G60" s="77">
        <f>'2. Annexes'!G73</f>
        <v>36705.087123287667</v>
      </c>
      <c r="H60" s="77">
        <f>'2. Annexes'!H73</f>
        <v>66141.711616438348</v>
      </c>
      <c r="I60" s="77">
        <f>'2. Annexes'!I73</f>
        <v>111807.77792350686</v>
      </c>
      <c r="J60" s="77">
        <f>'2. Annexes'!J73</f>
        <v>178998.71954433533</v>
      </c>
      <c r="K60" s="77">
        <f>'2. Annexes'!K73</f>
        <v>272192.66594067781</v>
      </c>
    </row>
    <row r="61" spans="2:12" x14ac:dyDescent="0.25">
      <c r="C61" s="76" t="s">
        <v>256</v>
      </c>
      <c r="E61" s="77">
        <f t="shared" ref="E61:K61" si="11">E91</f>
        <v>79069.178082191793</v>
      </c>
      <c r="F61" s="77">
        <f t="shared" si="11"/>
        <v>-227142.90493150678</v>
      </c>
      <c r="G61" s="77">
        <f t="shared" si="11"/>
        <v>-479281.8030986301</v>
      </c>
      <c r="H61" s="77">
        <f t="shared" si="11"/>
        <v>-626462.69917246583</v>
      </c>
      <c r="I61" s="77">
        <f t="shared" si="11"/>
        <v>-706741.05014667043</v>
      </c>
      <c r="J61" s="77">
        <f t="shared" si="11"/>
        <v>-284720.24459658633</v>
      </c>
      <c r="K61" s="77">
        <f t="shared" si="11"/>
        <v>457000.9962061079</v>
      </c>
    </row>
    <row r="62" spans="2:12" x14ac:dyDescent="0.25">
      <c r="B62" s="80"/>
      <c r="C62" s="81" t="s">
        <v>257</v>
      </c>
      <c r="D62" s="80"/>
      <c r="E62" s="82">
        <f t="shared" ref="E62:K62" si="12">E58+E59+E60+E61</f>
        <v>144636.30136986304</v>
      </c>
      <c r="F62" s="82">
        <f t="shared" si="12"/>
        <v>-120365.01452054788</v>
      </c>
      <c r="G62" s="82">
        <f t="shared" si="12"/>
        <v>-327376.71597534243</v>
      </c>
      <c r="H62" s="82">
        <f t="shared" si="12"/>
        <v>-410720.98755602748</v>
      </c>
      <c r="I62" s="82">
        <f t="shared" si="12"/>
        <v>-420933.27222316357</v>
      </c>
      <c r="J62" s="82">
        <f t="shared" si="12"/>
        <v>90278.474947748997</v>
      </c>
      <c r="K62" s="82">
        <f t="shared" si="12"/>
        <v>942793.66214678576</v>
      </c>
      <c r="L62" t="s">
        <v>7</v>
      </c>
    </row>
    <row r="64" spans="2:12" x14ac:dyDescent="0.25">
      <c r="B64" s="5"/>
      <c r="C64" s="83" t="s">
        <v>258</v>
      </c>
      <c r="D64" s="5"/>
      <c r="E64" s="5"/>
      <c r="F64" s="5"/>
      <c r="G64" s="5"/>
      <c r="H64" s="5"/>
      <c r="I64" s="5"/>
      <c r="J64" s="5"/>
      <c r="K64" s="5"/>
    </row>
    <row r="65" spans="2:14" x14ac:dyDescent="0.25">
      <c r="C65" s="76" t="s">
        <v>259</v>
      </c>
      <c r="E65" s="77">
        <f>0+Hypothèses!E201</f>
        <v>250000</v>
      </c>
      <c r="F65" s="77">
        <f>E65+Hypothèses!F201</f>
        <v>250000</v>
      </c>
      <c r="G65" s="77">
        <f>F65+Hypothèses!G201</f>
        <v>250000</v>
      </c>
      <c r="H65" s="77">
        <f>G65+Hypothèses!H201</f>
        <v>250000</v>
      </c>
      <c r="I65" s="77">
        <f>H65+Hypothèses!I201</f>
        <v>250000</v>
      </c>
      <c r="J65" s="77">
        <f>I65+Hypothèses!J201</f>
        <v>250000</v>
      </c>
      <c r="K65" s="77">
        <f>J65+Hypothèses!K201</f>
        <v>250000</v>
      </c>
    </row>
    <row r="66" spans="2:14" x14ac:dyDescent="0.25">
      <c r="C66" s="76" t="s">
        <v>338</v>
      </c>
      <c r="E66" s="77">
        <f>Hypothèses!$D$47+E49</f>
        <v>-277950</v>
      </c>
      <c r="F66" s="77">
        <f t="shared" ref="F66:K66" si="13">E66+F49</f>
        <v>-550416.46</v>
      </c>
      <c r="G66" s="77">
        <f t="shared" si="13"/>
        <v>-768940.27419999999</v>
      </c>
      <c r="H66" s="77">
        <f t="shared" si="13"/>
        <v>-868540.47279000003</v>
      </c>
      <c r="I66" s="77">
        <f t="shared" si="13"/>
        <v>-750328.60705653997</v>
      </c>
      <c r="J66" s="77">
        <f t="shared" si="13"/>
        <v>-266783.55900363903</v>
      </c>
      <c r="K66" s="77">
        <f t="shared" si="13"/>
        <v>548884.51209573692</v>
      </c>
    </row>
    <row r="67" spans="2:14" x14ac:dyDescent="0.25">
      <c r="C67" s="76" t="s">
        <v>260</v>
      </c>
      <c r="E67" s="77">
        <f>'2. Annexes'!E67</f>
        <v>150000</v>
      </c>
      <c r="F67" s="77">
        <f>'2. Annexes'!F67</f>
        <v>150000</v>
      </c>
      <c r="G67" s="77">
        <f>'2. Annexes'!G67</f>
        <v>150000</v>
      </c>
      <c r="H67" s="77">
        <f>'2. Annexes'!H67</f>
        <v>150000</v>
      </c>
      <c r="I67" s="77">
        <f>'2. Annexes'!I67</f>
        <v>0</v>
      </c>
      <c r="J67" s="77">
        <f>'2. Annexes'!J67</f>
        <v>0</v>
      </c>
      <c r="K67" s="77">
        <f>'2. Annexes'!K67</f>
        <v>0</v>
      </c>
    </row>
    <row r="68" spans="2:14" x14ac:dyDescent="0.25">
      <c r="C68" s="76" t="s">
        <v>261</v>
      </c>
      <c r="E68" s="77">
        <f>'2. Annexes'!E75</f>
        <v>22586.301369863013</v>
      </c>
      <c r="F68" s="77">
        <f>'2. Annexes'!F75</f>
        <v>30051.445479452053</v>
      </c>
      <c r="G68" s="77">
        <f>'2. Annexes'!G75</f>
        <v>41563.558224657529</v>
      </c>
      <c r="H68" s="77">
        <f>'2. Annexes'!H75</f>
        <v>57819.485233972599</v>
      </c>
      <c r="I68" s="77">
        <f>'2. Annexes'!I75</f>
        <v>79395.33483337643</v>
      </c>
      <c r="J68" s="77">
        <f>'2. Annexes'!J75</f>
        <v>107062.03395138806</v>
      </c>
      <c r="K68" s="77">
        <f>'2. Annexes'!K75</f>
        <v>143909.15005104878</v>
      </c>
    </row>
    <row r="69" spans="2:14" x14ac:dyDescent="0.25">
      <c r="B69" s="80"/>
      <c r="C69" s="81" t="s">
        <v>262</v>
      </c>
      <c r="D69" s="80"/>
      <c r="E69" s="82">
        <f t="shared" ref="E69:K69" si="14">E65+E66+E67+E68</f>
        <v>144636.30136986301</v>
      </c>
      <c r="F69" s="82">
        <f t="shared" si="14"/>
        <v>-120365.01452054791</v>
      </c>
      <c r="G69" s="82">
        <f t="shared" si="14"/>
        <v>-327376.71597534243</v>
      </c>
      <c r="H69" s="82">
        <f t="shared" si="14"/>
        <v>-410720.98755602742</v>
      </c>
      <c r="I69" s="82">
        <f t="shared" si="14"/>
        <v>-420933.27222316351</v>
      </c>
      <c r="J69" s="82">
        <f t="shared" si="14"/>
        <v>90278.474947749026</v>
      </c>
      <c r="K69" s="82">
        <f t="shared" si="14"/>
        <v>942793.66214678576</v>
      </c>
    </row>
    <row r="70" spans="2:14" s="15" customFormat="1" x14ac:dyDescent="0.25">
      <c r="C70" s="84" t="s">
        <v>332</v>
      </c>
      <c r="E70" s="85">
        <f t="shared" ref="E70:K70" si="15">ROUND(E62-E69,0)</f>
        <v>0</v>
      </c>
      <c r="F70" s="85">
        <f t="shared" si="15"/>
        <v>0</v>
      </c>
      <c r="G70" s="85">
        <f t="shared" si="15"/>
        <v>0</v>
      </c>
      <c r="H70" s="85">
        <f t="shared" si="15"/>
        <v>0</v>
      </c>
      <c r="I70" s="85">
        <f t="shared" si="15"/>
        <v>0</v>
      </c>
      <c r="J70" s="85">
        <f t="shared" si="15"/>
        <v>0</v>
      </c>
      <c r="K70" s="85">
        <f t="shared" si="15"/>
        <v>0</v>
      </c>
    </row>
    <row r="72" spans="2:14" ht="18.75" customHeight="1" x14ac:dyDescent="0.25">
      <c r="B72" s="3" t="s">
        <v>21</v>
      </c>
      <c r="C72" s="73" t="s">
        <v>263</v>
      </c>
      <c r="D72" s="74"/>
      <c r="E72" s="74"/>
      <c r="F72" s="74"/>
      <c r="G72" s="74"/>
      <c r="H72" s="74"/>
      <c r="I72" s="74"/>
      <c r="J72" s="74"/>
      <c r="K72" s="74"/>
    </row>
    <row r="73" spans="2:14" ht="9.9499999999999993" customHeight="1" x14ac:dyDescent="0.25"/>
    <row r="74" spans="2:14" x14ac:dyDescent="0.25">
      <c r="B74" s="10"/>
      <c r="C74" s="11" t="s">
        <v>116</v>
      </c>
      <c r="D74" s="75"/>
      <c r="E74" s="141">
        <f>Hypothèses!$D$8</f>
        <v>2026</v>
      </c>
      <c r="F74" s="141">
        <f t="shared" ref="F74:K74" si="16">E74+1</f>
        <v>2027</v>
      </c>
      <c r="G74" s="141">
        <f t="shared" si="16"/>
        <v>2028</v>
      </c>
      <c r="H74" s="141">
        <f t="shared" si="16"/>
        <v>2029</v>
      </c>
      <c r="I74" s="141">
        <f t="shared" si="16"/>
        <v>2030</v>
      </c>
      <c r="J74" s="141">
        <f t="shared" si="16"/>
        <v>2031</v>
      </c>
      <c r="K74" s="141">
        <f t="shared" si="16"/>
        <v>2032</v>
      </c>
    </row>
    <row r="75" spans="2:14" ht="5.0999999999999996" customHeight="1" x14ac:dyDescent="0.25">
      <c r="N75" t="s">
        <v>7</v>
      </c>
    </row>
    <row r="76" spans="2:14" x14ac:dyDescent="0.25">
      <c r="C76" s="76" t="s">
        <v>264</v>
      </c>
      <c r="E76" s="77">
        <f t="shared" ref="E76:K76" si="17">E49</f>
        <v>-287950</v>
      </c>
      <c r="F76" s="77">
        <f t="shared" si="17"/>
        <v>-272466.45999999996</v>
      </c>
      <c r="G76" s="77">
        <f t="shared" si="17"/>
        <v>-218523.81420000002</v>
      </c>
      <c r="H76" s="77">
        <f t="shared" si="17"/>
        <v>-99600.198590000044</v>
      </c>
      <c r="I76" s="77">
        <f t="shared" si="17"/>
        <v>118211.86573346012</v>
      </c>
      <c r="J76" s="77">
        <f t="shared" si="17"/>
        <v>483545.04805290094</v>
      </c>
      <c r="K76" s="77">
        <f t="shared" si="17"/>
        <v>815668.07109937596</v>
      </c>
    </row>
    <row r="77" spans="2:14" x14ac:dyDescent="0.25">
      <c r="C77" s="142" t="s">
        <v>333</v>
      </c>
      <c r="E77" s="77">
        <f>'2. Annexes'!E29</f>
        <v>9000</v>
      </c>
      <c r="F77" s="77">
        <f>'2. Annexes'!F29</f>
        <v>15400</v>
      </c>
      <c r="G77" s="77">
        <f>'2. Annexes'!G29</f>
        <v>22400</v>
      </c>
      <c r="H77" s="77">
        <f>'2. Annexes'!H29</f>
        <v>31600</v>
      </c>
      <c r="I77" s="77">
        <f>'2. Annexes'!I29</f>
        <v>40600</v>
      </c>
      <c r="J77" s="77">
        <f>'2. Annexes'!J29</f>
        <v>45000</v>
      </c>
      <c r="K77" s="77">
        <f>'2. Annexes'!K29</f>
        <v>51400</v>
      </c>
    </row>
    <row r="78" spans="2:14" x14ac:dyDescent="0.25">
      <c r="C78" s="142" t="s">
        <v>265</v>
      </c>
      <c r="E78" s="77">
        <f>'2. Annexes'!E77</f>
        <v>13019.17808219178</v>
      </c>
      <c r="F78" s="77">
        <f>'2. Annexes'!F77</f>
        <v>-2145.6230136986287</v>
      </c>
      <c r="G78" s="77">
        <f>'2. Annexes'!G77</f>
        <v>-6015.0839671232898</v>
      </c>
      <c r="H78" s="77">
        <f>'2. Annexes'!H77</f>
        <v>-13180.697483835611</v>
      </c>
      <c r="I78" s="77">
        <f>'2. Annexes'!I77</f>
        <v>-24090.21670766468</v>
      </c>
      <c r="J78" s="77">
        <f>'2. Annexes'!J77</f>
        <v>-39524.242502816836</v>
      </c>
      <c r="K78" s="77">
        <f>'2. Annexes'!K77</f>
        <v>-56346.830296681757</v>
      </c>
    </row>
    <row r="79" spans="2:14" x14ac:dyDescent="0.25">
      <c r="B79" s="6"/>
      <c r="C79" s="78" t="s">
        <v>266</v>
      </c>
      <c r="D79" s="6"/>
      <c r="E79" s="79">
        <f t="shared" ref="E79:K79" si="18">E76+E77+E78</f>
        <v>-265930.82191780821</v>
      </c>
      <c r="F79" s="79">
        <f t="shared" si="18"/>
        <v>-259212.0830136986</v>
      </c>
      <c r="G79" s="79">
        <f t="shared" si="18"/>
        <v>-202138.89816712332</v>
      </c>
      <c r="H79" s="79">
        <f t="shared" si="18"/>
        <v>-81180.896073835655</v>
      </c>
      <c r="I79" s="79">
        <f t="shared" si="18"/>
        <v>134721.64902579543</v>
      </c>
      <c r="J79" s="79">
        <f t="shared" si="18"/>
        <v>489020.8055500841</v>
      </c>
      <c r="K79" s="79">
        <f t="shared" si="18"/>
        <v>810721.24080269423</v>
      </c>
    </row>
    <row r="80" spans="2:14" x14ac:dyDescent="0.25">
      <c r="C80" s="142" t="s">
        <v>334</v>
      </c>
      <c r="E80" s="77">
        <f>-Hypothèses!E194</f>
        <v>-65000</v>
      </c>
      <c r="F80" s="77">
        <f>-Hypothèses!F194</f>
        <v>-47000</v>
      </c>
      <c r="G80" s="77">
        <f>-Hypothèses!G194</f>
        <v>-50000</v>
      </c>
      <c r="H80" s="77">
        <f>-Hypothèses!H194</f>
        <v>-66000</v>
      </c>
      <c r="I80" s="77">
        <f>-Hypothèses!I194</f>
        <v>-65000</v>
      </c>
      <c r="J80" s="77">
        <f>-Hypothèses!J194</f>
        <v>-67000</v>
      </c>
      <c r="K80" s="77">
        <f>-Hypothèses!K194</f>
        <v>-69000</v>
      </c>
    </row>
    <row r="81" spans="2:14" x14ac:dyDescent="0.25">
      <c r="B81" s="6"/>
      <c r="C81" s="78" t="s">
        <v>267</v>
      </c>
      <c r="D81" s="6"/>
      <c r="E81" s="79">
        <f t="shared" ref="E81:K81" si="19">E80</f>
        <v>-65000</v>
      </c>
      <c r="F81" s="79">
        <f t="shared" si="19"/>
        <v>-47000</v>
      </c>
      <c r="G81" s="79">
        <f t="shared" si="19"/>
        <v>-50000</v>
      </c>
      <c r="H81" s="79">
        <f t="shared" si="19"/>
        <v>-66000</v>
      </c>
      <c r="I81" s="79">
        <f t="shared" si="19"/>
        <v>-65000</v>
      </c>
      <c r="J81" s="79">
        <f t="shared" si="19"/>
        <v>-67000</v>
      </c>
      <c r="K81" s="79">
        <f t="shared" si="19"/>
        <v>-69000</v>
      </c>
      <c r="M81" t="s">
        <v>7</v>
      </c>
    </row>
    <row r="82" spans="2:14" x14ac:dyDescent="0.25">
      <c r="C82" s="142" t="s">
        <v>335</v>
      </c>
      <c r="E82" s="77">
        <f>Hypothèses!E201</f>
        <v>250000</v>
      </c>
      <c r="F82" s="77">
        <f>Hypothèses!F201</f>
        <v>0</v>
      </c>
      <c r="G82" s="77">
        <f>Hypothèses!G201</f>
        <v>0</v>
      </c>
      <c r="H82" s="77">
        <f>Hypothèses!H201</f>
        <v>0</v>
      </c>
      <c r="I82" s="77">
        <f>Hypothèses!I201</f>
        <v>0</v>
      </c>
      <c r="J82" s="77">
        <f>Hypothèses!J201</f>
        <v>0</v>
      </c>
      <c r="K82" s="77">
        <f>Hypothèses!K201</f>
        <v>0</v>
      </c>
    </row>
    <row r="83" spans="2:14" x14ac:dyDescent="0.25">
      <c r="C83" s="142" t="s">
        <v>336</v>
      </c>
      <c r="E83" s="77">
        <f>'2. Annexes'!E64</f>
        <v>150000</v>
      </c>
      <c r="F83" s="77">
        <f>'2. Annexes'!F64</f>
        <v>0</v>
      </c>
      <c r="G83" s="77">
        <f>'2. Annexes'!G64</f>
        <v>0</v>
      </c>
      <c r="H83" s="77">
        <f>'2. Annexes'!H64</f>
        <v>0</v>
      </c>
      <c r="I83" s="77">
        <f>'2. Annexes'!I64</f>
        <v>0</v>
      </c>
      <c r="J83" s="77">
        <f>'2. Annexes'!J64</f>
        <v>0</v>
      </c>
      <c r="K83" s="77">
        <f>'2. Annexes'!K64</f>
        <v>0</v>
      </c>
    </row>
    <row r="84" spans="2:14" x14ac:dyDescent="0.25">
      <c r="C84" s="142" t="s">
        <v>337</v>
      </c>
      <c r="E84" s="77">
        <f>-'2. Annexes'!E66</f>
        <v>0</v>
      </c>
      <c r="F84" s="77">
        <f>-'2. Annexes'!F66</f>
        <v>0</v>
      </c>
      <c r="G84" s="77">
        <f>-'2. Annexes'!G66</f>
        <v>0</v>
      </c>
      <c r="H84" s="77">
        <f>-'2. Annexes'!H66</f>
        <v>0</v>
      </c>
      <c r="I84" s="77">
        <f>-'2. Annexes'!I66</f>
        <v>-150000</v>
      </c>
      <c r="J84" s="77">
        <f>-'2. Annexes'!J66</f>
        <v>0</v>
      </c>
      <c r="K84" s="77">
        <f>-'2. Annexes'!K66</f>
        <v>0</v>
      </c>
    </row>
    <row r="85" spans="2:14" x14ac:dyDescent="0.25">
      <c r="B85" s="6"/>
      <c r="C85" s="78" t="s">
        <v>268</v>
      </c>
      <c r="D85" s="6"/>
      <c r="E85" s="79">
        <f t="shared" ref="E85:K85" si="20">E82+E83+E84</f>
        <v>400000</v>
      </c>
      <c r="F85" s="79">
        <f t="shared" si="20"/>
        <v>0</v>
      </c>
      <c r="G85" s="79">
        <f t="shared" si="20"/>
        <v>0</v>
      </c>
      <c r="H85" s="79">
        <f t="shared" si="20"/>
        <v>0</v>
      </c>
      <c r="I85" s="79">
        <f t="shared" si="20"/>
        <v>-150000</v>
      </c>
      <c r="J85" s="79">
        <f t="shared" si="20"/>
        <v>0</v>
      </c>
      <c r="K85" s="79">
        <f t="shared" si="20"/>
        <v>0</v>
      </c>
    </row>
    <row r="86" spans="2:14" ht="5.0999999999999996" customHeight="1" x14ac:dyDescent="0.25">
      <c r="N86" t="s">
        <v>7</v>
      </c>
    </row>
    <row r="87" spans="2:14" x14ac:dyDescent="0.25">
      <c r="B87" s="138"/>
      <c r="C87" s="139" t="s">
        <v>269</v>
      </c>
      <c r="D87" s="138"/>
      <c r="E87" s="140">
        <f t="shared" ref="E87:K87" si="21">E79+E81+E85</f>
        <v>69069.178082191793</v>
      </c>
      <c r="F87" s="140">
        <f t="shared" si="21"/>
        <v>-306212.08301369858</v>
      </c>
      <c r="G87" s="140">
        <f t="shared" si="21"/>
        <v>-252138.89816712332</v>
      </c>
      <c r="H87" s="140">
        <f t="shared" si="21"/>
        <v>-147180.89607383567</v>
      </c>
      <c r="I87" s="140">
        <f t="shared" si="21"/>
        <v>-80278.350974204572</v>
      </c>
      <c r="J87" s="140">
        <f t="shared" si="21"/>
        <v>422020.8055500841</v>
      </c>
      <c r="K87" s="140">
        <f t="shared" si="21"/>
        <v>741721.24080269423</v>
      </c>
    </row>
    <row r="88" spans="2:14" ht="5.0999999999999996" customHeight="1" x14ac:dyDescent="0.25">
      <c r="N88" t="s">
        <v>7</v>
      </c>
    </row>
    <row r="89" spans="2:14" x14ac:dyDescent="0.25">
      <c r="C89" s="76" t="s">
        <v>270</v>
      </c>
      <c r="E89" s="77">
        <f>Hypothèses!$D$47</f>
        <v>10000</v>
      </c>
      <c r="F89" s="77">
        <f t="shared" ref="F89:K89" si="22">E91</f>
        <v>79069.178082191793</v>
      </c>
      <c r="G89" s="77">
        <f t="shared" si="22"/>
        <v>-227142.90493150678</v>
      </c>
      <c r="H89" s="77">
        <f t="shared" si="22"/>
        <v>-479281.8030986301</v>
      </c>
      <c r="I89" s="77">
        <f t="shared" si="22"/>
        <v>-626462.69917246583</v>
      </c>
      <c r="J89" s="77">
        <f t="shared" si="22"/>
        <v>-706741.05014667043</v>
      </c>
      <c r="K89" s="77">
        <f t="shared" si="22"/>
        <v>-284720.24459658633</v>
      </c>
    </row>
    <row r="90" spans="2:14" ht="5.0999999999999996" customHeight="1" x14ac:dyDescent="0.25">
      <c r="N90" t="s">
        <v>7</v>
      </c>
    </row>
    <row r="91" spans="2:14" x14ac:dyDescent="0.25">
      <c r="B91" s="86"/>
      <c r="C91" s="87" t="s">
        <v>271</v>
      </c>
      <c r="D91" s="86"/>
      <c r="E91" s="88">
        <f t="shared" ref="E91:K91" si="23">E89+E87</f>
        <v>79069.178082191793</v>
      </c>
      <c r="F91" s="88">
        <f t="shared" si="23"/>
        <v>-227142.90493150678</v>
      </c>
      <c r="G91" s="88">
        <f t="shared" si="23"/>
        <v>-479281.8030986301</v>
      </c>
      <c r="H91" s="88">
        <f t="shared" si="23"/>
        <v>-626462.69917246583</v>
      </c>
      <c r="I91" s="88">
        <f t="shared" si="23"/>
        <v>-706741.05014667043</v>
      </c>
      <c r="J91" s="88">
        <f t="shared" si="23"/>
        <v>-284720.24459658633</v>
      </c>
      <c r="K91" s="88">
        <f t="shared" si="23"/>
        <v>457000.9962061079</v>
      </c>
    </row>
    <row r="96" spans="2:14" x14ac:dyDescent="0.25">
      <c r="G96" t="s">
        <v>7</v>
      </c>
    </row>
    <row r="98" spans="3:4" x14ac:dyDescent="0.25">
      <c r="C98" t="s">
        <v>7</v>
      </c>
      <c r="D98" t="s">
        <v>7</v>
      </c>
    </row>
    <row r="100" spans="3:4" x14ac:dyDescent="0.25">
      <c r="C100" t="s">
        <v>7</v>
      </c>
    </row>
  </sheetData>
  <pageMargins left="0.75" right="0.75" top="1" bottom="1" header="0.511811023622047" footer="0.511811023622047"/>
  <pageSetup paperSize="9" orientation="portrait" horizontalDpi="300" verticalDpi="300"/>
  <ignoredErrors>
    <ignoredError sqref="B5 B53 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9.9978637043366805E-2"/>
  </sheetPr>
  <dimension ref="B5:S89"/>
  <sheetViews>
    <sheetView showGridLines="0" topLeftCell="A47" zoomScale="91" zoomScaleNormal="91" workbookViewId="0">
      <selection activeCell="M21" sqref="M21"/>
    </sheetView>
  </sheetViews>
  <sheetFormatPr defaultColWidth="8.7109375" defaultRowHeight="15" x14ac:dyDescent="0.25"/>
  <cols>
    <col min="1" max="1" width="2.42578125" customWidth="1"/>
    <col min="2" max="2" width="5" customWidth="1"/>
    <col min="3" max="3" width="46" customWidth="1"/>
    <col min="4" max="4" width="13" customWidth="1"/>
    <col min="5" max="11" width="13.42578125" customWidth="1"/>
    <col min="12" max="12" width="8" customWidth="1"/>
    <col min="13" max="13" width="44" customWidth="1"/>
  </cols>
  <sheetData>
    <row r="5" spans="2:13" ht="18.75" customHeight="1" x14ac:dyDescent="0.25">
      <c r="B5" s="3" t="s">
        <v>33</v>
      </c>
      <c r="C5" s="73" t="s">
        <v>272</v>
      </c>
      <c r="D5" s="74"/>
      <c r="E5" s="74"/>
      <c r="F5" s="74"/>
      <c r="G5" s="74"/>
      <c r="H5" s="74"/>
      <c r="I5" s="74"/>
      <c r="J5" s="74"/>
      <c r="K5" s="74"/>
    </row>
    <row r="6" spans="2:13" ht="9.9499999999999993" customHeight="1" x14ac:dyDescent="0.25"/>
    <row r="7" spans="2:13" x14ac:dyDescent="0.25">
      <c r="B7" s="10"/>
      <c r="C7" s="11" t="s">
        <v>116</v>
      </c>
      <c r="D7" s="75"/>
      <c r="E7" s="141">
        <f>Hypothèses!$D$8</f>
        <v>2026</v>
      </c>
      <c r="F7" s="141">
        <f t="shared" ref="F7:K7" si="0">E7+1</f>
        <v>2027</v>
      </c>
      <c r="G7" s="141">
        <f t="shared" si="0"/>
        <v>2028</v>
      </c>
      <c r="H7" s="141">
        <f t="shared" si="0"/>
        <v>2029</v>
      </c>
      <c r="I7" s="141">
        <f t="shared" si="0"/>
        <v>2030</v>
      </c>
      <c r="J7" s="141">
        <f t="shared" si="0"/>
        <v>2031</v>
      </c>
      <c r="K7" s="141">
        <f t="shared" si="0"/>
        <v>2032</v>
      </c>
    </row>
    <row r="8" spans="2:13" ht="5.0999999999999996" customHeight="1" x14ac:dyDescent="0.25"/>
    <row r="9" spans="2:13" x14ac:dyDescent="0.25">
      <c r="B9" s="5"/>
      <c r="C9" s="83" t="s">
        <v>273</v>
      </c>
      <c r="D9" s="5"/>
      <c r="E9" s="5"/>
      <c r="F9" s="5"/>
      <c r="G9" s="5"/>
      <c r="H9" s="5"/>
      <c r="I9" s="5"/>
      <c r="J9" s="5"/>
      <c r="K9" s="5"/>
    </row>
    <row r="10" spans="2:13" x14ac:dyDescent="0.25">
      <c r="C10" s="89" t="s">
        <v>34</v>
      </c>
      <c r="D10" s="90"/>
      <c r="E10" s="91">
        <f>Hypothèses!E190</f>
        <v>15000</v>
      </c>
      <c r="F10" s="91">
        <f>Hypothèses!F190</f>
        <v>12000</v>
      </c>
      <c r="G10" s="91">
        <f>Hypothèses!G190</f>
        <v>15000</v>
      </c>
      <c r="H10" s="91">
        <f>Hypothèses!H190</f>
        <v>18000</v>
      </c>
      <c r="I10" s="91">
        <f>Hypothèses!I190</f>
        <v>20000</v>
      </c>
      <c r="J10" s="91">
        <f>Hypothèses!J190</f>
        <v>22000</v>
      </c>
      <c r="K10" s="91">
        <f>Hypothèses!K190</f>
        <v>24000</v>
      </c>
    </row>
    <row r="11" spans="2:13" x14ac:dyDescent="0.25">
      <c r="C11" s="92" t="s">
        <v>274</v>
      </c>
      <c r="D11" s="19"/>
      <c r="E11" s="93">
        <f>IF((0-0)&lt;Hypothèses!$D$190,Hypothèses!E190/Hypothèses!$D$190,0)</f>
        <v>3000</v>
      </c>
      <c r="F11" s="93">
        <f>IF((1-0)&lt;Hypothèses!$D$190,Hypothèses!E190/Hypothèses!$D$190,0)+IF((1-1)&lt;Hypothèses!$D$190,Hypothèses!F190/Hypothèses!$D$190,0)</f>
        <v>5400</v>
      </c>
      <c r="G11" s="93">
        <f>IF((2-0)&lt;Hypothèses!$D$190,Hypothèses!E190/Hypothèses!$D$190,0)+IF((2-1)&lt;Hypothèses!$D$190,Hypothèses!F190/Hypothèses!$D$190,0)+IF((2-2)&lt;Hypothèses!$D$190,Hypothèses!G190/Hypothèses!$D$190,0)</f>
        <v>8400</v>
      </c>
      <c r="H11" s="93">
        <f>IF((3-0)&lt;Hypothèses!$D$190,Hypothèses!E190/Hypothèses!$D$190,0)+IF((3-1)&lt;Hypothèses!$D$190,Hypothèses!F190/Hypothèses!$D$190,0)+IF((3-2)&lt;Hypothèses!$D$190,Hypothèses!G190/Hypothèses!$D$190,0)+IF((3-3)&lt;Hypothèses!$D$190,Hypothèses!H190/Hypothèses!$D$190,0)</f>
        <v>12000</v>
      </c>
      <c r="I11" s="93">
        <f>IF((4-0)&lt;Hypothèses!$D$190,Hypothèses!E190/Hypothèses!$D$190,0)+IF((4-1)&lt;Hypothèses!$D$190,Hypothèses!F190/Hypothèses!$D$190,0)+IF((4-2)&lt;Hypothèses!$D$190,Hypothèses!G190/Hypothèses!$D$190,0)+IF((4-3)&lt;Hypothèses!$D$190,Hypothèses!H190/Hypothèses!$D$190,0)+IF((4-4)&lt;Hypothèses!$D$190,Hypothèses!I190/Hypothèses!$D$190,0)</f>
        <v>16000</v>
      </c>
      <c r="J11" s="93">
        <f>IF((5-0)&lt;Hypothèses!$D$190,Hypothèses!E190/Hypothèses!$D$190,0)+IF((5-1)&lt;Hypothèses!$D$190,Hypothèses!F190/Hypothèses!$D$190,0)+IF((5-2)&lt;Hypothèses!$D$190,Hypothèses!G190/Hypothèses!$D$190,0)+IF((5-3)&lt;Hypothèses!$D$190,Hypothèses!H190/Hypothèses!$D$190,0)+IF((5-4)&lt;Hypothèses!$D$190,Hypothèses!I190/Hypothèses!$D$190,0)+IF((5-5)&lt;Hypothèses!$D$190,Hypothèses!J190/Hypothèses!$D$190,0)</f>
        <v>17400</v>
      </c>
      <c r="K11" s="93">
        <f>IF((6-0)&lt;Hypothèses!$D$190,Hypothèses!E190/Hypothèses!$D$190,0)+IF((6-1)&lt;Hypothèses!$D$190,Hypothèses!F190/Hypothèses!$D$190,0)+IF((6-2)&lt;Hypothèses!$D$190,Hypothèses!G190/Hypothèses!$D$190,0)+IF((6-3)&lt;Hypothèses!$D$190,Hypothèses!H190/Hypothèses!$D$190,0)+IF((6-4)&lt;Hypothèses!$D$190,Hypothèses!I190/Hypothèses!$D$190,0)+IF((6-5)&lt;Hypothèses!$D$190,Hypothèses!J190/Hypothèses!$D$190,0)+IF((6-6)&lt;Hypothèses!$D$190,Hypothèses!K190/Hypothèses!$D$190,0)</f>
        <v>19800</v>
      </c>
    </row>
    <row r="12" spans="2:13" x14ac:dyDescent="0.25">
      <c r="C12" s="89" t="s">
        <v>275</v>
      </c>
      <c r="D12" s="90"/>
      <c r="E12" s="91">
        <f>0+Hypothèses!E190-E11</f>
        <v>12000</v>
      </c>
      <c r="F12" s="91">
        <f>E12+Hypothèses!F190-F11</f>
        <v>18600</v>
      </c>
      <c r="G12" s="91">
        <f>F12+Hypothèses!G190-G11</f>
        <v>25200</v>
      </c>
      <c r="H12" s="91">
        <f>G12+Hypothèses!H190-H11</f>
        <v>31200</v>
      </c>
      <c r="I12" s="91">
        <f>H12+Hypothèses!I190-I11</f>
        <v>35200</v>
      </c>
      <c r="J12" s="91">
        <f>I12+Hypothèses!J190-J11</f>
        <v>39800</v>
      </c>
      <c r="K12" s="91">
        <f>J12+Hypothèses!K190-K11</f>
        <v>44000</v>
      </c>
    </row>
    <row r="13" spans="2:13" x14ac:dyDescent="0.25">
      <c r="M13" s="125"/>
    </row>
    <row r="14" spans="2:13" x14ac:dyDescent="0.25">
      <c r="B14" s="5"/>
      <c r="C14" s="83" t="s">
        <v>276</v>
      </c>
      <c r="D14" s="5"/>
      <c r="E14" s="5"/>
      <c r="F14" s="5"/>
      <c r="G14" s="5"/>
      <c r="H14" s="5"/>
      <c r="I14" s="5"/>
      <c r="J14" s="5"/>
      <c r="K14" s="5"/>
    </row>
    <row r="15" spans="2:13" x14ac:dyDescent="0.25">
      <c r="C15" s="89" t="s">
        <v>34</v>
      </c>
      <c r="D15" s="90"/>
      <c r="E15" s="91">
        <f>Hypothèses!E191</f>
        <v>10000</v>
      </c>
      <c r="F15" s="91">
        <f>Hypothèses!F191</f>
        <v>5000</v>
      </c>
      <c r="G15" s="91">
        <f>Hypothèses!G191</f>
        <v>5000</v>
      </c>
      <c r="H15" s="91">
        <f>Hypothèses!H191</f>
        <v>8000</v>
      </c>
      <c r="I15" s="91">
        <f>Hypothèses!I191</f>
        <v>5000</v>
      </c>
      <c r="J15" s="91">
        <f>Hypothèses!J191</f>
        <v>5000</v>
      </c>
      <c r="K15" s="91">
        <f>Hypothèses!K191</f>
        <v>5000</v>
      </c>
    </row>
    <row r="16" spans="2:13" x14ac:dyDescent="0.25">
      <c r="C16" s="92" t="s">
        <v>274</v>
      </c>
      <c r="D16" s="19"/>
      <c r="E16" s="93">
        <f>IF((0-0)&lt;Hypothèses!$D$191,Hypothèses!E191/Hypothèses!$D$191,0)</f>
        <v>2000</v>
      </c>
      <c r="F16" s="93">
        <f>IF((1-0)&lt;Hypothèses!$D$191,Hypothèses!E191/Hypothèses!$D$191,0)+IF((1-1)&lt;Hypothèses!$D$191,Hypothèses!F191/Hypothèses!$D$191,0)</f>
        <v>3000</v>
      </c>
      <c r="G16" s="93">
        <f>IF((2-0)&lt;Hypothèses!$D$191,Hypothèses!E191/Hypothèses!$D$191,0)+IF((2-1)&lt;Hypothèses!$D$191,Hypothèses!F191/Hypothèses!$D$191,0)+IF((2-2)&lt;Hypothèses!$D$191,Hypothèses!G191/Hypothèses!$D$191,0)</f>
        <v>4000</v>
      </c>
      <c r="H16" s="93">
        <f>IF((3-0)&lt;Hypothèses!$D$191,Hypothèses!E191/Hypothèses!$D$191,0)+IF((3-1)&lt;Hypothèses!$D$191,Hypothèses!F191/Hypothèses!$D$191,0)+IF((3-2)&lt;Hypothèses!$D$191,Hypothèses!G191/Hypothèses!$D$191,0)+IF((3-3)&lt;Hypothèses!$D$191,Hypothèses!H191/Hypothèses!$D$191,0)</f>
        <v>5600</v>
      </c>
      <c r="I16" s="93">
        <f>IF((4-0)&lt;Hypothèses!$D$191,Hypothèses!E191/Hypothèses!$D$191,0)+IF((4-1)&lt;Hypothèses!$D$191,Hypothèses!F191/Hypothèses!$D$191,0)+IF((4-2)&lt;Hypothèses!$D$191,Hypothèses!G191/Hypothèses!$D$191,0)+IF((4-3)&lt;Hypothèses!$D$191,Hypothèses!H191/Hypothèses!$D$191,0)+IF((4-4)&lt;Hypothèses!$D$191,Hypothèses!I191/Hypothèses!$D$191,0)</f>
        <v>6600</v>
      </c>
      <c r="J16" s="93">
        <f>IF((5-0)&lt;Hypothèses!$D$191,Hypothèses!E191/Hypothèses!$D$191,0)+IF((5-1)&lt;Hypothèses!$D$191,Hypothèses!F191/Hypothèses!$D$191,0)+IF((5-2)&lt;Hypothèses!$D$191,Hypothèses!G191/Hypothèses!$D$191,0)+IF((5-3)&lt;Hypothèses!$D$191,Hypothèses!H191/Hypothèses!$D$191,0)+IF((5-4)&lt;Hypothèses!$D$191,Hypothèses!I191/Hypothèses!$D$191,0)+IF((5-5)&lt;Hypothèses!$D$191,Hypothèses!J191/Hypothèses!$D$191,0)</f>
        <v>5600</v>
      </c>
      <c r="K16" s="93">
        <f>IF((6-0)&lt;Hypothèses!$D$191,Hypothèses!E191/Hypothèses!$D$191,0)+IF((6-1)&lt;Hypothèses!$D$191,Hypothèses!F191/Hypothèses!$D$191,0)+IF((6-2)&lt;Hypothèses!$D$191,Hypothèses!G191/Hypothèses!$D$191,0)+IF((6-3)&lt;Hypothèses!$D$191,Hypothèses!H191/Hypothèses!$D$191,0)+IF((6-4)&lt;Hypothèses!$D$191,Hypothèses!I191/Hypothèses!$D$191,0)+IF((6-5)&lt;Hypothèses!$D$191,Hypothèses!J191/Hypothèses!$D$191,0)+IF((6-6)&lt;Hypothèses!$D$191,Hypothèses!K191/Hypothèses!$D$191,0)</f>
        <v>5600</v>
      </c>
      <c r="M16" s="125"/>
    </row>
    <row r="17" spans="2:11" x14ac:dyDescent="0.25">
      <c r="C17" s="89" t="s">
        <v>275</v>
      </c>
      <c r="D17" s="90"/>
      <c r="E17" s="91">
        <f>0+Hypothèses!E191-E16</f>
        <v>8000</v>
      </c>
      <c r="F17" s="91">
        <f>E17+Hypothèses!F191-F16</f>
        <v>10000</v>
      </c>
      <c r="G17" s="91">
        <f>F17+Hypothèses!G191-G16</f>
        <v>11000</v>
      </c>
      <c r="H17" s="91">
        <f>G17+Hypothèses!H191-H16</f>
        <v>13400</v>
      </c>
      <c r="I17" s="91">
        <f>H17+Hypothèses!I191-I16</f>
        <v>11800</v>
      </c>
      <c r="J17" s="91">
        <f>I17+Hypothèses!J191-J16</f>
        <v>11200</v>
      </c>
      <c r="K17" s="91">
        <f>J17+Hypothèses!K191-K16</f>
        <v>10600</v>
      </c>
    </row>
    <row r="19" spans="2:11" x14ac:dyDescent="0.25">
      <c r="B19" s="5"/>
      <c r="C19" s="83" t="s">
        <v>277</v>
      </c>
      <c r="D19" s="5"/>
      <c r="E19" s="5"/>
      <c r="F19" s="5"/>
      <c r="G19" s="5"/>
      <c r="H19" s="5"/>
      <c r="I19" s="5"/>
      <c r="J19" s="5"/>
      <c r="K19" s="5"/>
    </row>
    <row r="20" spans="2:11" x14ac:dyDescent="0.25">
      <c r="C20" s="89" t="s">
        <v>34</v>
      </c>
      <c r="D20" s="90"/>
      <c r="E20" s="91">
        <f>Hypothèses!E192</f>
        <v>40000</v>
      </c>
      <c r="F20" s="91">
        <f>Hypothèses!F192</f>
        <v>30000</v>
      </c>
      <c r="G20" s="91">
        <f>Hypothèses!G192</f>
        <v>30000</v>
      </c>
      <c r="H20" s="91">
        <f>Hypothèses!H192</f>
        <v>40000</v>
      </c>
      <c r="I20" s="91">
        <f>Hypothèses!I192</f>
        <v>40000</v>
      </c>
      <c r="J20" s="91">
        <f>Hypothèses!J192</f>
        <v>40000</v>
      </c>
      <c r="K20" s="91">
        <f>Hypothèses!K192</f>
        <v>40000</v>
      </c>
    </row>
    <row r="21" spans="2:11" x14ac:dyDescent="0.25">
      <c r="C21" s="92" t="s">
        <v>274</v>
      </c>
      <c r="D21" s="19"/>
      <c r="E21" s="93">
        <f>IF((0-0)&lt;Hypothèses!$D$192,Hypothèses!E192/Hypothèses!$D$192,0)</f>
        <v>4000</v>
      </c>
      <c r="F21" s="93">
        <f>IF((1-0)&lt;Hypothèses!$D$192,Hypothèses!E192/Hypothèses!$D$192,0)+IF((1-1)&lt;Hypothèses!$D$192,Hypothèses!F192/Hypothèses!$D$192,0)</f>
        <v>7000</v>
      </c>
      <c r="G21" s="93">
        <f>IF((2-0)&lt;Hypothèses!$D$192,Hypothèses!E192/Hypothèses!$D$192,0)+IF((2-1)&lt;Hypothèses!$D$192,Hypothèses!F192/Hypothèses!$D$192,0)+IF((2-2)&lt;Hypothèses!$D$192,Hypothèses!G192/Hypothèses!$D$192,0)</f>
        <v>10000</v>
      </c>
      <c r="H21" s="93">
        <f>IF((3-0)&lt;Hypothèses!$D$192,Hypothèses!E192/Hypothèses!$D$192,0)+IF((3-1)&lt;Hypothèses!$D$192,Hypothèses!F192/Hypothèses!$D$192,0)+IF((3-2)&lt;Hypothèses!$D$192,Hypothèses!G192/Hypothèses!$D$192,0)+IF((3-3)&lt;Hypothèses!$D$192,Hypothèses!H192/Hypothèses!$D$192,0)</f>
        <v>14000</v>
      </c>
      <c r="I21" s="93">
        <f>IF((4-0)&lt;Hypothèses!$D$192,Hypothèses!E192/Hypothèses!$D$192,0)+IF((4-1)&lt;Hypothèses!$D$192,Hypothèses!F192/Hypothèses!$D$192,0)+IF((4-2)&lt;Hypothèses!$D$192,Hypothèses!G192/Hypothèses!$D$192,0)+IF((4-3)&lt;Hypothèses!$D$192,Hypothèses!H192/Hypothèses!$D$192,0)+IF((4-4)&lt;Hypothèses!$D$192,Hypothèses!I192/Hypothèses!$D$192,0)</f>
        <v>18000</v>
      </c>
      <c r="J21" s="93">
        <f>IF((5-0)&lt;Hypothèses!$D$192,Hypothèses!E192/Hypothèses!$D$192,0)+IF((5-1)&lt;Hypothèses!$D$192,Hypothèses!F192/Hypothèses!$D$192,0)+IF((5-2)&lt;Hypothèses!$D$192,Hypothèses!G192/Hypothèses!$D$192,0)+IF((5-3)&lt;Hypothèses!$D$192,Hypothèses!H192/Hypothèses!$D$192,0)+IF((5-4)&lt;Hypothèses!$D$192,Hypothèses!I192/Hypothèses!$D$192,0)+IF((5-5)&lt;Hypothèses!$D$192,Hypothèses!J192/Hypothèses!$D$192,0)</f>
        <v>22000</v>
      </c>
      <c r="K21" s="93">
        <f>IF((6-0)&lt;Hypothèses!$D$192,Hypothèses!E192/Hypothèses!$D$192,0)+IF((6-1)&lt;Hypothèses!$D$192,Hypothèses!F192/Hypothèses!$D$192,0)+IF((6-2)&lt;Hypothèses!$D$192,Hypothèses!G192/Hypothèses!$D$192,0)+IF((6-3)&lt;Hypothèses!$D$192,Hypothèses!H192/Hypothèses!$D$192,0)+IF((6-4)&lt;Hypothèses!$D$192,Hypothèses!I192/Hypothèses!$D$192,0)+IF((6-5)&lt;Hypothèses!$D$192,Hypothèses!J192/Hypothèses!$D$192,0)+IF((6-6)&lt;Hypothèses!$D$192,Hypothèses!K192/Hypothèses!$D$192,0)</f>
        <v>26000</v>
      </c>
    </row>
    <row r="22" spans="2:11" x14ac:dyDescent="0.25">
      <c r="C22" s="89" t="s">
        <v>275</v>
      </c>
      <c r="D22" s="90"/>
      <c r="E22" s="91">
        <f>0+Hypothèses!E192-E21</f>
        <v>36000</v>
      </c>
      <c r="F22" s="91">
        <f>E22+Hypothèses!F192-F21</f>
        <v>59000</v>
      </c>
      <c r="G22" s="91">
        <f>F22+Hypothèses!G192-G21</f>
        <v>79000</v>
      </c>
      <c r="H22" s="91">
        <f>G22+Hypothèses!H192-H21</f>
        <v>105000</v>
      </c>
      <c r="I22" s="91">
        <f>H22+Hypothèses!I192-I21</f>
        <v>127000</v>
      </c>
      <c r="J22" s="91">
        <f>I22+Hypothèses!J192-J21</f>
        <v>145000</v>
      </c>
      <c r="K22" s="91">
        <f>J22+Hypothèses!K192-K21</f>
        <v>159000</v>
      </c>
    </row>
    <row r="24" spans="2:11" x14ac:dyDescent="0.25">
      <c r="B24" s="5"/>
      <c r="C24" s="83" t="s">
        <v>278</v>
      </c>
      <c r="D24" s="5"/>
      <c r="E24" s="5"/>
      <c r="F24" s="5"/>
      <c r="G24" s="5"/>
      <c r="H24" s="5"/>
      <c r="I24" s="5"/>
      <c r="J24" s="5"/>
      <c r="K24" s="5"/>
    </row>
    <row r="25" spans="2:11" x14ac:dyDescent="0.25">
      <c r="C25" s="89" t="s">
        <v>34</v>
      </c>
      <c r="D25" s="90"/>
      <c r="E25" s="91">
        <f>Hypothèses!E193</f>
        <v>0</v>
      </c>
      <c r="F25" s="91">
        <f>Hypothèses!F193</f>
        <v>0</v>
      </c>
      <c r="G25" s="91">
        <f>Hypothèses!G193</f>
        <v>0</v>
      </c>
      <c r="H25" s="91">
        <f>Hypothèses!H193</f>
        <v>0</v>
      </c>
      <c r="I25" s="91">
        <f>Hypothèses!I193</f>
        <v>0</v>
      </c>
      <c r="J25" s="91">
        <f>Hypothèses!J193</f>
        <v>0</v>
      </c>
      <c r="K25" s="91">
        <f>Hypothèses!K193</f>
        <v>0</v>
      </c>
    </row>
    <row r="26" spans="2:11" x14ac:dyDescent="0.25">
      <c r="C26" s="92" t="s">
        <v>274</v>
      </c>
      <c r="D26" s="19"/>
      <c r="E26" s="93">
        <f>IF((0-0)&lt;Hypothèses!$D$193,Hypothèses!E193/Hypothèses!$D$193,0)</f>
        <v>0</v>
      </c>
      <c r="F26" s="93">
        <f>IF((1-0)&lt;Hypothèses!$D$193,Hypothèses!E193/Hypothèses!$D$193,0)+IF((1-1)&lt;Hypothèses!$D$193,Hypothèses!F193/Hypothèses!$D$193,0)</f>
        <v>0</v>
      </c>
      <c r="G26" s="93">
        <f>IF((2-0)&lt;Hypothèses!$D$193,Hypothèses!E193/Hypothèses!$D$193,0)+IF((2-1)&lt;Hypothèses!$D$193,Hypothèses!F193/Hypothèses!$D$193,0)+IF((2-2)&lt;Hypothèses!$D$193,Hypothèses!G193/Hypothèses!$D$193,0)</f>
        <v>0</v>
      </c>
      <c r="H26" s="93">
        <f>IF((3-0)&lt;Hypothèses!$D$193,Hypothèses!E193/Hypothèses!$D$193,0)+IF((3-1)&lt;Hypothèses!$D$193,Hypothèses!F193/Hypothèses!$D$193,0)+IF((3-2)&lt;Hypothèses!$D$193,Hypothèses!G193/Hypothèses!$D$193,0)+IF((3-3)&lt;Hypothèses!$D$193,Hypothèses!H193/Hypothèses!$D$193,0)</f>
        <v>0</v>
      </c>
      <c r="I26" s="93">
        <f>IF((4-0)&lt;Hypothèses!$D$193,Hypothèses!E193/Hypothèses!$D$193,0)+IF((4-1)&lt;Hypothèses!$D$193,Hypothèses!F193/Hypothèses!$D$193,0)+IF((4-2)&lt;Hypothèses!$D$193,Hypothèses!G193/Hypothèses!$D$193,0)+IF((4-3)&lt;Hypothèses!$D$193,Hypothèses!H193/Hypothèses!$D$193,0)+IF((4-4)&lt;Hypothèses!$D$193,Hypothèses!I193/Hypothèses!$D$193,0)</f>
        <v>0</v>
      </c>
      <c r="J26" s="93">
        <f>IF((5-0)&lt;Hypothèses!$D$193,Hypothèses!E193/Hypothèses!$D$193,0)+IF((5-1)&lt;Hypothèses!$D$193,Hypothèses!F193/Hypothèses!$D$193,0)+IF((5-2)&lt;Hypothèses!$D$193,Hypothèses!G193/Hypothèses!$D$193,0)+IF((5-3)&lt;Hypothèses!$D$193,Hypothèses!H193/Hypothèses!$D$193,0)+IF((5-4)&lt;Hypothèses!$D$193,Hypothèses!I193/Hypothèses!$D$193,0)+IF((5-5)&lt;Hypothèses!$D$193,Hypothèses!J193/Hypothèses!$D$193,0)</f>
        <v>0</v>
      </c>
      <c r="K26" s="93">
        <f>IF((6-0)&lt;Hypothèses!$D$193,Hypothèses!E193/Hypothèses!$D$193,0)+IF((6-1)&lt;Hypothèses!$D$193,Hypothèses!F193/Hypothèses!$D$193,0)+IF((6-2)&lt;Hypothèses!$D$193,Hypothèses!G193/Hypothèses!$D$193,0)+IF((6-3)&lt;Hypothèses!$D$193,Hypothèses!H193/Hypothèses!$D$193,0)+IF((6-4)&lt;Hypothèses!$D$193,Hypothèses!I193/Hypothèses!$D$193,0)+IF((6-5)&lt;Hypothèses!$D$193,Hypothèses!J193/Hypothèses!$D$193,0)+IF((6-6)&lt;Hypothèses!$D$193,Hypothèses!K193/Hypothèses!$D$193,0)</f>
        <v>0</v>
      </c>
    </row>
    <row r="27" spans="2:11" x14ac:dyDescent="0.25">
      <c r="C27" s="89" t="s">
        <v>275</v>
      </c>
      <c r="D27" s="90"/>
      <c r="E27" s="91">
        <f>0+Hypothèses!E193-E26</f>
        <v>0</v>
      </c>
      <c r="F27" s="91">
        <f>E27+Hypothèses!F193-F26</f>
        <v>0</v>
      </c>
      <c r="G27" s="91">
        <f>F27+Hypothèses!G193-G26</f>
        <v>0</v>
      </c>
      <c r="H27" s="91">
        <f>G27+Hypothèses!H193-H26</f>
        <v>0</v>
      </c>
      <c r="I27" s="91">
        <f>H27+Hypothèses!I193-I26</f>
        <v>0</v>
      </c>
      <c r="J27" s="91">
        <f>I27+Hypothèses!J193-J26</f>
        <v>0</v>
      </c>
      <c r="K27" s="91">
        <f>J27+Hypothèses!K193-K26</f>
        <v>0</v>
      </c>
    </row>
    <row r="29" spans="2:11" x14ac:dyDescent="0.25">
      <c r="B29" s="86"/>
      <c r="C29" s="87" t="s">
        <v>279</v>
      </c>
      <c r="D29" s="86"/>
      <c r="E29" s="88">
        <f t="shared" ref="E29:K30" si="1">E11+E16+E21+E26</f>
        <v>9000</v>
      </c>
      <c r="F29" s="88">
        <f t="shared" si="1"/>
        <v>15400</v>
      </c>
      <c r="G29" s="88">
        <f t="shared" si="1"/>
        <v>22400</v>
      </c>
      <c r="H29" s="88">
        <f t="shared" si="1"/>
        <v>31600</v>
      </c>
      <c r="I29" s="88">
        <f t="shared" si="1"/>
        <v>40600</v>
      </c>
      <c r="J29" s="88">
        <f t="shared" si="1"/>
        <v>45000</v>
      </c>
      <c r="K29" s="88">
        <f t="shared" si="1"/>
        <v>51400</v>
      </c>
    </row>
    <row r="30" spans="2:11" x14ac:dyDescent="0.25">
      <c r="B30" s="86"/>
      <c r="C30" s="87" t="s">
        <v>280</v>
      </c>
      <c r="D30" s="86"/>
      <c r="E30" s="88">
        <f t="shared" si="1"/>
        <v>56000</v>
      </c>
      <c r="F30" s="88">
        <f t="shared" si="1"/>
        <v>87600</v>
      </c>
      <c r="G30" s="88">
        <f t="shared" si="1"/>
        <v>115200</v>
      </c>
      <c r="H30" s="88">
        <f t="shared" si="1"/>
        <v>149600</v>
      </c>
      <c r="I30" s="88">
        <f t="shared" si="1"/>
        <v>174000</v>
      </c>
      <c r="J30" s="88">
        <f t="shared" si="1"/>
        <v>196000</v>
      </c>
      <c r="K30" s="88">
        <f t="shared" si="1"/>
        <v>213600</v>
      </c>
    </row>
    <row r="32" spans="2:11" ht="18.75" customHeight="1" x14ac:dyDescent="0.25">
      <c r="B32" s="3" t="s">
        <v>35</v>
      </c>
      <c r="C32" s="73" t="s">
        <v>281</v>
      </c>
      <c r="D32" s="74"/>
      <c r="E32" s="74"/>
      <c r="F32" s="74"/>
      <c r="G32" s="74"/>
      <c r="H32" s="74"/>
      <c r="I32" s="74"/>
      <c r="J32" s="74"/>
      <c r="K32" s="74"/>
    </row>
    <row r="33" spans="2:19" ht="9.9499999999999993" customHeight="1" x14ac:dyDescent="0.25"/>
    <row r="34" spans="2:19" x14ac:dyDescent="0.25">
      <c r="B34" s="10"/>
      <c r="C34" s="11" t="s">
        <v>116</v>
      </c>
      <c r="D34" s="75"/>
      <c r="E34" s="12">
        <f>Hypothèses!$D$8</f>
        <v>2026</v>
      </c>
      <c r="F34" s="12">
        <f t="shared" ref="F34:K34" si="2">E34+1</f>
        <v>2027</v>
      </c>
      <c r="G34" s="12">
        <f t="shared" si="2"/>
        <v>2028</v>
      </c>
      <c r="H34" s="12">
        <f t="shared" si="2"/>
        <v>2029</v>
      </c>
      <c r="I34" s="12">
        <f t="shared" si="2"/>
        <v>2030</v>
      </c>
      <c r="J34" s="12">
        <f t="shared" si="2"/>
        <v>2031</v>
      </c>
      <c r="K34" s="12">
        <f t="shared" si="2"/>
        <v>2032</v>
      </c>
    </row>
    <row r="35" spans="2:19" ht="5.0999999999999996" customHeight="1" x14ac:dyDescent="0.25"/>
    <row r="36" spans="2:19" x14ac:dyDescent="0.25">
      <c r="B36" s="5"/>
      <c r="C36" s="83" t="s">
        <v>207</v>
      </c>
      <c r="D36" s="5"/>
      <c r="E36" s="5"/>
      <c r="F36" s="5"/>
      <c r="G36" s="5"/>
      <c r="H36" s="5"/>
      <c r="I36" s="5"/>
      <c r="J36" s="5"/>
      <c r="K36" s="5"/>
      <c r="S36" t="s">
        <v>7</v>
      </c>
    </row>
    <row r="37" spans="2:19" x14ac:dyDescent="0.25">
      <c r="C37" s="14" t="s">
        <v>282</v>
      </c>
      <c r="D37" s="13"/>
      <c r="E37" s="94">
        <f>IF(E7=Hypothèses!$D$205,Hypothèses!$D$204,0)</f>
        <v>150000</v>
      </c>
      <c r="F37" s="94">
        <f>IF(F7=Hypothèses!$D$205,Hypothèses!$D$204,0)</f>
        <v>0</v>
      </c>
      <c r="G37" s="94">
        <f>IF(G7=Hypothèses!$D$205,Hypothèses!$D$204,0)</f>
        <v>0</v>
      </c>
      <c r="H37" s="94">
        <f>IF(H7=Hypothèses!$D$205,Hypothèses!$D$204,0)</f>
        <v>0</v>
      </c>
      <c r="I37" s="94">
        <f>IF(I7=Hypothèses!$D$205,Hypothèses!$D$204,0)</f>
        <v>0</v>
      </c>
      <c r="J37" s="94">
        <f>IF(J7=Hypothèses!$D$205,Hypothèses!$D$204,0)</f>
        <v>0</v>
      </c>
      <c r="K37" s="94">
        <f>IF(K7=Hypothèses!$D$205,Hypothèses!$D$204,0)</f>
        <v>0</v>
      </c>
    </row>
    <row r="38" spans="2:19" x14ac:dyDescent="0.25">
      <c r="C38" s="92" t="s">
        <v>283</v>
      </c>
      <c r="D38" s="19"/>
      <c r="E38" s="93">
        <f>0</f>
        <v>0</v>
      </c>
      <c r="F38" s="93">
        <f t="shared" ref="F38:K38" si="3">E41</f>
        <v>150000</v>
      </c>
      <c r="G38" s="93">
        <f t="shared" si="3"/>
        <v>150000</v>
      </c>
      <c r="H38" s="93">
        <f t="shared" si="3"/>
        <v>150000</v>
      </c>
      <c r="I38" s="93">
        <f t="shared" si="3"/>
        <v>150000</v>
      </c>
      <c r="J38" s="93">
        <f t="shared" si="3"/>
        <v>0</v>
      </c>
      <c r="K38" s="93">
        <f t="shared" si="3"/>
        <v>0</v>
      </c>
    </row>
    <row r="39" spans="2:19" x14ac:dyDescent="0.25">
      <c r="C39" s="14" t="s">
        <v>284</v>
      </c>
      <c r="D39" s="13"/>
      <c r="E39" s="94">
        <f>IF(AND((E7-Hypothèses!$D$205)&gt;=0,(E7-Hypothèses!$D$205)&lt;=Hypothèses!$D$206-1),(E38+E37)*Hypothèses!$D$207,0)</f>
        <v>6000</v>
      </c>
      <c r="F39" s="94">
        <f>IF(AND((F7-Hypothèses!$D$205)&gt;=0,(F7-Hypothèses!$D$205)&lt;=Hypothèses!$D$206-1),(F38+F37)*Hypothèses!$D$207,0)</f>
        <v>6000</v>
      </c>
      <c r="G39" s="94">
        <f>IF(AND((G7-Hypothèses!$D$205)&gt;=0,(G7-Hypothèses!$D$205)&lt;=Hypothèses!$D$206-1),(G38+G37)*Hypothèses!$D$207,0)</f>
        <v>6000</v>
      </c>
      <c r="H39" s="94">
        <f>IF(AND((H7-Hypothèses!$D$205)&gt;=0,(H7-Hypothèses!$D$205)&lt;=Hypothèses!$D$206-1),(H38+H37)*Hypothèses!$D$207,0)</f>
        <v>6000</v>
      </c>
      <c r="I39" s="94">
        <f>IF(AND((I7-Hypothèses!$D$205)&gt;=0,(I7-Hypothèses!$D$205)&lt;=Hypothèses!$D$206-1),(I38+I37)*Hypothèses!$D$207,0)</f>
        <v>6000</v>
      </c>
      <c r="J39" s="94">
        <f>IF(AND((J7-Hypothèses!$D$205)&gt;=0,(J7-Hypothèses!$D$205)&lt;=Hypothèses!$D$206-1),(J38+J37)*Hypothèses!$D$207,0)</f>
        <v>0</v>
      </c>
      <c r="K39" s="94">
        <f>IF(AND((K7-Hypothèses!$D$205)&gt;=0,(K7-Hypothèses!$D$205)&lt;=Hypothèses!$D$206-1),(K38+K37)*Hypothèses!$D$207,0)</f>
        <v>0</v>
      </c>
    </row>
    <row r="40" spans="2:19" x14ac:dyDescent="0.25">
      <c r="C40" s="14" t="s">
        <v>285</v>
      </c>
      <c r="D40" s="13"/>
      <c r="E40" s="94">
        <f>IF(NOT(AND((E7-Hypothèses!$D$205)&gt;=Hypothèses!$D$209,(E7-Hypothèses!$D$205)&lt;=Hypothèses!$D$206-1,(E38+E37)&gt;0.005)),0,IF((E7-Hypothèses!$D$205)=Hypothèses!$D$206-1,(E38+E37),IF(Hypothèses!$D$208="Linéaire",Hypothèses!$D$204/(Hypothèses!$D$206-Hypothèses!$D$209),IF(Hypothèses!$D$208="Annuité",PMT(Hypothèses!$D$207,(Hypothèses!$D$206-Hypothèses!$D$209),-Hypothèses!$D$204)-(E38+E37)*Hypothèses!$D$207,0))))</f>
        <v>0</v>
      </c>
      <c r="F40" s="94">
        <f>IF(NOT(AND((F7-Hypothèses!$D$205)&gt;=Hypothèses!$D$209,(F7-Hypothèses!$D$205)&lt;=Hypothèses!$D$206-1,(F38+F37)&gt;0.005)),0,IF((F7-Hypothèses!$D$205)=Hypothèses!$D$206-1,(F38+F37),IF(Hypothèses!$D$208="Linéaire",Hypothèses!$D$204/(Hypothèses!$D$206-Hypothèses!$D$209),IF(Hypothèses!$D$208="Annuité",PMT(Hypothèses!$D$207,(Hypothèses!$D$206-Hypothèses!$D$209),-Hypothèses!$D$204)-(F38+F37)*Hypothèses!$D$207,0))))</f>
        <v>0</v>
      </c>
      <c r="G40" s="94">
        <f>IF(NOT(AND((G7-Hypothèses!$D$205)&gt;=Hypothèses!$D$209,(G7-Hypothèses!$D$205)&lt;=Hypothèses!$D$206-1,(G38+G37)&gt;0.005)),0,IF((G7-Hypothèses!$D$205)=Hypothèses!$D$206-1,(G38+G37),IF(Hypothèses!$D$208="Linéaire",Hypothèses!$D$204/(Hypothèses!$D$206-Hypothèses!$D$209),IF(Hypothèses!$D$208="Annuité",PMT(Hypothèses!$D$207,(Hypothèses!$D$206-Hypothèses!$D$209),-Hypothèses!$D$204)-(G38+G37)*Hypothèses!$D$207,0))))</f>
        <v>0</v>
      </c>
      <c r="H40" s="94">
        <f>IF(NOT(AND((H7-Hypothèses!$D$205)&gt;=Hypothèses!$D$209,(H7-Hypothèses!$D$205)&lt;=Hypothèses!$D$206-1,(H38+H37)&gt;0.005)),0,IF((H7-Hypothèses!$D$205)=Hypothèses!$D$206-1,(H38+H37),IF(Hypothèses!$D$208="Linéaire",Hypothèses!$D$204/(Hypothèses!$D$206-Hypothèses!$D$209),IF(Hypothèses!$D$208="Annuité",PMT(Hypothèses!$D$207,(Hypothèses!$D$206-Hypothèses!$D$209),-Hypothèses!$D$204)-(H38+H37)*Hypothèses!$D$207,0))))</f>
        <v>0</v>
      </c>
      <c r="I40" s="94">
        <f>IF(NOT(AND((I7-Hypothèses!$D$205)&gt;=Hypothèses!$D$209,(I7-Hypothèses!$D$205)&lt;=Hypothèses!$D$206-1,(I38+I37)&gt;0.005)),0,IF((I7-Hypothèses!$D$205)=Hypothèses!$D$206-1,(I38+I37),IF(Hypothèses!$D$208="Linéaire",Hypothèses!$D$204/(Hypothèses!$D$206-Hypothèses!$D$209),IF(Hypothèses!$D$208="Annuité",PMT(Hypothèses!$D$207,(Hypothèses!$D$206-Hypothèses!$D$209),-Hypothèses!$D$204)-(I38+I37)*Hypothèses!$D$207,0))))</f>
        <v>150000</v>
      </c>
      <c r="J40" s="94">
        <f>IF(NOT(AND((J7-Hypothèses!$D$205)&gt;=Hypothèses!$D$209,(J7-Hypothèses!$D$205)&lt;=Hypothèses!$D$206-1,(J38+J37)&gt;0.005)),0,IF((J7-Hypothèses!$D$205)=Hypothèses!$D$206-1,(J38+J37),IF(Hypothèses!$D$208="Linéaire",Hypothèses!$D$204/(Hypothèses!$D$206-Hypothèses!$D$209),IF(Hypothèses!$D$208="Annuité",PMT(Hypothèses!$D$207,(Hypothèses!$D$206-Hypothèses!$D$209),-Hypothèses!$D$204)-(J38+J37)*Hypothèses!$D$207,0))))</f>
        <v>0</v>
      </c>
      <c r="K40" s="94">
        <f>IF(NOT(AND((K7-Hypothèses!$D$205)&gt;=Hypothèses!$D$209,(K7-Hypothèses!$D$205)&lt;=Hypothèses!$D$206-1,(K38+K37)&gt;0.005)),0,IF((K7-Hypothèses!$D$205)=Hypothèses!$D$206-1,(K38+K37),IF(Hypothèses!$D$208="Linéaire",Hypothèses!$D$204/(Hypothèses!$D$206-Hypothèses!$D$209),IF(Hypothèses!$D$208="Annuité",PMT(Hypothèses!$D$207,(Hypothèses!$D$206-Hypothèses!$D$209),-Hypothèses!$D$204)-(K38+K37)*Hypothèses!$D$207,0))))</f>
        <v>0</v>
      </c>
    </row>
    <row r="41" spans="2:19" x14ac:dyDescent="0.25">
      <c r="B41" s="95"/>
      <c r="C41" s="96" t="s">
        <v>286</v>
      </c>
      <c r="D41" s="97"/>
      <c r="E41" s="98">
        <f>E38+E37-E40</f>
        <v>150000</v>
      </c>
      <c r="F41" s="98">
        <f t="shared" ref="F41:K41" si="4">F38+F37-F40</f>
        <v>150000</v>
      </c>
      <c r="G41" s="98">
        <f t="shared" si="4"/>
        <v>150000</v>
      </c>
      <c r="H41" s="98">
        <f t="shared" si="4"/>
        <v>150000</v>
      </c>
      <c r="I41" s="98">
        <f t="shared" si="4"/>
        <v>0</v>
      </c>
      <c r="J41" s="98">
        <f t="shared" si="4"/>
        <v>0</v>
      </c>
      <c r="K41" s="98">
        <f t="shared" si="4"/>
        <v>0</v>
      </c>
    </row>
    <row r="43" spans="2:19" x14ac:dyDescent="0.25">
      <c r="B43" s="5"/>
      <c r="C43" s="83" t="s">
        <v>214</v>
      </c>
      <c r="D43" s="5"/>
      <c r="E43" s="5"/>
      <c r="F43" s="5"/>
      <c r="G43" s="5"/>
      <c r="H43" s="5"/>
      <c r="I43" s="5"/>
      <c r="J43" s="5"/>
      <c r="K43" s="5"/>
    </row>
    <row r="44" spans="2:19" x14ac:dyDescent="0.25">
      <c r="C44" s="14" t="s">
        <v>282</v>
      </c>
      <c r="D44" s="13"/>
      <c r="E44" s="94">
        <f>IF(E7=Hypothèses!$D$213,Hypothèses!$D$212,0)</f>
        <v>0</v>
      </c>
      <c r="F44" s="94">
        <f>IF(F7=Hypothèses!$D$213,Hypothèses!$D$212,0)</f>
        <v>0</v>
      </c>
      <c r="G44" s="94">
        <f>IF(G7=Hypothèses!$D$213,Hypothèses!$D$212,0)</f>
        <v>0</v>
      </c>
      <c r="H44" s="94">
        <f>IF(H7=Hypothèses!$D$213,Hypothèses!$D$212,0)</f>
        <v>0</v>
      </c>
      <c r="I44" s="94">
        <f>IF(I7=Hypothèses!$D$213,Hypothèses!$D$212,0)</f>
        <v>0</v>
      </c>
      <c r="J44" s="94">
        <f>IF(J7=Hypothèses!$D$213,Hypothèses!$D$212,0)</f>
        <v>0</v>
      </c>
      <c r="K44" s="94">
        <f>IF(K7=Hypothèses!$D$213,Hypothèses!$D$212,0)</f>
        <v>0</v>
      </c>
    </row>
    <row r="45" spans="2:19" x14ac:dyDescent="0.25">
      <c r="C45" s="92" t="s">
        <v>283</v>
      </c>
      <c r="D45" s="19"/>
      <c r="E45" s="93">
        <f>0</f>
        <v>0</v>
      </c>
      <c r="F45" s="93">
        <f t="shared" ref="F45:K45" si="5">E48</f>
        <v>0</v>
      </c>
      <c r="G45" s="93">
        <f t="shared" si="5"/>
        <v>0</v>
      </c>
      <c r="H45" s="93">
        <f t="shared" si="5"/>
        <v>0</v>
      </c>
      <c r="I45" s="93">
        <f t="shared" si="5"/>
        <v>0</v>
      </c>
      <c r="J45" s="93">
        <f t="shared" si="5"/>
        <v>0</v>
      </c>
      <c r="K45" s="93">
        <f t="shared" si="5"/>
        <v>0</v>
      </c>
    </row>
    <row r="46" spans="2:19" x14ac:dyDescent="0.25">
      <c r="C46" s="14" t="s">
        <v>284</v>
      </c>
      <c r="D46" s="13"/>
      <c r="E46" s="94">
        <f>IF(AND((E7-Hypothèses!$D$213)&gt;=0,(E7-Hypothèses!$D$213)&lt;=Hypothèses!$D$214-1),(E45+E44)*Hypothèses!$D$215,0)</f>
        <v>0</v>
      </c>
      <c r="F46" s="94">
        <f>IF(AND((F7-Hypothèses!$D$213)&gt;=0,(F7-Hypothèses!$D$213)&lt;=Hypothèses!$D$214-1),(F45+F44)*Hypothèses!$D$215,0)</f>
        <v>0</v>
      </c>
      <c r="G46" s="94">
        <f>IF(AND((G7-Hypothèses!$D$213)&gt;=0,(G7-Hypothèses!$D$213)&lt;=Hypothèses!$D$214-1),(G45+G44)*Hypothèses!$D$215,0)</f>
        <v>0</v>
      </c>
      <c r="H46" s="94">
        <f>IF(AND((H7-Hypothèses!$D$213)&gt;=0,(H7-Hypothèses!$D$213)&lt;=Hypothèses!$D$214-1),(H45+H44)*Hypothèses!$D$215,0)</f>
        <v>0</v>
      </c>
      <c r="I46" s="94">
        <f>IF(AND((I7-Hypothèses!$D$213)&gt;=0,(I7-Hypothèses!$D$213)&lt;=Hypothèses!$D$214-1),(I45+I44)*Hypothèses!$D$215,0)</f>
        <v>0</v>
      </c>
      <c r="J46" s="94">
        <f>IF(AND((J7-Hypothèses!$D$213)&gt;=0,(J7-Hypothèses!$D$213)&lt;=Hypothèses!$D$214-1),(J45+J44)*Hypothèses!$D$215,0)</f>
        <v>0</v>
      </c>
      <c r="K46" s="94">
        <f>IF(AND((K7-Hypothèses!$D$213)&gt;=0,(K7-Hypothèses!$D$213)&lt;=Hypothèses!$D$214-1),(K45+K44)*Hypothèses!$D$215,0)</f>
        <v>0</v>
      </c>
    </row>
    <row r="47" spans="2:19" x14ac:dyDescent="0.25">
      <c r="C47" s="14" t="s">
        <v>285</v>
      </c>
      <c r="D47" s="13"/>
      <c r="E47" s="94">
        <f>IF(NOT(AND((E7-Hypothèses!$D$213)&gt;=Hypothèses!$D$217,(E7-Hypothèses!$D$213)&lt;=Hypothèses!$D$214-1,(E45+E44)&gt;0.005)),0,IF((E7-Hypothèses!$D$213)=Hypothèses!$D$214-1,(E45+E44),IF(Hypothèses!$D$216="Linéaire",Hypothèses!$D$212/(Hypothèses!$D$214-Hypothèses!$D$217),IF(Hypothèses!$D$216="Annuité",PMT(Hypothèses!$D$215,(Hypothèses!$D$214-Hypothèses!$D$217),-Hypothèses!$D$212)-(E45+E44)*Hypothèses!$D$215,0))))</f>
        <v>0</v>
      </c>
      <c r="F47" s="94">
        <f>IF(NOT(AND((F7-Hypothèses!$D$213)&gt;=Hypothèses!$D$217,(F7-Hypothèses!$D$213)&lt;=Hypothèses!$D$214-1,(F45+F44)&gt;0.005)),0,IF((F7-Hypothèses!$D$213)=Hypothèses!$D$214-1,(F45+F44),IF(Hypothèses!$D$216="Linéaire",Hypothèses!$D$212/(Hypothèses!$D$214-Hypothèses!$D$217),IF(Hypothèses!$D$216="Annuité",PMT(Hypothèses!$D$215,(Hypothèses!$D$214-Hypothèses!$D$217),-Hypothèses!$D$212)-(F45+F44)*Hypothèses!$D$215,0))))</f>
        <v>0</v>
      </c>
      <c r="G47" s="94">
        <f>IF(NOT(AND((G7-Hypothèses!$D$213)&gt;=Hypothèses!$D$217,(G7-Hypothèses!$D$213)&lt;=Hypothèses!$D$214-1,(G45+G44)&gt;0.005)),0,IF((G7-Hypothèses!$D$213)=Hypothèses!$D$214-1,(G45+G44),IF(Hypothèses!$D$216="Linéaire",Hypothèses!$D$212/(Hypothèses!$D$214-Hypothèses!$D$217),IF(Hypothèses!$D$216="Annuité",PMT(Hypothèses!$D$215,(Hypothèses!$D$214-Hypothèses!$D$217),-Hypothèses!$D$212)-(G45+G44)*Hypothèses!$D$215,0))))</f>
        <v>0</v>
      </c>
      <c r="H47" s="94">
        <f>IF(NOT(AND((H7-Hypothèses!$D$213)&gt;=Hypothèses!$D$217,(H7-Hypothèses!$D$213)&lt;=Hypothèses!$D$214-1,(H45+H44)&gt;0.005)),0,IF((H7-Hypothèses!$D$213)=Hypothèses!$D$214-1,(H45+H44),IF(Hypothèses!$D$216="Linéaire",Hypothèses!$D$212/(Hypothèses!$D$214-Hypothèses!$D$217),IF(Hypothèses!$D$216="Annuité",PMT(Hypothèses!$D$215,(Hypothèses!$D$214-Hypothèses!$D$217),-Hypothèses!$D$212)-(H45+H44)*Hypothèses!$D$215,0))))</f>
        <v>0</v>
      </c>
      <c r="I47" s="94">
        <f>IF(NOT(AND((I7-Hypothèses!$D$213)&gt;=Hypothèses!$D$217,(I7-Hypothèses!$D$213)&lt;=Hypothèses!$D$214-1,(I45+I44)&gt;0.005)),0,IF((I7-Hypothèses!$D$213)=Hypothèses!$D$214-1,(I45+I44),IF(Hypothèses!$D$216="Linéaire",Hypothèses!$D$212/(Hypothèses!$D$214-Hypothèses!$D$217),IF(Hypothèses!$D$216="Annuité",PMT(Hypothèses!$D$215,(Hypothèses!$D$214-Hypothèses!$D$217),-Hypothèses!$D$212)-(I45+I44)*Hypothèses!$D$215,0))))</f>
        <v>0</v>
      </c>
      <c r="J47" s="94">
        <f>IF(NOT(AND((J7-Hypothèses!$D$213)&gt;=Hypothèses!$D$217,(J7-Hypothèses!$D$213)&lt;=Hypothèses!$D$214-1,(J45+J44)&gt;0.005)),0,IF((J7-Hypothèses!$D$213)=Hypothèses!$D$214-1,(J45+J44),IF(Hypothèses!$D$216="Linéaire",Hypothèses!$D$212/(Hypothèses!$D$214-Hypothèses!$D$217),IF(Hypothèses!$D$216="Annuité",PMT(Hypothèses!$D$215,(Hypothèses!$D$214-Hypothèses!$D$217),-Hypothèses!$D$212)-(J45+J44)*Hypothèses!$D$215,0))))</f>
        <v>0</v>
      </c>
      <c r="K47" s="94">
        <f>IF(NOT(AND((K7-Hypothèses!$D$213)&gt;=Hypothèses!$D$217,(K7-Hypothèses!$D$213)&lt;=Hypothèses!$D$214-1,(K45+K44)&gt;0.005)),0,IF((K7-Hypothèses!$D$213)=Hypothèses!$D$214-1,(K45+K44),IF(Hypothèses!$D$216="Linéaire",Hypothèses!$D$212/(Hypothèses!$D$214-Hypothèses!$D$217),IF(Hypothèses!$D$216="Annuité",PMT(Hypothèses!$D$215,(Hypothèses!$D$214-Hypothèses!$D$217),-Hypothèses!$D$212)-(K45+K44)*Hypothèses!$D$215,0))))</f>
        <v>0</v>
      </c>
    </row>
    <row r="48" spans="2:19" x14ac:dyDescent="0.25">
      <c r="B48" s="95"/>
      <c r="C48" s="96" t="s">
        <v>286</v>
      </c>
      <c r="D48" s="97"/>
      <c r="E48" s="98">
        <f t="shared" ref="E48:K48" si="6">E45+E44-E47</f>
        <v>0</v>
      </c>
      <c r="F48" s="98">
        <f t="shared" si="6"/>
        <v>0</v>
      </c>
      <c r="G48" s="98">
        <f t="shared" si="6"/>
        <v>0</v>
      </c>
      <c r="H48" s="98">
        <f t="shared" si="6"/>
        <v>0</v>
      </c>
      <c r="I48" s="98">
        <f t="shared" si="6"/>
        <v>0</v>
      </c>
      <c r="J48" s="98">
        <f t="shared" si="6"/>
        <v>0</v>
      </c>
      <c r="K48" s="98">
        <f t="shared" si="6"/>
        <v>0</v>
      </c>
    </row>
    <row r="50" spans="2:13" x14ac:dyDescent="0.25">
      <c r="B50" s="5"/>
      <c r="C50" s="83" t="s">
        <v>215</v>
      </c>
      <c r="D50" s="5"/>
      <c r="E50" s="5"/>
      <c r="F50" s="5"/>
      <c r="G50" s="5"/>
      <c r="H50" s="5"/>
      <c r="I50" s="5"/>
      <c r="J50" s="5"/>
      <c r="K50" s="5"/>
    </row>
    <row r="51" spans="2:13" x14ac:dyDescent="0.25">
      <c r="C51" s="14" t="s">
        <v>282</v>
      </c>
      <c r="D51" s="13"/>
      <c r="E51" s="94">
        <f>IF(E7=Hypothèses!$D$221,Hypothèses!$D$220,0)</f>
        <v>0</v>
      </c>
      <c r="F51" s="94">
        <f>IF(F7=Hypothèses!$D$221,Hypothèses!$D$220,0)</f>
        <v>0</v>
      </c>
      <c r="G51" s="94">
        <f>IF(G7=Hypothèses!$D$221,Hypothèses!$D$220,0)</f>
        <v>0</v>
      </c>
      <c r="H51" s="94">
        <f>IF(H7=Hypothèses!$D$221,Hypothèses!$D$220,0)</f>
        <v>0</v>
      </c>
      <c r="I51" s="94">
        <f>IF(I7=Hypothèses!$D$221,Hypothèses!$D$220,0)</f>
        <v>0</v>
      </c>
      <c r="J51" s="94">
        <f>IF(J7=Hypothèses!$D$221,Hypothèses!$D$220,0)</f>
        <v>0</v>
      </c>
      <c r="K51" s="94">
        <f>IF(K7=Hypothèses!$D$221,Hypothèses!$D$220,0)</f>
        <v>0</v>
      </c>
    </row>
    <row r="52" spans="2:13" x14ac:dyDescent="0.25">
      <c r="C52" s="92" t="s">
        <v>283</v>
      </c>
      <c r="D52" s="19"/>
      <c r="E52" s="93">
        <f>0</f>
        <v>0</v>
      </c>
      <c r="F52" s="93">
        <f t="shared" ref="F52:K52" si="7">E55</f>
        <v>0</v>
      </c>
      <c r="G52" s="93">
        <f t="shared" si="7"/>
        <v>0</v>
      </c>
      <c r="H52" s="93">
        <f t="shared" si="7"/>
        <v>0</v>
      </c>
      <c r="I52" s="93">
        <f t="shared" si="7"/>
        <v>0</v>
      </c>
      <c r="J52" s="93">
        <f t="shared" si="7"/>
        <v>0</v>
      </c>
      <c r="K52" s="93">
        <f t="shared" si="7"/>
        <v>0</v>
      </c>
    </row>
    <row r="53" spans="2:13" x14ac:dyDescent="0.25">
      <c r="C53" s="14" t="s">
        <v>284</v>
      </c>
      <c r="D53" s="13"/>
      <c r="E53" s="94">
        <f>IF(AND((E7-Hypothèses!$D$221)&gt;=0,(E7-Hypothèses!$D$221)&lt;=Hypothèses!$D$222-1),(E52+E51)*Hypothèses!$D$223,0)</f>
        <v>0</v>
      </c>
      <c r="F53" s="94">
        <f>IF(AND((F7-Hypothèses!$D$221)&gt;=0,(F7-Hypothèses!$D$221)&lt;=Hypothèses!$D$222-1),(F52+F51)*Hypothèses!$D$223,0)</f>
        <v>0</v>
      </c>
      <c r="G53" s="94">
        <f>IF(AND((G7-Hypothèses!$D$221)&gt;=0,(G7-Hypothèses!$D$221)&lt;=Hypothèses!$D$222-1),(G52+G51)*Hypothèses!$D$223,0)</f>
        <v>0</v>
      </c>
      <c r="H53" s="94">
        <f>IF(AND((H7-Hypothèses!$D$221)&gt;=0,(H7-Hypothèses!$D$221)&lt;=Hypothèses!$D$222-1),(H52+H51)*Hypothèses!$D$223,0)</f>
        <v>0</v>
      </c>
      <c r="I53" s="94">
        <f>IF(AND((I7-Hypothèses!$D$221)&gt;=0,(I7-Hypothèses!$D$221)&lt;=Hypothèses!$D$222-1),(I52+I51)*Hypothèses!$D$223,0)</f>
        <v>0</v>
      </c>
      <c r="J53" s="94">
        <f>IF(AND((J7-Hypothèses!$D$221)&gt;=0,(J7-Hypothèses!$D$221)&lt;=Hypothèses!$D$222-1),(J52+J51)*Hypothèses!$D$223,0)</f>
        <v>0</v>
      </c>
      <c r="K53" s="94">
        <f>IF(AND((K7-Hypothèses!$D$221)&gt;=0,(K7-Hypothèses!$D$221)&lt;=Hypothèses!$D$222-1),(K52+K51)*Hypothèses!$D$223,0)</f>
        <v>0</v>
      </c>
    </row>
    <row r="54" spans="2:13" x14ac:dyDescent="0.25">
      <c r="C54" s="14" t="s">
        <v>285</v>
      </c>
      <c r="D54" s="13"/>
      <c r="E54" s="94">
        <f>IF(NOT(AND((E7-Hypothèses!$D$221)&gt;=Hypothèses!$D$225,(E7-Hypothèses!$D$221)&lt;=Hypothèses!$D$222-1,(E52+E51)&gt;0.005)),0,IF((E7-Hypothèses!$D$221)=Hypothèses!$D$222-1,(E52+E51),IF(Hypothèses!$D$224="Linéaire",Hypothèses!$D$220/(Hypothèses!$D$222-Hypothèses!$D$225),IF(Hypothèses!$D$224="Annuité",PMT(Hypothèses!$D$223,(Hypothèses!$D$222-Hypothèses!$D$225),-Hypothèses!$D$220)-(E52+E51)*Hypothèses!$D$223,0))))</f>
        <v>0</v>
      </c>
      <c r="F54" s="94">
        <f>IF(NOT(AND((F7-Hypothèses!$D$221)&gt;=Hypothèses!$D$225,(F7-Hypothèses!$D$221)&lt;=Hypothèses!$D$222-1,(F52+F51)&gt;0.005)),0,IF((F7-Hypothèses!$D$221)=Hypothèses!$D$222-1,(F52+F51),IF(Hypothèses!$D$224="Linéaire",Hypothèses!$D$220/(Hypothèses!$D$222-Hypothèses!$D$225),IF(Hypothèses!$D$224="Annuité",PMT(Hypothèses!$D$223,(Hypothèses!$D$222-Hypothèses!$D$225),-Hypothèses!$D$220)-(F52+F51)*Hypothèses!$D$223,0))))</f>
        <v>0</v>
      </c>
      <c r="G54" s="94">
        <f>IF(NOT(AND((G7-Hypothèses!$D$221)&gt;=Hypothèses!$D$225,(G7-Hypothèses!$D$221)&lt;=Hypothèses!$D$222-1,(G52+G51)&gt;0.005)),0,IF((G7-Hypothèses!$D$221)=Hypothèses!$D$222-1,(G52+G51),IF(Hypothèses!$D$224="Linéaire",Hypothèses!$D$220/(Hypothèses!$D$222-Hypothèses!$D$225),IF(Hypothèses!$D$224="Annuité",PMT(Hypothèses!$D$223,(Hypothèses!$D$222-Hypothèses!$D$225),-Hypothèses!$D$220)-(G52+G51)*Hypothèses!$D$223,0))))</f>
        <v>0</v>
      </c>
      <c r="H54" s="94">
        <f>IF(NOT(AND((H7-Hypothèses!$D$221)&gt;=Hypothèses!$D$225,(H7-Hypothèses!$D$221)&lt;=Hypothèses!$D$222-1,(H52+H51)&gt;0.005)),0,IF((H7-Hypothèses!$D$221)=Hypothèses!$D$222-1,(H52+H51),IF(Hypothèses!$D$224="Linéaire",Hypothèses!$D$220/(Hypothèses!$D$222-Hypothèses!$D$225),IF(Hypothèses!$D$224="Annuité",PMT(Hypothèses!$D$223,(Hypothèses!$D$222-Hypothèses!$D$225),-Hypothèses!$D$220)-(H52+H51)*Hypothèses!$D$223,0))))</f>
        <v>0</v>
      </c>
      <c r="I54" s="94">
        <f>IF(NOT(AND((I7-Hypothèses!$D$221)&gt;=Hypothèses!$D$225,(I7-Hypothèses!$D$221)&lt;=Hypothèses!$D$222-1,(I52+I51)&gt;0.005)),0,IF((I7-Hypothèses!$D$221)=Hypothèses!$D$222-1,(I52+I51),IF(Hypothèses!$D$224="Linéaire",Hypothèses!$D$220/(Hypothèses!$D$222-Hypothèses!$D$225),IF(Hypothèses!$D$224="Annuité",PMT(Hypothèses!$D$223,(Hypothèses!$D$222-Hypothèses!$D$225),-Hypothèses!$D$220)-(I52+I51)*Hypothèses!$D$223,0))))</f>
        <v>0</v>
      </c>
      <c r="J54" s="94">
        <f>IF(NOT(AND((J7-Hypothèses!$D$221)&gt;=Hypothèses!$D$225,(J7-Hypothèses!$D$221)&lt;=Hypothèses!$D$222-1,(J52+J51)&gt;0.005)),0,IF((J7-Hypothèses!$D$221)=Hypothèses!$D$222-1,(J52+J51),IF(Hypothèses!$D$224="Linéaire",Hypothèses!$D$220/(Hypothèses!$D$222-Hypothèses!$D$225),IF(Hypothèses!$D$224="Annuité",PMT(Hypothèses!$D$223,(Hypothèses!$D$222-Hypothèses!$D$225),-Hypothèses!$D$220)-(J52+J51)*Hypothèses!$D$223,0))))</f>
        <v>0</v>
      </c>
      <c r="K54" s="94">
        <f>IF(NOT(AND((K7-Hypothèses!$D$221)&gt;=Hypothèses!$D$225,(K7-Hypothèses!$D$221)&lt;=Hypothèses!$D$222-1,(K52+K51)&gt;0.005)),0,IF((K7-Hypothèses!$D$221)=Hypothèses!$D$222-1,(K52+K51),IF(Hypothèses!$D$224="Linéaire",Hypothèses!$D$220/(Hypothèses!$D$222-Hypothèses!$D$225),IF(Hypothèses!$D$224="Annuité",PMT(Hypothèses!$D$223,(Hypothèses!$D$222-Hypothèses!$D$225),-Hypothèses!$D$220)-(K52+K51)*Hypothèses!$D$223,0))))</f>
        <v>0</v>
      </c>
    </row>
    <row r="55" spans="2:13" x14ac:dyDescent="0.25">
      <c r="B55" s="95"/>
      <c r="C55" s="96" t="s">
        <v>286</v>
      </c>
      <c r="D55" s="97"/>
      <c r="E55" s="98">
        <f t="shared" ref="E55:K55" si="8">E52+E51-E54</f>
        <v>0</v>
      </c>
      <c r="F55" s="98">
        <f t="shared" si="8"/>
        <v>0</v>
      </c>
      <c r="G55" s="98">
        <f t="shared" si="8"/>
        <v>0</v>
      </c>
      <c r="H55" s="98">
        <f t="shared" si="8"/>
        <v>0</v>
      </c>
      <c r="I55" s="98">
        <f t="shared" si="8"/>
        <v>0</v>
      </c>
      <c r="J55" s="98">
        <f t="shared" si="8"/>
        <v>0</v>
      </c>
      <c r="K55" s="98">
        <f t="shared" si="8"/>
        <v>0</v>
      </c>
    </row>
    <row r="56" spans="2:13" x14ac:dyDescent="0.25">
      <c r="M56" t="s">
        <v>7</v>
      </c>
    </row>
    <row r="57" spans="2:13" x14ac:dyDescent="0.25">
      <c r="B57" s="5"/>
      <c r="C57" s="83" t="s">
        <v>216</v>
      </c>
      <c r="D57" s="5"/>
      <c r="E57" s="5"/>
      <c r="F57" s="5"/>
      <c r="G57" s="5"/>
      <c r="H57" s="5"/>
      <c r="I57" s="5"/>
      <c r="J57" s="5"/>
      <c r="K57" s="5"/>
    </row>
    <row r="58" spans="2:13" x14ac:dyDescent="0.25">
      <c r="C58" s="14" t="s">
        <v>282</v>
      </c>
      <c r="D58" s="13"/>
      <c r="E58" s="94">
        <f>IF(E7=Hypothèses!$D$229,Hypothèses!$D$228,0)</f>
        <v>0</v>
      </c>
      <c r="F58" s="94">
        <f>IF(F7=Hypothèses!$D$229,Hypothèses!$D$228,0)</f>
        <v>0</v>
      </c>
      <c r="G58" s="94">
        <f>IF(G7=Hypothèses!$D$229,Hypothèses!$D$228,0)</f>
        <v>0</v>
      </c>
      <c r="H58" s="94">
        <f>IF(H7=Hypothèses!$D$229,Hypothèses!$D$228,0)</f>
        <v>0</v>
      </c>
      <c r="I58" s="94">
        <f>IF(I7=Hypothèses!$D$229,Hypothèses!$D$228,0)</f>
        <v>0</v>
      </c>
      <c r="J58" s="94">
        <f>IF(J7=Hypothèses!$D$229,Hypothèses!$D$228,0)</f>
        <v>0</v>
      </c>
      <c r="K58" s="94">
        <f>IF(K7=Hypothèses!$D$229,Hypothèses!$D$228,0)</f>
        <v>0</v>
      </c>
    </row>
    <row r="59" spans="2:13" x14ac:dyDescent="0.25">
      <c r="C59" s="92" t="s">
        <v>283</v>
      </c>
      <c r="D59" s="19"/>
      <c r="E59" s="93">
        <f>0</f>
        <v>0</v>
      </c>
      <c r="F59" s="93">
        <f t="shared" ref="F59:K59" si="9">E62</f>
        <v>0</v>
      </c>
      <c r="G59" s="93">
        <f t="shared" si="9"/>
        <v>0</v>
      </c>
      <c r="H59" s="93">
        <f t="shared" si="9"/>
        <v>0</v>
      </c>
      <c r="I59" s="93">
        <f t="shared" si="9"/>
        <v>0</v>
      </c>
      <c r="J59" s="93">
        <f t="shared" si="9"/>
        <v>0</v>
      </c>
      <c r="K59" s="93">
        <f t="shared" si="9"/>
        <v>0</v>
      </c>
    </row>
    <row r="60" spans="2:13" x14ac:dyDescent="0.25">
      <c r="C60" s="14" t="s">
        <v>284</v>
      </c>
      <c r="D60" s="13"/>
      <c r="E60" s="94">
        <f>IF(AND((E7-Hypothèses!$D$229)&gt;=0,(E7-Hypothèses!$D$229)&lt;=Hypothèses!$D$230-1),(E59+E58)*Hypothèses!$D$231,0)</f>
        <v>0</v>
      </c>
      <c r="F60" s="94">
        <f>IF(AND((F7-Hypothèses!$D$229)&gt;=0,(F7-Hypothèses!$D$229)&lt;=Hypothèses!$D$230-1),(F59+F58)*Hypothèses!$D$231,0)</f>
        <v>0</v>
      </c>
      <c r="G60" s="94">
        <f>IF(AND((G7-Hypothèses!$D$229)&gt;=0,(G7-Hypothèses!$D$229)&lt;=Hypothèses!$D$230-1),(G59+G58)*Hypothèses!$D$231,0)</f>
        <v>0</v>
      </c>
      <c r="H60" s="94">
        <f>IF(AND((H7-Hypothèses!$D$229)&gt;=0,(H7-Hypothèses!$D$229)&lt;=Hypothèses!$D$230-1),(H59+H58)*Hypothèses!$D$231,0)</f>
        <v>0</v>
      </c>
      <c r="I60" s="94">
        <f>IF(AND((I7-Hypothèses!$D$229)&gt;=0,(I7-Hypothèses!$D$229)&lt;=Hypothèses!$D$230-1),(I59+I58)*Hypothèses!$D$231,0)</f>
        <v>0</v>
      </c>
      <c r="J60" s="94">
        <f>IF(AND((J7-Hypothèses!$D$229)&gt;=0,(J7-Hypothèses!$D$229)&lt;=Hypothèses!$D$230-1),(J59+J58)*Hypothèses!$D$231,0)</f>
        <v>0</v>
      </c>
      <c r="K60" s="94">
        <f>IF(AND((K7-Hypothèses!$D$229)&gt;=0,(K7-Hypothèses!$D$229)&lt;=Hypothèses!$D$230-1),(K59+K58)*Hypothèses!$D$231,0)</f>
        <v>0</v>
      </c>
    </row>
    <row r="61" spans="2:13" x14ac:dyDescent="0.25">
      <c r="C61" s="14" t="s">
        <v>285</v>
      </c>
      <c r="D61" s="13"/>
      <c r="E61" s="94">
        <f>IF(NOT(AND((E7-Hypothèses!$D$229)&gt;=Hypothèses!$D$233,(E7-Hypothèses!$D$229)&lt;=Hypothèses!$D$230-1,(E59+E58)&gt;0.005)),0,IF((E7-Hypothèses!$D$229)=Hypothèses!$D$230-1,(E59+E58),IF(Hypothèses!$D$232="Linéaire",Hypothèses!$D$228/(Hypothèses!$D$230-Hypothèses!$D$233),IF(Hypothèses!$D$232="Annuité",PMT(Hypothèses!$D$231,(Hypothèses!$D$230-Hypothèses!$D$233),-Hypothèses!$D$228)-(E59+E58)*Hypothèses!$D$231,0))))</f>
        <v>0</v>
      </c>
      <c r="F61" s="94">
        <f>IF(NOT(AND((F7-Hypothèses!$D$229)&gt;=Hypothèses!$D$233,(F7-Hypothèses!$D$229)&lt;=Hypothèses!$D$230-1,(F59+F58)&gt;0.005)),0,IF((F7-Hypothèses!$D$229)=Hypothèses!$D$230-1,(F59+F58),IF(Hypothèses!$D$232="Linéaire",Hypothèses!$D$228/(Hypothèses!$D$230-Hypothèses!$D$233),IF(Hypothèses!$D$232="Annuité",PMT(Hypothèses!$D$231,(Hypothèses!$D$230-Hypothèses!$D$233),-Hypothèses!$D$228)-(F59+F58)*Hypothèses!$D$231,0))))</f>
        <v>0</v>
      </c>
      <c r="G61" s="94">
        <f>IF(NOT(AND((G7-Hypothèses!$D$229)&gt;=Hypothèses!$D$233,(G7-Hypothèses!$D$229)&lt;=Hypothèses!$D$230-1,(G59+G58)&gt;0.005)),0,IF((G7-Hypothèses!$D$229)=Hypothèses!$D$230-1,(G59+G58),IF(Hypothèses!$D$232="Linéaire",Hypothèses!$D$228/(Hypothèses!$D$230-Hypothèses!$D$233),IF(Hypothèses!$D$232="Annuité",PMT(Hypothèses!$D$231,(Hypothèses!$D$230-Hypothèses!$D$233),-Hypothèses!$D$228)-(G59+G58)*Hypothèses!$D$231,0))))</f>
        <v>0</v>
      </c>
      <c r="H61" s="94">
        <f>IF(NOT(AND((H7-Hypothèses!$D$229)&gt;=Hypothèses!$D$233,(H7-Hypothèses!$D$229)&lt;=Hypothèses!$D$230-1,(H59+H58)&gt;0.005)),0,IF((H7-Hypothèses!$D$229)=Hypothèses!$D$230-1,(H59+H58),IF(Hypothèses!$D$232="Linéaire",Hypothèses!$D$228/(Hypothèses!$D$230-Hypothèses!$D$233),IF(Hypothèses!$D$232="Annuité",PMT(Hypothèses!$D$231,(Hypothèses!$D$230-Hypothèses!$D$233),-Hypothèses!$D$228)-(H59+H58)*Hypothèses!$D$231,0))))</f>
        <v>0</v>
      </c>
      <c r="I61" s="94">
        <f>IF(NOT(AND((I7-Hypothèses!$D$229)&gt;=Hypothèses!$D$233,(I7-Hypothèses!$D$229)&lt;=Hypothèses!$D$230-1,(I59+I58)&gt;0.005)),0,IF((I7-Hypothèses!$D$229)=Hypothèses!$D$230-1,(I59+I58),IF(Hypothèses!$D$232="Linéaire",Hypothèses!$D$228/(Hypothèses!$D$230-Hypothèses!$D$233),IF(Hypothèses!$D$232="Annuité",PMT(Hypothèses!$D$231,(Hypothèses!$D$230-Hypothèses!$D$233),-Hypothèses!$D$228)-(I59+I58)*Hypothèses!$D$231,0))))</f>
        <v>0</v>
      </c>
      <c r="J61" s="94">
        <f>IF(NOT(AND((J7-Hypothèses!$D$229)&gt;=Hypothèses!$D$233,(J7-Hypothèses!$D$229)&lt;=Hypothèses!$D$230-1,(J59+J58)&gt;0.005)),0,IF((J7-Hypothèses!$D$229)=Hypothèses!$D$230-1,(J59+J58),IF(Hypothèses!$D$232="Linéaire",Hypothèses!$D$228/(Hypothèses!$D$230-Hypothèses!$D$233),IF(Hypothèses!$D$232="Annuité",PMT(Hypothèses!$D$231,(Hypothèses!$D$230-Hypothèses!$D$233),-Hypothèses!$D$228)-(J59+J58)*Hypothèses!$D$231,0))))</f>
        <v>0</v>
      </c>
      <c r="K61" s="94">
        <f>IF(NOT(AND((K7-Hypothèses!$D$229)&gt;=Hypothèses!$D$233,(K7-Hypothèses!$D$229)&lt;=Hypothèses!$D$230-1,(K59+K58)&gt;0.005)),0,IF((K7-Hypothèses!$D$229)=Hypothèses!$D$230-1,(K59+K58),IF(Hypothèses!$D$232="Linéaire",Hypothèses!$D$228/(Hypothèses!$D$230-Hypothèses!$D$233),IF(Hypothèses!$D$232="Annuité",PMT(Hypothèses!$D$231,(Hypothèses!$D$230-Hypothèses!$D$233),-Hypothèses!$D$228)-(K59+K58)*Hypothèses!$D$231,0))))</f>
        <v>0</v>
      </c>
    </row>
    <row r="62" spans="2:13" x14ac:dyDescent="0.25">
      <c r="B62" s="95"/>
      <c r="C62" s="96" t="s">
        <v>286</v>
      </c>
      <c r="D62" s="97"/>
      <c r="E62" s="98">
        <f t="shared" ref="E62:K62" si="10">E59+E58-E61</f>
        <v>0</v>
      </c>
      <c r="F62" s="98">
        <f t="shared" si="10"/>
        <v>0</v>
      </c>
      <c r="G62" s="98">
        <f t="shared" si="10"/>
        <v>0</v>
      </c>
      <c r="H62" s="98">
        <f t="shared" si="10"/>
        <v>0</v>
      </c>
      <c r="I62" s="98">
        <f t="shared" si="10"/>
        <v>0</v>
      </c>
      <c r="J62" s="98">
        <f t="shared" si="10"/>
        <v>0</v>
      </c>
      <c r="K62" s="98">
        <f t="shared" si="10"/>
        <v>0</v>
      </c>
    </row>
    <row r="64" spans="2:13" x14ac:dyDescent="0.25">
      <c r="B64" s="86"/>
      <c r="C64" s="87" t="s">
        <v>287</v>
      </c>
      <c r="D64" s="86"/>
      <c r="E64" s="88">
        <f t="shared" ref="E64:K64" si="11">E37+E44+E51+E58</f>
        <v>150000</v>
      </c>
      <c r="F64" s="88">
        <f t="shared" si="11"/>
        <v>0</v>
      </c>
      <c r="G64" s="88">
        <f t="shared" si="11"/>
        <v>0</v>
      </c>
      <c r="H64" s="88">
        <f t="shared" si="11"/>
        <v>0</v>
      </c>
      <c r="I64" s="88">
        <f t="shared" si="11"/>
        <v>0</v>
      </c>
      <c r="J64" s="88">
        <f t="shared" si="11"/>
        <v>0</v>
      </c>
      <c r="K64" s="88">
        <f t="shared" si="11"/>
        <v>0</v>
      </c>
    </row>
    <row r="65" spans="2:13" x14ac:dyDescent="0.25">
      <c r="B65" s="86"/>
      <c r="C65" s="87" t="s">
        <v>288</v>
      </c>
      <c r="D65" s="86"/>
      <c r="E65" s="88">
        <f t="shared" ref="E65:K67" si="12">E39+E46+E53+E60</f>
        <v>6000</v>
      </c>
      <c r="F65" s="88">
        <f t="shared" si="12"/>
        <v>6000</v>
      </c>
      <c r="G65" s="88">
        <f t="shared" si="12"/>
        <v>6000</v>
      </c>
      <c r="H65" s="88">
        <f t="shared" si="12"/>
        <v>6000</v>
      </c>
      <c r="I65" s="88">
        <f t="shared" si="12"/>
        <v>6000</v>
      </c>
      <c r="J65" s="88">
        <f t="shared" si="12"/>
        <v>0</v>
      </c>
      <c r="K65" s="88">
        <f t="shared" si="12"/>
        <v>0</v>
      </c>
      <c r="M65" t="s">
        <v>7</v>
      </c>
    </row>
    <row r="66" spans="2:13" x14ac:dyDescent="0.25">
      <c r="B66" s="86"/>
      <c r="C66" s="87" t="s">
        <v>289</v>
      </c>
      <c r="D66" s="86"/>
      <c r="E66" s="88">
        <f t="shared" si="12"/>
        <v>0</v>
      </c>
      <c r="F66" s="88">
        <f t="shared" si="12"/>
        <v>0</v>
      </c>
      <c r="G66" s="88">
        <f t="shared" si="12"/>
        <v>0</v>
      </c>
      <c r="H66" s="88">
        <f t="shared" si="12"/>
        <v>0</v>
      </c>
      <c r="I66" s="88">
        <f t="shared" si="12"/>
        <v>150000</v>
      </c>
      <c r="J66" s="88">
        <f t="shared" si="12"/>
        <v>0</v>
      </c>
      <c r="K66" s="88">
        <f t="shared" si="12"/>
        <v>0</v>
      </c>
    </row>
    <row r="67" spans="2:13" x14ac:dyDescent="0.25">
      <c r="B67" s="86"/>
      <c r="C67" s="87" t="s">
        <v>290</v>
      </c>
      <c r="D67" s="86"/>
      <c r="E67" s="88">
        <f t="shared" si="12"/>
        <v>150000</v>
      </c>
      <c r="F67" s="88">
        <f t="shared" si="12"/>
        <v>150000</v>
      </c>
      <c r="G67" s="88">
        <f t="shared" si="12"/>
        <v>150000</v>
      </c>
      <c r="H67" s="88">
        <f t="shared" si="12"/>
        <v>150000</v>
      </c>
      <c r="I67" s="88">
        <f t="shared" si="12"/>
        <v>0</v>
      </c>
      <c r="J67" s="88">
        <f t="shared" si="12"/>
        <v>0</v>
      </c>
      <c r="K67" s="88">
        <f t="shared" si="12"/>
        <v>0</v>
      </c>
    </row>
    <row r="69" spans="2:13" ht="18.75" customHeight="1" x14ac:dyDescent="0.25">
      <c r="B69" s="3" t="s">
        <v>36</v>
      </c>
      <c r="C69" s="73" t="s">
        <v>291</v>
      </c>
      <c r="D69" s="74"/>
      <c r="E69" s="74"/>
      <c r="F69" s="74"/>
      <c r="G69" s="74"/>
      <c r="H69" s="74"/>
      <c r="I69" s="74"/>
      <c r="J69" s="74"/>
      <c r="K69" s="74"/>
    </row>
    <row r="70" spans="2:13" ht="9.9499999999999993" customHeight="1" x14ac:dyDescent="0.25"/>
    <row r="71" spans="2:13" x14ac:dyDescent="0.25">
      <c r="B71" s="10"/>
      <c r="C71" s="11" t="s">
        <v>116</v>
      </c>
      <c r="D71" s="75"/>
      <c r="E71" s="12">
        <f>Hypothèses!$D$8</f>
        <v>2026</v>
      </c>
      <c r="F71" s="12">
        <f t="shared" ref="F71:K71" si="13">E71+1</f>
        <v>2027</v>
      </c>
      <c r="G71" s="12">
        <f t="shared" si="13"/>
        <v>2028</v>
      </c>
      <c r="H71" s="12">
        <f t="shared" si="13"/>
        <v>2029</v>
      </c>
      <c r="I71" s="12">
        <f t="shared" si="13"/>
        <v>2030</v>
      </c>
      <c r="J71" s="12">
        <f t="shared" si="13"/>
        <v>2031</v>
      </c>
      <c r="K71" s="12">
        <f t="shared" si="13"/>
        <v>2032</v>
      </c>
    </row>
    <row r="72" spans="2:13" ht="5.0999999999999996" customHeight="1" x14ac:dyDescent="0.25"/>
    <row r="73" spans="2:13" x14ac:dyDescent="0.25">
      <c r="C73" s="76" t="s">
        <v>292</v>
      </c>
      <c r="E73" s="77">
        <f>Hypothèses!E240/365*Hypothèses!E93</f>
        <v>9567.1232876712329</v>
      </c>
      <c r="F73" s="77">
        <f>Hypothèses!F240/365*Hypothèses!F93</f>
        <v>19177.890410958902</v>
      </c>
      <c r="G73" s="77">
        <f>Hypothèses!G240/365*Hypothèses!G93</f>
        <v>36705.087123287667</v>
      </c>
      <c r="H73" s="77">
        <f>Hypothèses!H240/365*Hypothèses!H93</f>
        <v>66141.711616438348</v>
      </c>
      <c r="I73" s="77">
        <f>Hypothèses!I240/365*Hypothèses!I93</f>
        <v>111807.77792350686</v>
      </c>
      <c r="J73" s="77">
        <f>Hypothèses!J240/365*Hypothèses!J93</f>
        <v>178998.71954433533</v>
      </c>
      <c r="K73" s="77">
        <f>Hypothèses!K240/365*Hypothèses!K93</f>
        <v>272192.66594067781</v>
      </c>
    </row>
    <row r="74" spans="2:13" x14ac:dyDescent="0.25">
      <c r="C74" s="76" t="s">
        <v>293</v>
      </c>
      <c r="E74" s="77">
        <f>IF(Hypothèses!$D$16="Oui",Hypothèses!E241/365*Hypothèses!E107,0)</f>
        <v>0</v>
      </c>
      <c r="F74" s="77">
        <f>IF(Hypothèses!$D$16="Oui",Hypothèses!F241/365*Hypothèses!F107,0)</f>
        <v>0</v>
      </c>
      <c r="G74" s="77">
        <f>IF(Hypothèses!$D$16="Oui",Hypothèses!G241/365*Hypothèses!G107,0)</f>
        <v>0</v>
      </c>
      <c r="H74" s="77">
        <f>IF(Hypothèses!$D$16="Oui",Hypothèses!H241/365*Hypothèses!H107,0)</f>
        <v>0</v>
      </c>
      <c r="I74" s="77">
        <f>IF(Hypothèses!$D$16="Oui",Hypothèses!I241/365*Hypothèses!I107,0)</f>
        <v>0</v>
      </c>
      <c r="J74" s="77">
        <f>IF(Hypothèses!$D$16="Oui",Hypothèses!J241/365*Hypothèses!J107,0)</f>
        <v>0</v>
      </c>
      <c r="K74" s="77">
        <f>IF(Hypothèses!$D$16="Oui",Hypothèses!K241/365*Hypothèses!K107,0)</f>
        <v>0</v>
      </c>
    </row>
    <row r="75" spans="2:13" x14ac:dyDescent="0.25">
      <c r="C75" s="76" t="s">
        <v>294</v>
      </c>
      <c r="E75" s="77">
        <f>Hypothèses!E242/365*(Hypothèses!E107+Hypothèses!E182)</f>
        <v>22586.301369863013</v>
      </c>
      <c r="F75" s="77">
        <f>Hypothèses!F242/365*(Hypothèses!F107+Hypothèses!F182)</f>
        <v>30051.445479452053</v>
      </c>
      <c r="G75" s="77">
        <f>Hypothèses!G242/365*(Hypothèses!G107+Hypothèses!G182)</f>
        <v>41563.558224657529</v>
      </c>
      <c r="H75" s="77">
        <f>Hypothèses!H242/365*(Hypothèses!H107+Hypothèses!H182)</f>
        <v>57819.485233972599</v>
      </c>
      <c r="I75" s="77">
        <f>Hypothèses!I242/365*(Hypothèses!I107+Hypothèses!I182)</f>
        <v>79395.33483337643</v>
      </c>
      <c r="J75" s="77">
        <f>Hypothèses!J242/365*(Hypothèses!J107+Hypothèses!J182)</f>
        <v>107062.03395138806</v>
      </c>
      <c r="K75" s="77">
        <f>Hypothèses!K242/365*(Hypothèses!K107+Hypothèses!K182)</f>
        <v>143909.15005104878</v>
      </c>
    </row>
    <row r="76" spans="2:13" x14ac:dyDescent="0.25">
      <c r="B76" s="6"/>
      <c r="C76" s="78" t="s">
        <v>295</v>
      </c>
      <c r="D76" s="6"/>
      <c r="E76" s="79">
        <f t="shared" ref="E76:K76" si="14">E73+E74-E75</f>
        <v>-13019.17808219178</v>
      </c>
      <c r="F76" s="79">
        <f t="shared" si="14"/>
        <v>-10873.555068493151</v>
      </c>
      <c r="G76" s="79">
        <f t="shared" si="14"/>
        <v>-4858.4711013698616</v>
      </c>
      <c r="H76" s="79">
        <f t="shared" si="14"/>
        <v>8322.2263824657493</v>
      </c>
      <c r="I76" s="79">
        <f t="shared" si="14"/>
        <v>32412.443090130429</v>
      </c>
      <c r="J76" s="79">
        <f t="shared" si="14"/>
        <v>71936.685592947266</v>
      </c>
      <c r="K76" s="79">
        <f t="shared" si="14"/>
        <v>128283.51588962902</v>
      </c>
    </row>
    <row r="77" spans="2:13" s="19" customFormat="1" x14ac:dyDescent="0.25">
      <c r="C77" s="92" t="s">
        <v>296</v>
      </c>
      <c r="E77" s="93">
        <f>0-E76</f>
        <v>13019.17808219178</v>
      </c>
      <c r="F77" s="93">
        <f t="shared" ref="F77:K77" si="15">E76-F76</f>
        <v>-2145.6230136986287</v>
      </c>
      <c r="G77" s="93">
        <f t="shared" si="15"/>
        <v>-6015.0839671232898</v>
      </c>
      <c r="H77" s="93">
        <f t="shared" si="15"/>
        <v>-13180.697483835611</v>
      </c>
      <c r="I77" s="93">
        <f t="shared" si="15"/>
        <v>-24090.21670766468</v>
      </c>
      <c r="J77" s="93">
        <f t="shared" si="15"/>
        <v>-39524.242502816836</v>
      </c>
      <c r="K77" s="93">
        <f t="shared" si="15"/>
        <v>-56346.830296681757</v>
      </c>
    </row>
    <row r="79" spans="2:13" ht="18.75" customHeight="1" x14ac:dyDescent="0.25">
      <c r="B79" s="3" t="s">
        <v>37</v>
      </c>
      <c r="C79" s="73" t="s">
        <v>297</v>
      </c>
      <c r="D79" s="74"/>
      <c r="E79" s="74"/>
      <c r="F79" s="74"/>
      <c r="G79" s="74"/>
      <c r="H79" s="74"/>
      <c r="I79" s="74"/>
      <c r="J79" s="74"/>
      <c r="K79" s="74"/>
    </row>
    <row r="80" spans="2:13" ht="9.9499999999999993" customHeight="1" x14ac:dyDescent="0.25"/>
    <row r="81" spans="2:11" x14ac:dyDescent="0.25">
      <c r="B81" s="10"/>
      <c r="C81" s="11" t="s">
        <v>116</v>
      </c>
      <c r="D81" s="75"/>
      <c r="E81" s="12">
        <f>Hypothèses!$D$8</f>
        <v>2026</v>
      </c>
      <c r="F81" s="12">
        <f t="shared" ref="F81:K81" si="16">E81+1</f>
        <v>2027</v>
      </c>
      <c r="G81" s="12">
        <f t="shared" si="16"/>
        <v>2028</v>
      </c>
      <c r="H81" s="12">
        <f t="shared" si="16"/>
        <v>2029</v>
      </c>
      <c r="I81" s="12">
        <f t="shared" si="16"/>
        <v>2030</v>
      </c>
      <c r="J81" s="12">
        <f t="shared" si="16"/>
        <v>2031</v>
      </c>
      <c r="K81" s="12">
        <f t="shared" si="16"/>
        <v>2032</v>
      </c>
    </row>
    <row r="82" spans="2:11" ht="5.0999999999999996" customHeight="1" x14ac:dyDescent="0.25"/>
    <row r="83" spans="2:11" x14ac:dyDescent="0.25">
      <c r="C83" s="89" t="s">
        <v>298</v>
      </c>
      <c r="D83" s="90"/>
      <c r="E83" s="91">
        <f>0</f>
        <v>0</v>
      </c>
      <c r="F83" s="91">
        <f t="shared" ref="F83:K83" si="17">E86</f>
        <v>287950</v>
      </c>
      <c r="G83" s="91">
        <f t="shared" si="17"/>
        <v>560416.46</v>
      </c>
      <c r="H83" s="91">
        <f t="shared" si="17"/>
        <v>778940.27419999999</v>
      </c>
      <c r="I83" s="91">
        <f t="shared" si="17"/>
        <v>878540.47279000003</v>
      </c>
      <c r="J83" s="91">
        <f t="shared" si="17"/>
        <v>760328.60705653997</v>
      </c>
      <c r="K83" s="91">
        <f t="shared" si="17"/>
        <v>276783.55900363903</v>
      </c>
    </row>
    <row r="84" spans="2:11" x14ac:dyDescent="0.25">
      <c r="C84" s="89" t="s">
        <v>299</v>
      </c>
      <c r="D84" s="90"/>
      <c r="E84" s="91">
        <f>IF(Hypothèses!$D$38="Oui",MIN(E83,MAX('1. États financiers'!E44,0)),0)</f>
        <v>0</v>
      </c>
      <c r="F84" s="91">
        <f>IF(Hypothèses!$D$38="Oui",MIN(F83,MAX('1. États financiers'!F44,0)),0)</f>
        <v>0</v>
      </c>
      <c r="G84" s="91">
        <f>IF(Hypothèses!$D$38="Oui",MIN(G83,MAX('1. États financiers'!G44,0)),0)</f>
        <v>0</v>
      </c>
      <c r="H84" s="91">
        <f>IF(Hypothèses!$D$38="Oui",MIN(H83,MAX('1. États financiers'!H44,0)),0)</f>
        <v>0</v>
      </c>
      <c r="I84" s="91">
        <f>IF(Hypothèses!$D$38="Oui",MIN(I83,MAX('1. États financiers'!I44,0)),0)</f>
        <v>118211.86573346012</v>
      </c>
      <c r="J84" s="91">
        <f>IF(Hypothèses!$D$38="Oui",MIN(J83,MAX('1. États financiers'!J44,0)),0)</f>
        <v>483545.04805290094</v>
      </c>
      <c r="K84" s="91">
        <f>IF(Hypothèses!$D$38="Oui",MIN(K83,MAX('1. États financiers'!K44,0)),0)</f>
        <v>276783.55900363903</v>
      </c>
    </row>
    <row r="85" spans="2:11" x14ac:dyDescent="0.25">
      <c r="C85" s="89" t="s">
        <v>300</v>
      </c>
      <c r="D85" s="90"/>
      <c r="E85" s="91">
        <f>IF(Hypothèses!$D$38="Oui",MAX(-'1. États financiers'!E44,0),0)</f>
        <v>287950</v>
      </c>
      <c r="F85" s="91">
        <f>IF(Hypothèses!$D$38="Oui",MAX(-'1. États financiers'!F44,0),0)</f>
        <v>272466.45999999996</v>
      </c>
      <c r="G85" s="91">
        <f>IF(Hypothèses!$D$38="Oui",MAX(-'1. États financiers'!G44,0),0)</f>
        <v>218523.81420000002</v>
      </c>
      <c r="H85" s="91">
        <f>IF(Hypothèses!$D$38="Oui",MAX(-'1. États financiers'!H44,0),0)</f>
        <v>99600.198590000044</v>
      </c>
      <c r="I85" s="91">
        <f>IF(Hypothèses!$D$38="Oui",MAX(-'1. États financiers'!I44,0),0)</f>
        <v>0</v>
      </c>
      <c r="J85" s="91">
        <f>IF(Hypothèses!$D$38="Oui",MAX(-'1. États financiers'!J44,0),0)</f>
        <v>0</v>
      </c>
      <c r="K85" s="91">
        <f>IF(Hypothèses!$D$38="Oui",MAX(-'1. États financiers'!K44,0),0)</f>
        <v>0</v>
      </c>
    </row>
    <row r="86" spans="2:11" x14ac:dyDescent="0.25">
      <c r="C86" s="89" t="s">
        <v>301</v>
      </c>
      <c r="D86" s="90"/>
      <c r="E86" s="99">
        <f t="shared" ref="E86:K86" si="18">E83-E84+E85</f>
        <v>287950</v>
      </c>
      <c r="F86" s="99">
        <f t="shared" si="18"/>
        <v>560416.46</v>
      </c>
      <c r="G86" s="99">
        <f t="shared" si="18"/>
        <v>778940.27419999999</v>
      </c>
      <c r="H86" s="99">
        <f t="shared" si="18"/>
        <v>878540.47279000003</v>
      </c>
      <c r="I86" s="99">
        <f t="shared" si="18"/>
        <v>760328.60705653997</v>
      </c>
      <c r="J86" s="99">
        <f t="shared" si="18"/>
        <v>276783.55900363903</v>
      </c>
      <c r="K86" s="99">
        <f t="shared" si="18"/>
        <v>0</v>
      </c>
    </row>
    <row r="88" spans="2:11" x14ac:dyDescent="0.25">
      <c r="B88" s="86"/>
      <c r="C88" s="87" t="s">
        <v>247</v>
      </c>
      <c r="D88" s="86"/>
      <c r="E88" s="88">
        <f>MAX(0,'1. États financiers'!E44)-E84</f>
        <v>0</v>
      </c>
      <c r="F88" s="88">
        <f>MAX(0,'1. États financiers'!F44)-F84</f>
        <v>0</v>
      </c>
      <c r="G88" s="88">
        <f>MAX(0,'1. États financiers'!G44)-G84</f>
        <v>0</v>
      </c>
      <c r="H88" s="88">
        <f>MAX(0,'1. États financiers'!H44)-H84</f>
        <v>0</v>
      </c>
      <c r="I88" s="88">
        <f>MAX(0,'1. États financiers'!I44)-I84</f>
        <v>0</v>
      </c>
      <c r="J88" s="88">
        <f>MAX(0,'1. États financiers'!J44)-J84</f>
        <v>0</v>
      </c>
      <c r="K88" s="88">
        <f>MAX(0,'1. États financiers'!K44)-K84</f>
        <v>718512.68279431586</v>
      </c>
    </row>
    <row r="89" spans="2:11" x14ac:dyDescent="0.25">
      <c r="B89" s="86"/>
      <c r="C89" s="87" t="s">
        <v>248</v>
      </c>
      <c r="D89" s="86"/>
      <c r="E89" s="88">
        <f>E88*Hypothèses!$D$37</f>
        <v>0</v>
      </c>
      <c r="F89" s="88">
        <f>F88*Hypothèses!$D$37</f>
        <v>0</v>
      </c>
      <c r="G89" s="88">
        <f>G88*Hypothèses!$D$37</f>
        <v>0</v>
      </c>
      <c r="H89" s="88">
        <f>H88*Hypothèses!$D$37</f>
        <v>0</v>
      </c>
      <c r="I89" s="88">
        <f>I88*Hypothèses!$D$37</f>
        <v>0</v>
      </c>
      <c r="J89" s="88">
        <f>J88*Hypothèses!$D$37</f>
        <v>0</v>
      </c>
      <c r="K89" s="88">
        <f>K88*Hypothèses!$D$37</f>
        <v>179628.17069857896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9.9978637043366805E-2"/>
  </sheetPr>
  <dimension ref="B5:Q50"/>
  <sheetViews>
    <sheetView showGridLines="0" zoomScale="77" zoomScaleNormal="91" workbookViewId="0">
      <selection activeCell="L42" sqref="L42"/>
    </sheetView>
  </sheetViews>
  <sheetFormatPr defaultColWidth="8.7109375" defaultRowHeight="15" x14ac:dyDescent="0.25"/>
  <cols>
    <col min="1" max="1" width="2.42578125" customWidth="1"/>
    <col min="2" max="2" width="5" customWidth="1"/>
    <col min="3" max="3" width="42" customWidth="1"/>
    <col min="4" max="4" width="13" customWidth="1"/>
    <col min="5" max="11" width="13.42578125" customWidth="1"/>
    <col min="12" max="12" width="44" customWidth="1"/>
  </cols>
  <sheetData>
    <row r="5" spans="2:14" ht="18.75" customHeight="1" x14ac:dyDescent="0.25">
      <c r="B5" s="3" t="s">
        <v>33</v>
      </c>
      <c r="C5" s="73" t="s">
        <v>302</v>
      </c>
      <c r="D5" s="74"/>
      <c r="E5" s="74"/>
      <c r="F5" s="74"/>
      <c r="G5" s="74"/>
      <c r="H5" s="74"/>
      <c r="I5" s="74"/>
      <c r="J5" s="74"/>
      <c r="K5" s="74"/>
    </row>
    <row r="6" spans="2:14" ht="9.9499999999999993" customHeight="1" x14ac:dyDescent="0.25"/>
    <row r="7" spans="2:14" x14ac:dyDescent="0.25">
      <c r="B7" s="10"/>
      <c r="C7" s="11" t="s">
        <v>116</v>
      </c>
      <c r="D7" s="75"/>
      <c r="E7" s="141">
        <f>Hypothèses!$D$8</f>
        <v>2026</v>
      </c>
      <c r="F7" s="141">
        <f t="shared" ref="F7:K7" si="0">E7+1</f>
        <v>2027</v>
      </c>
      <c r="G7" s="141">
        <f t="shared" si="0"/>
        <v>2028</v>
      </c>
      <c r="H7" s="141">
        <f t="shared" si="0"/>
        <v>2029</v>
      </c>
      <c r="I7" s="141">
        <f t="shared" si="0"/>
        <v>2030</v>
      </c>
      <c r="J7" s="141">
        <f t="shared" si="0"/>
        <v>2031</v>
      </c>
      <c r="K7" s="141">
        <f t="shared" si="0"/>
        <v>2032</v>
      </c>
    </row>
    <row r="8" spans="2:14" ht="5.0999999999999996" customHeight="1" x14ac:dyDescent="0.25"/>
    <row r="9" spans="2:14" x14ac:dyDescent="0.25">
      <c r="B9" s="78"/>
      <c r="C9" s="78" t="s">
        <v>43</v>
      </c>
      <c r="D9" s="6"/>
      <c r="E9" s="79">
        <f>'1. États financiers'!E12</f>
        <v>77600</v>
      </c>
      <c r="F9" s="79">
        <f>'1. États financiers'!F12</f>
        <v>155554</v>
      </c>
      <c r="G9" s="79">
        <f>'1. États financiers'!G12</f>
        <v>297719.03999999998</v>
      </c>
      <c r="H9" s="79">
        <f>'1. États financiers'!H12</f>
        <v>536482.772</v>
      </c>
      <c r="I9" s="79">
        <f>'1. États financiers'!I12</f>
        <v>906885.30982400011</v>
      </c>
      <c r="J9" s="79">
        <f>'1. États financiers'!J12</f>
        <v>1451878.5029707199</v>
      </c>
      <c r="K9" s="79">
        <f>'1. États financiers'!K12</f>
        <v>2207784.957074387</v>
      </c>
    </row>
    <row r="10" spans="2:14" s="19" customFormat="1" x14ac:dyDescent="0.25">
      <c r="C10" s="92" t="s">
        <v>150</v>
      </c>
      <c r="E10" s="21" t="str">
        <f>"s.o."</f>
        <v>s.o.</v>
      </c>
      <c r="F10" s="21">
        <f>IFERROR(F9/E9-1,"s.o.")</f>
        <v>1.004561855670103</v>
      </c>
      <c r="G10" s="21">
        <f>IFERROR(G9/F9-1,"s.o.")</f>
        <v>0.91392725355824966</v>
      </c>
      <c r="H10" s="21">
        <f>IFERROR(H9/G9-1,"s.o.")</f>
        <v>0.80197669588078768</v>
      </c>
      <c r="I10" s="21">
        <f>IFERROR(I9/H9-1,"s.o.")</f>
        <v>0.69042764680614965</v>
      </c>
      <c r="J10" s="21">
        <f>IFERROR(J9/I9-1,"s.o.")</f>
        <v>0.60095051407601585</v>
      </c>
      <c r="K10" s="21">
        <f>IFERROR(K9/J9-1,"s.o.")</f>
        <v>0.52064029638636455</v>
      </c>
    </row>
    <row r="11" spans="2:14" x14ac:dyDescent="0.25">
      <c r="B11" s="78"/>
      <c r="C11" s="78" t="s">
        <v>46</v>
      </c>
      <c r="D11" s="6"/>
      <c r="E11" s="79">
        <f>'1. États financiers'!E19</f>
        <v>58200</v>
      </c>
      <c r="F11" s="79">
        <f>'1. États financiers'!F19</f>
        <v>118221.04000000001</v>
      </c>
      <c r="G11" s="79">
        <f>'1. États financiers'!G19</f>
        <v>229243.66079999998</v>
      </c>
      <c r="H11" s="79">
        <f>'1. États financiers'!H19</f>
        <v>418456.56215999997</v>
      </c>
      <c r="I11" s="79">
        <f>'1. États financiers'!I19</f>
        <v>716439.39476096013</v>
      </c>
      <c r="J11" s="79">
        <f>'1. États financiers'!J19</f>
        <v>1161502.802376576</v>
      </c>
      <c r="K11" s="79">
        <f>'1. États financiers'!K19</f>
        <v>1766227.9656595096</v>
      </c>
    </row>
    <row r="12" spans="2:14" s="19" customFormat="1" x14ac:dyDescent="0.25">
      <c r="C12" s="92" t="s">
        <v>160</v>
      </c>
      <c r="E12" s="21">
        <f>IFERROR(E11/E9,0)</f>
        <v>0.75</v>
      </c>
      <c r="F12" s="21">
        <f t="shared" ref="F12:K12" si="1">IFERROR(F11/F9,0)</f>
        <v>0.76</v>
      </c>
      <c r="G12" s="21">
        <f t="shared" si="1"/>
        <v>0.77</v>
      </c>
      <c r="H12" s="21">
        <f t="shared" si="1"/>
        <v>0.77999999999999992</v>
      </c>
      <c r="I12" s="21">
        <f t="shared" si="1"/>
        <v>0.79</v>
      </c>
      <c r="J12" s="21">
        <f t="shared" si="1"/>
        <v>0.8</v>
      </c>
      <c r="K12" s="21">
        <f t="shared" si="1"/>
        <v>0.8</v>
      </c>
    </row>
    <row r="13" spans="2:14" x14ac:dyDescent="0.25">
      <c r="B13" s="78"/>
      <c r="C13" s="78" t="s">
        <v>32</v>
      </c>
      <c r="D13" s="6"/>
      <c r="E13" s="79">
        <f>'1. États financiers'!E36</f>
        <v>-272950</v>
      </c>
      <c r="F13" s="79">
        <f>'1. États financiers'!F36</f>
        <v>-251066.46</v>
      </c>
      <c r="G13" s="79">
        <f>'1. États financiers'!G36</f>
        <v>-190123.81420000002</v>
      </c>
      <c r="H13" s="79">
        <f>'1. États financiers'!H36</f>
        <v>-62000.198590000044</v>
      </c>
      <c r="I13" s="79">
        <f>'1. États financiers'!I36</f>
        <v>164811.86573346012</v>
      </c>
      <c r="J13" s="79">
        <f>'1. États financiers'!J36</f>
        <v>528545.04805290094</v>
      </c>
      <c r="K13" s="79">
        <f>'1. États financiers'!K36</f>
        <v>1046696.2417979549</v>
      </c>
    </row>
    <row r="14" spans="2:14" s="19" customFormat="1" x14ac:dyDescent="0.25">
      <c r="C14" s="92" t="s">
        <v>241</v>
      </c>
      <c r="E14" s="21">
        <f t="shared" ref="E14:K14" si="2">IFERROR(E13/E9,0)</f>
        <v>-3.517396907216495</v>
      </c>
      <c r="F14" s="21">
        <f t="shared" si="2"/>
        <v>-1.6140148115766872</v>
      </c>
      <c r="G14" s="21">
        <f t="shared" si="2"/>
        <v>-0.63860146196897594</v>
      </c>
      <c r="H14" s="21">
        <f t="shared" si="2"/>
        <v>-0.11556792095832677</v>
      </c>
      <c r="I14" s="21">
        <f t="shared" si="2"/>
        <v>0.18173396784367946</v>
      </c>
      <c r="J14" s="21">
        <f t="shared" si="2"/>
        <v>0.36404220254755032</v>
      </c>
      <c r="K14" s="21">
        <f t="shared" si="2"/>
        <v>0.47409338416046126</v>
      </c>
    </row>
    <row r="15" spans="2:14" x14ac:dyDescent="0.25">
      <c r="B15" s="78"/>
      <c r="C15" s="78" t="s">
        <v>264</v>
      </c>
      <c r="D15" s="6"/>
      <c r="E15" s="79">
        <f>'1. États financiers'!E49</f>
        <v>-287950</v>
      </c>
      <c r="F15" s="79">
        <f>'1. États financiers'!F49</f>
        <v>-272466.45999999996</v>
      </c>
      <c r="G15" s="79">
        <f>'1. États financiers'!G49</f>
        <v>-218523.81420000002</v>
      </c>
      <c r="H15" s="79">
        <f>'1. États financiers'!H49</f>
        <v>-99600.198590000044</v>
      </c>
      <c r="I15" s="79">
        <f>'1. États financiers'!I49</f>
        <v>118211.86573346012</v>
      </c>
      <c r="J15" s="79">
        <f>'1. États financiers'!J49</f>
        <v>483545.04805290094</v>
      </c>
      <c r="K15" s="79">
        <f>'1. États financiers'!K49</f>
        <v>815668.07109937596</v>
      </c>
      <c r="M15" t="s">
        <v>7</v>
      </c>
      <c r="N15" t="s">
        <v>7</v>
      </c>
    </row>
    <row r="16" spans="2:14" s="19" customFormat="1" x14ac:dyDescent="0.25">
      <c r="C16" s="92" t="s">
        <v>250</v>
      </c>
      <c r="E16" s="21">
        <f>IFERROR(E15/E9,0)</f>
        <v>-3.7106958762886597</v>
      </c>
      <c r="F16" s="21">
        <f t="shared" ref="F16:K16" si="3">IFERROR(F15/F9,0)</f>
        <v>-1.7515876158761585</v>
      </c>
      <c r="G16" s="21">
        <f t="shared" si="3"/>
        <v>-0.73399341271555907</v>
      </c>
      <c r="H16" s="21">
        <f t="shared" si="3"/>
        <v>-0.1856540485329882</v>
      </c>
      <c r="I16" s="21">
        <f t="shared" si="3"/>
        <v>0.13034930046049767</v>
      </c>
      <c r="J16" s="21">
        <f t="shared" si="3"/>
        <v>0.33304787354004411</v>
      </c>
      <c r="K16" s="21">
        <f t="shared" si="3"/>
        <v>0.36945086906482333</v>
      </c>
    </row>
    <row r="17" spans="2:17" x14ac:dyDescent="0.25">
      <c r="B17" s="78"/>
      <c r="C17" s="78" t="s">
        <v>303</v>
      </c>
      <c r="D17" s="6"/>
      <c r="E17" s="79">
        <f>'1. États financiers'!E91</f>
        <v>79069.178082191793</v>
      </c>
      <c r="F17" s="79">
        <f>'1. États financiers'!F91</f>
        <v>-227142.90493150678</v>
      </c>
      <c r="G17" s="79">
        <f>'1. États financiers'!G91</f>
        <v>-479281.8030986301</v>
      </c>
      <c r="H17" s="79">
        <f>'1. États financiers'!H91</f>
        <v>-626462.69917246583</v>
      </c>
      <c r="I17" s="79">
        <f>'1. États financiers'!I91</f>
        <v>-706741.05014667043</v>
      </c>
      <c r="J17" s="79">
        <f>'1. États financiers'!J91</f>
        <v>-284720.24459658633</v>
      </c>
      <c r="K17" s="79">
        <f>'1. États financiers'!K91</f>
        <v>457000.9962061079</v>
      </c>
      <c r="L17" t="s">
        <v>7</v>
      </c>
    </row>
    <row r="18" spans="2:17" x14ac:dyDescent="0.25">
      <c r="C18" s="100"/>
      <c r="E18" s="101"/>
      <c r="F18" s="101"/>
      <c r="G18" s="101"/>
      <c r="H18" s="101"/>
      <c r="I18" s="101"/>
      <c r="J18" s="101"/>
      <c r="K18" s="101"/>
    </row>
    <row r="19" spans="2:17" x14ac:dyDescent="0.25">
      <c r="B19" s="102"/>
      <c r="C19" s="103" t="s">
        <v>304</v>
      </c>
      <c r="D19" s="104"/>
      <c r="E19" s="105">
        <f>'2. Annexes'!E67-'1. États financiers'!E91</f>
        <v>70930.821917808207</v>
      </c>
      <c r="F19" s="105">
        <f>'2. Annexes'!F67-'1. États financiers'!F91</f>
        <v>377142.90493150678</v>
      </c>
      <c r="G19" s="105">
        <f>'2. Annexes'!G67-'1. États financiers'!G91</f>
        <v>629281.80309863016</v>
      </c>
      <c r="H19" s="105">
        <f>'2. Annexes'!H67-'1. États financiers'!H91</f>
        <v>776462.69917246583</v>
      </c>
      <c r="I19" s="105">
        <f>'2. Annexes'!I67-'1. États financiers'!I91</f>
        <v>706741.05014667043</v>
      </c>
      <c r="J19" s="105">
        <f>'2. Annexes'!J67-'1. États financiers'!J91</f>
        <v>284720.24459658633</v>
      </c>
      <c r="K19" s="105">
        <f>'2. Annexes'!K67-'1. États financiers'!K91</f>
        <v>-457000.9962061079</v>
      </c>
    </row>
    <row r="20" spans="2:17" x14ac:dyDescent="0.25">
      <c r="B20" s="102"/>
      <c r="C20" s="103" t="s">
        <v>305</v>
      </c>
      <c r="D20" s="104"/>
      <c r="E20" s="23">
        <f>IF(('2. Annexes'!E65+'2. Annexes'!E66)&gt;0,'1. États financiers'!E36/('2. Annexes'!E65+'2. Annexes'!E66),"n.s.")</f>
        <v>-45.491666666666667</v>
      </c>
      <c r="F20" s="23">
        <f>IF(('2. Annexes'!F65+'2. Annexes'!F66)&gt;0,'1. États financiers'!F36/('2. Annexes'!F65+'2. Annexes'!F66),"n.s.")</f>
        <v>-41.844409999999996</v>
      </c>
      <c r="G20" s="23">
        <f>IF(('2. Annexes'!G65+'2. Annexes'!G66)&gt;0,'1. États financiers'!G36/('2. Annexes'!G65+'2. Annexes'!G66),"n.s.")</f>
        <v>-31.687302366666671</v>
      </c>
      <c r="H20" s="23">
        <f>IF(('2. Annexes'!H65+'2. Annexes'!H66)&gt;0,'1. États financiers'!H36/('2. Annexes'!H65+'2. Annexes'!H66),"n.s.")</f>
        <v>-10.333366431666674</v>
      </c>
      <c r="I20" s="23">
        <f>IF(('2. Annexes'!I65+'2. Annexes'!I66)&gt;0,'1. États financiers'!I36/('2. Annexes'!I65+'2. Annexes'!I66),"n.s.")</f>
        <v>1.0564863188042315</v>
      </c>
      <c r="J20" s="23" t="str">
        <f>IF(('2. Annexes'!J65+'2. Annexes'!J66)&gt;0,'1. États financiers'!J36/('2. Annexes'!J65+'2. Annexes'!J66),"n.s.")</f>
        <v>n.s.</v>
      </c>
      <c r="K20" s="23" t="str">
        <f>IF(('2. Annexes'!K65+'2. Annexes'!K66)&gt;0,'1. États financiers'!K36/('2. Annexes'!K65+'2. Annexes'!K66),"n.s.")</f>
        <v>n.s.</v>
      </c>
    </row>
    <row r="21" spans="2:17" hidden="1" x14ac:dyDescent="0.25">
      <c r="B21" s="102"/>
      <c r="C21" s="103" t="s">
        <v>306</v>
      </c>
      <c r="D21" s="104"/>
      <c r="E21" s="24">
        <f t="shared" ref="E21:K21" si="4">IF(E15&gt;0,1,0)</f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1</v>
      </c>
      <c r="J21" s="24">
        <f t="shared" si="4"/>
        <v>1</v>
      </c>
      <c r="K21" s="24">
        <f t="shared" si="4"/>
        <v>1</v>
      </c>
    </row>
    <row r="22" spans="2:17" x14ac:dyDescent="0.25">
      <c r="C22" s="106"/>
      <c r="D22" s="106"/>
      <c r="E22" s="106"/>
      <c r="F22" s="106"/>
      <c r="G22" s="106"/>
      <c r="H22" s="106"/>
      <c r="I22" s="106"/>
      <c r="J22" s="106"/>
      <c r="K22" s="106"/>
    </row>
    <row r="23" spans="2:17" ht="18.75" customHeight="1" x14ac:dyDescent="0.25">
      <c r="B23" s="3" t="s">
        <v>35</v>
      </c>
      <c r="C23" s="73" t="s">
        <v>307</v>
      </c>
      <c r="D23" s="74"/>
      <c r="E23" s="74"/>
      <c r="F23" s="74"/>
      <c r="G23" s="74"/>
      <c r="H23" s="74"/>
      <c r="I23" s="74"/>
      <c r="J23" s="74"/>
      <c r="K23" s="74"/>
      <c r="Q23" t="s">
        <v>7</v>
      </c>
    </row>
    <row r="24" spans="2:17" ht="9.9499999999999993" customHeight="1" x14ac:dyDescent="0.25"/>
    <row r="25" spans="2:17" x14ac:dyDescent="0.25">
      <c r="C25" s="14" t="str">
        <f>"TCAM du chiffre d'affaires (Ex-"&amp;$E$7&amp;" à Ex-"&amp;$K$7&amp;")"</f>
        <v>TCAM du chiffre d'affaires (Ex-2026 à Ex-2032)</v>
      </c>
      <c r="D25" s="13"/>
      <c r="E25" s="68">
        <f>IFERROR((K9/E9)^(1/6)-1,"s.o.")</f>
        <v>0.74722636644424245</v>
      </c>
    </row>
    <row r="26" spans="2:17" x14ac:dyDescent="0.25">
      <c r="C26" s="14" t="str">
        <f>"Marge brute (Ex-"&amp;$K$7&amp;")"</f>
        <v>Marge brute (Ex-2032)</v>
      </c>
      <c r="D26" s="13"/>
      <c r="E26" s="68">
        <f>IFERROR('1. États financiers'!K19/'1. États financiers'!K12,0)</f>
        <v>0.8</v>
      </c>
    </row>
    <row r="27" spans="2:17" x14ac:dyDescent="0.25">
      <c r="C27" s="14" t="str">
        <f>"Marge d'EBITDA (Ex-"&amp;$K$7&amp;")"</f>
        <v>Marge d'EBITDA (Ex-2032)</v>
      </c>
      <c r="D27" s="13"/>
      <c r="E27" s="68">
        <f>IFERROR(K13/K9,0)</f>
        <v>0.47409338416046126</v>
      </c>
    </row>
    <row r="28" spans="2:17" x14ac:dyDescent="0.25">
      <c r="C28" s="14" t="str">
        <f>"EBITDA (Ex-"&amp;$K$7&amp;")"</f>
        <v>EBITDA (Ex-2032)</v>
      </c>
      <c r="D28" s="13"/>
      <c r="E28" s="94">
        <f>K13</f>
        <v>1046696.2417979549</v>
      </c>
    </row>
    <row r="29" spans="2:17" x14ac:dyDescent="0.25">
      <c r="C29" s="14" t="s">
        <v>308</v>
      </c>
      <c r="D29" s="13"/>
      <c r="E29" s="94">
        <f>MIN(E17:K17)</f>
        <v>-706741.05014667043</v>
      </c>
    </row>
    <row r="30" spans="2:17" x14ac:dyDescent="0.25">
      <c r="C30" s="14" t="s">
        <v>309</v>
      </c>
      <c r="D30" s="13"/>
      <c r="E30" s="94">
        <f>Hypothèses!$D$46</f>
        <v>50000</v>
      </c>
    </row>
    <row r="31" spans="2:17" x14ac:dyDescent="0.25">
      <c r="C31" s="14" t="str">
        <f>"MRR (Ex-"&amp;$K$7&amp;")"</f>
        <v>MRR (Ex-2032)</v>
      </c>
      <c r="D31" s="13"/>
      <c r="E31" s="94">
        <f>Hypothèses!K71</f>
        <v>176248.74642286557</v>
      </c>
    </row>
    <row r="32" spans="2:17" x14ac:dyDescent="0.25">
      <c r="C32" s="14" t="str">
        <f>"ARR (Ex-"&amp;$K$7&amp;")"</f>
        <v>ARR (Ex-2032)</v>
      </c>
      <c r="D32" s="13"/>
      <c r="E32" s="94">
        <f>Hypothèses!K72</f>
        <v>2114984.957074387</v>
      </c>
    </row>
    <row r="33" spans="2:12" x14ac:dyDescent="0.25">
      <c r="C33" s="14" t="str">
        <f>"Attrition annuelle (Ex-"&amp;$K$7&amp;", effective)"</f>
        <v>Attrition annuelle (Ex-2032, effective)</v>
      </c>
      <c r="D33" s="13"/>
      <c r="E33" s="68">
        <f>Hypothèses!K62</f>
        <v>0.06</v>
      </c>
    </row>
    <row r="34" spans="2:12" x14ac:dyDescent="0.25">
      <c r="C34" s="14" t="s">
        <v>310</v>
      </c>
      <c r="D34" s="13"/>
      <c r="E34" s="94">
        <f>IFERROR(Hypothèses!K65*IFERROR('1. États financiers'!K19/'1. États financiers'!K12,0)/Hypothèses!K62,0)</f>
        <v>24000</v>
      </c>
    </row>
    <row r="35" spans="2:12" x14ac:dyDescent="0.25">
      <c r="C35" s="14" t="s">
        <v>311</v>
      </c>
      <c r="D35" s="13"/>
      <c r="E35" s="94">
        <f>IFERROR((Hypothèses!K160+Hypothèses!K123)/Hypothèses!K59,0)</f>
        <v>312.83821970972525</v>
      </c>
    </row>
    <row r="36" spans="2:12" x14ac:dyDescent="0.25">
      <c r="C36" s="14" t="s">
        <v>38</v>
      </c>
      <c r="D36" s="13"/>
      <c r="E36" s="67">
        <f>IFERROR((Hypothèses!K65*IFERROR('1. États financiers'!K19/'1. États financiers'!K12,0)/Hypothèses!K62)/((Hypothèses!K160+Hypothèses!K123)/Hypothèses!K59),0)</f>
        <v>76.71696898885628</v>
      </c>
    </row>
    <row r="37" spans="2:12" x14ac:dyDescent="0.25">
      <c r="C37" s="14" t="str">
        <f>"Dette nette / EBITDA (Ex-"&amp;$K$7&amp;")"</f>
        <v>Dette nette / EBITDA (Ex-2032)</v>
      </c>
      <c r="D37" s="13"/>
      <c r="E37" s="67">
        <f>IFERROR(K19/K13,0)</f>
        <v>-0.43661281846306982</v>
      </c>
    </row>
    <row r="38" spans="2:12" x14ac:dyDescent="0.25">
      <c r="E38" s="107"/>
    </row>
    <row r="39" spans="2:12" ht="18.75" customHeight="1" x14ac:dyDescent="0.25">
      <c r="B39" s="3" t="s">
        <v>36</v>
      </c>
      <c r="C39" s="73" t="s">
        <v>312</v>
      </c>
      <c r="D39" s="74"/>
      <c r="E39" s="108"/>
      <c r="F39" s="74"/>
      <c r="G39" s="74"/>
      <c r="H39" s="74"/>
      <c r="I39" s="74"/>
      <c r="J39" s="74"/>
      <c r="K39" s="74"/>
    </row>
    <row r="40" spans="2:12" ht="9.9499999999999993" customHeight="1" x14ac:dyDescent="0.25">
      <c r="E40" s="107"/>
    </row>
    <row r="41" spans="2:12" x14ac:dyDescent="0.25">
      <c r="C41" s="14" t="s">
        <v>313</v>
      </c>
      <c r="D41" s="13"/>
      <c r="E41" s="109" t="b">
        <f>IF(SUMPRODUCT(--(ABS('1. États financiers'!$E$70:$K$70)&gt;1))=0,TRUE(),FALSE())</f>
        <v>1</v>
      </c>
    </row>
    <row r="42" spans="2:12" x14ac:dyDescent="0.25">
      <c r="C42" s="14" t="s">
        <v>314</v>
      </c>
      <c r="D42" s="13"/>
      <c r="E42" s="109" t="b">
        <f>IF(SUMPRODUCT(--(ABS('1. États financiers'!$E$12:$K$12-('1. États financiers'!$E$9:$K$9+'1. États financiers'!$E$10:$K$10+'1. États financiers'!$E$11:$K$11))&gt;1))=0,TRUE(),FALSE())</f>
        <v>1</v>
      </c>
    </row>
    <row r="43" spans="2:12" x14ac:dyDescent="0.25">
      <c r="C43" s="14" t="s">
        <v>315</v>
      </c>
      <c r="D43" s="13"/>
      <c r="E43" s="109" t="b">
        <f>IF(SUMPRODUCT(--(ABS('1. États financiers'!$E$19:$K$19-('1. États financiers'!$E$12:$K$12+'1. États financiers'!$E$17:$K$17))&gt;1))=0,TRUE(),FALSE())</f>
        <v>1</v>
      </c>
    </row>
    <row r="44" spans="2:12" x14ac:dyDescent="0.25">
      <c r="C44" s="14" t="s">
        <v>316</v>
      </c>
      <c r="D44" s="13"/>
      <c r="E44" s="109" t="b">
        <f>IF(SUMPRODUCT(--(ABS('1. États financiers'!$E$49:$K$49-('1. États financiers'!$E$44:$K$44+'1. États financiers'!$E$48:$K$48))&gt;1))=0,TRUE(),FALSE())</f>
        <v>1</v>
      </c>
      <c r="L44" t="s">
        <v>7</v>
      </c>
    </row>
    <row r="45" spans="2:12" x14ac:dyDescent="0.25">
      <c r="C45" s="14" t="s">
        <v>317</v>
      </c>
      <c r="D45" s="13"/>
      <c r="E45" s="109" t="b">
        <f>IF(SUMPRODUCT(--(ABS('1. États financiers'!$E$61:$K$61-'1. États financiers'!$E$91:$K$91)&gt;1))=0,TRUE(),FALSE())</f>
        <v>1</v>
      </c>
    </row>
    <row r="46" spans="2:12" x14ac:dyDescent="0.25">
      <c r="C46" s="14" t="s">
        <v>318</v>
      </c>
      <c r="D46" s="13"/>
      <c r="E46" s="109" t="b">
        <f>IF(SUMPRODUCT(--('2. Annexes'!$E$67:$K$67&lt;-1))=0,TRUE(),FALSE())</f>
        <v>1</v>
      </c>
    </row>
    <row r="47" spans="2:12" x14ac:dyDescent="0.25">
      <c r="C47" s="14" t="s">
        <v>319</v>
      </c>
      <c r="D47" s="13"/>
      <c r="E47" s="109" t="b">
        <f>IF(SUM(Hypothèses!$D$13:$D$15)&gt;0,TRUE(),FALSE())</f>
        <v>1</v>
      </c>
    </row>
    <row r="48" spans="2:12" x14ac:dyDescent="0.25">
      <c r="E48" s="107"/>
    </row>
    <row r="49" spans="3:12" ht="15.75" x14ac:dyDescent="0.25">
      <c r="C49" s="110" t="s">
        <v>320</v>
      </c>
      <c r="E49" s="111" t="b">
        <f>IF(AND(E41,E42,E43,E44,E45,E46,E47),TRUE(),FALSE())</f>
        <v>1</v>
      </c>
    </row>
    <row r="50" spans="3:12" x14ac:dyDescent="0.25">
      <c r="L50" s="4"/>
    </row>
  </sheetData>
  <conditionalFormatting sqref="E41:E47">
    <cfRule type="cellIs" dxfId="3" priority="2" operator="equal">
      <formula>1</formula>
    </cfRule>
    <cfRule type="cellIs" dxfId="2" priority="3" operator="equal">
      <formula>0</formula>
    </cfRule>
  </conditionalFormatting>
  <conditionalFormatting sqref="E49">
    <cfRule type="cellIs" dxfId="1" priority="18" operator="equal">
      <formula>1</formula>
    </cfRule>
    <cfRule type="cellIs" dxfId="0" priority="19" operator="equal">
      <formula>0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ba23fd-da28-4a0e-9c80-fc1c2a00c615" xsi:nil="true"/>
    <_ip_UnifiedCompliancePolicyUIAction xmlns="http://schemas.microsoft.com/sharepoint/v3" xsi:nil="true"/>
    <lcf76f155ced4ddcb4097134ff3c332f xmlns="76057716-3b13-465d-aa6c-d0c609792c3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BCD867419004ABD4A9A42860D405A" ma:contentTypeVersion="23" ma:contentTypeDescription="Een nieuw document maken." ma:contentTypeScope="" ma:versionID="a87fa4a519b8aa3fd82ecff7640c2ad0">
  <xsd:schema xmlns:xsd="http://www.w3.org/2001/XMLSchema" xmlns:xs="http://www.w3.org/2001/XMLSchema" xmlns:p="http://schemas.microsoft.com/office/2006/metadata/properties" xmlns:ns1="http://schemas.microsoft.com/sharepoint/v3" xmlns:ns2="76057716-3b13-465d-aa6c-d0c609792c3e" xmlns:ns3="34ba23fd-da28-4a0e-9c80-fc1c2a00c615" targetNamespace="http://schemas.microsoft.com/office/2006/metadata/properties" ma:root="true" ma:fieldsID="43b379bae0d836d93220ba8b752644fc" ns1:_="" ns2:_="" ns3:_="">
    <xsd:import namespace="http://schemas.microsoft.com/sharepoint/v3"/>
    <xsd:import namespace="76057716-3b13-465d-aa6c-d0c609792c3e"/>
    <xsd:import namespace="34ba23fd-da28-4a0e-9c80-fc1c2a00c6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57716-3b13-465d-aa6c-d0c609792c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Afbeeldingtags" ma:readOnly="false" ma:fieldId="{5cf76f15-5ced-4ddc-b409-7134ff3c332f}" ma:taxonomyMulti="true" ma:sspId="66164ce7-698f-4819-8bfb-c5bd12e7ac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a23fd-da28-4a0e-9c80-fc1c2a00c61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f25fce3-197e-4c88-848d-f1a15b418673}" ma:internalName="TaxCatchAll" ma:showField="CatchAllData" ma:web="34ba23fd-da28-4a0e-9c80-fc1c2a00c6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B6B73-94CF-4C2E-A7D8-4E03E1F408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CDB548-DEC3-46E3-8E57-5AFFACE1A373}">
  <ds:schemaRefs>
    <ds:schemaRef ds:uri="http://schemas.microsoft.com/office/2006/metadata/properties"/>
    <ds:schemaRef ds:uri="http://schemas.microsoft.com/office/infopath/2007/PartnerControls"/>
    <ds:schemaRef ds:uri="34ba23fd-da28-4a0e-9c80-fc1c2a00c615"/>
    <ds:schemaRef ds:uri="http://schemas.microsoft.com/sharepoint/v3"/>
    <ds:schemaRef ds:uri="76057716-3b13-465d-aa6c-d0c609792c3e"/>
  </ds:schemaRefs>
</ds:datastoreItem>
</file>

<file path=customXml/itemProps3.xml><?xml version="1.0" encoding="utf-8"?>
<ds:datastoreItem xmlns:ds="http://schemas.openxmlformats.org/officeDocument/2006/customXml" ds:itemID="{2649DC7B-8F5E-4377-B654-B754749A9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057716-3b13-465d-aa6c-d0c609792c3e"/>
    <ds:schemaRef ds:uri="34ba23fd-da28-4a0e-9c80-fc1c2a00c6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Glossaire + instructions</vt:lpstr>
      <vt:lpstr>Hypothèses</vt:lpstr>
      <vt:lpstr>Outputs &gt;&gt;</vt:lpstr>
      <vt:lpstr>1. États financiers</vt:lpstr>
      <vt:lpstr>2. Annexes</vt:lpstr>
      <vt:lpstr>3. Tableau de bord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Thomas Samson</cp:lastModifiedBy>
  <cp:revision>0</cp:revision>
  <dcterms:created xsi:type="dcterms:W3CDTF">2026-06-10T12:57:12Z</dcterms:created>
  <dcterms:modified xsi:type="dcterms:W3CDTF">2026-06-11T08:39:17Z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0x0101008BDBCD867419004ABD4A9A42860D405A</vt:lpwstr>
  </property>
  <property fmtid="{D5CDD505-2E9C-101B-9397-08002B2CF9AE}" pid="3" name="MediaServiceImageTags">
    <vt:lpwstr/>
  </property>
</Properties>
</file>