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onzalez\Documents\JUNTAS EXAMINADORAS\"/>
    </mc:Choice>
  </mc:AlternateContent>
  <xr:revisionPtr revIDLastSave="0" documentId="8_{66175BB0-88D1-435A-9B07-BD739C7FD4B0}" xr6:coauthVersionLast="47" xr6:coauthVersionMax="47" xr10:uidLastSave="{00000000-0000-0000-0000-000000000000}"/>
  <bookViews>
    <workbookView xWindow="-120" yWindow="-120" windowWidth="29040" windowHeight="15720" xr2:uid="{47E5AF09-BEF4-44DB-9D5B-457C7B9DF5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35" i="1"/>
  <c r="M35" i="1"/>
  <c r="L35" i="1"/>
  <c r="P34" i="1"/>
  <c r="O34" i="1"/>
  <c r="Q34" i="1" s="1"/>
  <c r="M34" i="1"/>
  <c r="L34" i="1"/>
  <c r="P32" i="1"/>
  <c r="Q32" i="1" s="1"/>
  <c r="O32" i="1"/>
  <c r="M32" i="1"/>
  <c r="N32" i="1" s="1"/>
  <c r="L32" i="1"/>
  <c r="O30" i="1"/>
  <c r="P30" i="1"/>
  <c r="M30" i="1"/>
  <c r="L30" i="1"/>
  <c r="O29" i="1"/>
  <c r="P29" i="1"/>
  <c r="L29" i="1"/>
  <c r="M29" i="1"/>
  <c r="P28" i="1"/>
  <c r="O28" i="1"/>
  <c r="L28" i="1"/>
  <c r="M28" i="1"/>
  <c r="M27" i="1"/>
  <c r="L27" i="1"/>
  <c r="P27" i="1"/>
  <c r="Q27" i="1" s="1"/>
  <c r="O27" i="1"/>
  <c r="M23" i="1"/>
  <c r="L23" i="1"/>
  <c r="P23" i="1"/>
  <c r="O23" i="1"/>
  <c r="M22" i="1"/>
  <c r="L22" i="1"/>
  <c r="P22" i="1"/>
  <c r="O22" i="1"/>
  <c r="P21" i="1"/>
  <c r="O21" i="1"/>
  <c r="M21" i="1"/>
  <c r="L21" i="1"/>
  <c r="M17" i="1"/>
  <c r="L17" i="1"/>
  <c r="Q36" i="1"/>
  <c r="P26" i="1"/>
  <c r="Q26" i="1" s="1"/>
  <c r="O26" i="1"/>
  <c r="Q24" i="1"/>
  <c r="Q20" i="1"/>
  <c r="Q18" i="1"/>
  <c r="Q16" i="1"/>
  <c r="J35" i="1"/>
  <c r="I35" i="1"/>
  <c r="J34" i="1"/>
  <c r="I34" i="1"/>
  <c r="J30" i="1"/>
  <c r="K30" i="1" s="1"/>
  <c r="I30" i="1"/>
  <c r="J29" i="1"/>
  <c r="I29" i="1"/>
  <c r="J28" i="1"/>
  <c r="I28" i="1"/>
  <c r="J27" i="1"/>
  <c r="K27" i="1" s="1"/>
  <c r="I27" i="1"/>
  <c r="M26" i="1"/>
  <c r="N26" i="1" s="1"/>
  <c r="L26" i="1"/>
  <c r="J26" i="1"/>
  <c r="K26" i="1" s="1"/>
  <c r="I26" i="1"/>
  <c r="I21" i="1"/>
  <c r="K21" i="1" s="1"/>
  <c r="N36" i="1"/>
  <c r="N24" i="1"/>
  <c r="N20" i="1"/>
  <c r="N18" i="1"/>
  <c r="N16" i="1"/>
  <c r="C35" i="1"/>
  <c r="G34" i="1"/>
  <c r="H34" i="1" s="1"/>
  <c r="F34" i="1"/>
  <c r="D34" i="1"/>
  <c r="C34" i="1"/>
  <c r="E34" i="1" s="1"/>
  <c r="J32" i="1"/>
  <c r="I32" i="1"/>
  <c r="G32" i="1"/>
  <c r="F32" i="1"/>
  <c r="H32" i="1" s="1"/>
  <c r="D32" i="1"/>
  <c r="C32" i="1"/>
  <c r="G30" i="1"/>
  <c r="F30" i="1"/>
  <c r="D30" i="1"/>
  <c r="C30" i="1"/>
  <c r="E30" i="1" s="1"/>
  <c r="J22" i="1"/>
  <c r="I22" i="1"/>
  <c r="F22" i="1"/>
  <c r="G22" i="1"/>
  <c r="G27" i="1"/>
  <c r="F27" i="1"/>
  <c r="J23" i="1"/>
  <c r="I23" i="1"/>
  <c r="G23" i="1"/>
  <c r="F23" i="1"/>
  <c r="G29" i="1"/>
  <c r="F29" i="1"/>
  <c r="H29" i="1" s="1"/>
  <c r="D28" i="1"/>
  <c r="C28" i="1"/>
  <c r="G28" i="1"/>
  <c r="F28" i="1"/>
  <c r="I17" i="1"/>
  <c r="K17" i="1" s="1"/>
  <c r="G17" i="1"/>
  <c r="F17" i="1"/>
  <c r="G35" i="1"/>
  <c r="F35" i="1"/>
  <c r="H35" i="1" s="1"/>
  <c r="K36" i="1"/>
  <c r="K24" i="1"/>
  <c r="K23" i="1"/>
  <c r="K22" i="1"/>
  <c r="K20" i="1"/>
  <c r="K18" i="1"/>
  <c r="K16" i="1"/>
  <c r="H36" i="1"/>
  <c r="E36" i="1"/>
  <c r="D35" i="1"/>
  <c r="E32" i="1"/>
  <c r="D29" i="1"/>
  <c r="E29" i="1" s="1"/>
  <c r="C29" i="1"/>
  <c r="H27" i="1"/>
  <c r="E27" i="1"/>
  <c r="H26" i="1"/>
  <c r="E26" i="1"/>
  <c r="H24" i="1"/>
  <c r="E24" i="1"/>
  <c r="D23" i="1"/>
  <c r="C23" i="1"/>
  <c r="H22" i="1"/>
  <c r="E22" i="1"/>
  <c r="D22" i="1"/>
  <c r="C22" i="1"/>
  <c r="H21" i="1"/>
  <c r="E21" i="1"/>
  <c r="H20" i="1"/>
  <c r="H18" i="1"/>
  <c r="E18" i="1"/>
  <c r="C17" i="1"/>
  <c r="E17" i="1" s="1"/>
  <c r="H16" i="1"/>
  <c r="E16" i="1"/>
  <c r="Q35" i="1" l="1"/>
  <c r="N35" i="1"/>
  <c r="N34" i="1"/>
  <c r="Q30" i="1"/>
  <c r="N30" i="1"/>
  <c r="Q29" i="1"/>
  <c r="Q28" i="1"/>
  <c r="N27" i="1"/>
  <c r="Q23" i="1"/>
  <c r="N23" i="1"/>
  <c r="Q22" i="1"/>
  <c r="N21" i="1"/>
  <c r="P37" i="1"/>
  <c r="Q21" i="1"/>
  <c r="Q17" i="1"/>
  <c r="O37" i="1"/>
  <c r="K34" i="1"/>
  <c r="M37" i="1"/>
  <c r="N29" i="1"/>
  <c r="N28" i="1"/>
  <c r="L37" i="1"/>
  <c r="N17" i="1"/>
  <c r="N22" i="1"/>
  <c r="H30" i="1"/>
  <c r="H28" i="1"/>
  <c r="K29" i="1"/>
  <c r="E20" i="1"/>
  <c r="H23" i="1"/>
  <c r="H17" i="1"/>
  <c r="K32" i="1"/>
  <c r="G37" i="1"/>
  <c r="J37" i="1"/>
  <c r="E28" i="1"/>
  <c r="K28" i="1"/>
  <c r="I37" i="1"/>
  <c r="F37" i="1"/>
  <c r="K35" i="1"/>
  <c r="E35" i="1"/>
  <c r="E23" i="1"/>
  <c r="C37" i="1"/>
  <c r="D37" i="1"/>
  <c r="Q37" i="1" l="1"/>
  <c r="N37" i="1"/>
  <c r="H37" i="1"/>
  <c r="K37" i="1"/>
  <c r="E37" i="1"/>
</calcChain>
</file>

<file path=xl/sharedStrings.xml><?xml version="1.0" encoding="utf-8"?>
<sst xmlns="http://schemas.openxmlformats.org/spreadsheetml/2006/main" count="60" uniqueCount="43">
  <si>
    <r>
      <t xml:space="preserve">GOBIERNO DE PUERTO RICO </t>
    </r>
    <r>
      <rPr>
        <b/>
        <sz val="12"/>
        <color rgb="FF000000"/>
        <rFont val="Cormorant Garamond"/>
      </rPr>
      <t xml:space="preserve"> </t>
    </r>
  </si>
  <si>
    <t>DEPARTAMENTO DE ESTADO</t>
  </si>
  <si>
    <t>REPORTE DE REVALIDAS REALIZADAS POR LAS JUNTAS EXAMINADORAS ADSCRITAS AL DEPARTAMENTO DE ESTADO</t>
  </si>
  <si>
    <t>JUNTA EXAMINADORA</t>
  </si>
  <si>
    <t>AÑO 2021</t>
  </si>
  <si>
    <t>AÑO 2022</t>
  </si>
  <si>
    <t>REVÁLIDAS REALIZADAS</t>
  </si>
  <si>
    <t>REVÁLIDAS APROBADAS</t>
  </si>
  <si>
    <t>% APROBACIÓN</t>
  </si>
  <si>
    <t>Actores de Puerto Rico</t>
  </si>
  <si>
    <t>Agrónomos</t>
  </si>
  <si>
    <t>Arquitectos y arquitectos paisajistas</t>
  </si>
  <si>
    <t>Barberos y Estilistas en Barbería</t>
  </si>
  <si>
    <t>Contadores Públicos Autorizados</t>
  </si>
  <si>
    <t>Contratistas de Techo</t>
  </si>
  <si>
    <t>Corredores, Vendedores y Empresas de Bienes Raíces</t>
  </si>
  <si>
    <t>Delineantes Profesionales</t>
  </si>
  <si>
    <t>Diseñadores – Decoradores de Interiores</t>
  </si>
  <si>
    <t>Especialistas en Belleza</t>
  </si>
  <si>
    <t>Evaluadores Profesionales de Bienes Raíces</t>
  </si>
  <si>
    <t>Geólogos</t>
  </si>
  <si>
    <t>Ingenieros y Agrimensores de Puerto Rico</t>
  </si>
  <si>
    <t>Maestros y Oficiales Plomeros</t>
  </si>
  <si>
    <t>Operadores de Plantas de Tratamiento de Aguas Potables y Aguas Usadas</t>
  </si>
  <si>
    <t>Peritos electricistas</t>
  </si>
  <si>
    <t>Planificadores Profesionales</t>
  </si>
  <si>
    <t>Profesionales del Trabajo Social</t>
  </si>
  <si>
    <t>Químicos</t>
  </si>
  <si>
    <t>Relacionistas</t>
  </si>
  <si>
    <t>Técnicos en Electrónica</t>
  </si>
  <si>
    <t>Técnicos en Refrigeración y Aire Acondicionado</t>
  </si>
  <si>
    <t>Técnicos y Mecánicos Automotrices</t>
  </si>
  <si>
    <t>TOTAL</t>
  </si>
  <si>
    <t>AÑO 2023</t>
  </si>
  <si>
    <t>JUNTA INOPERANTE</t>
  </si>
  <si>
    <t xml:space="preserve">                            NO OFRECE REVÁLIDA</t>
  </si>
  <si>
    <r>
      <t xml:space="preserve">                                               </t>
    </r>
    <r>
      <rPr>
        <sz val="7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NO OFRECIÓ REVALIDA POR ESTE TIEMPO</t>
    </r>
  </si>
  <si>
    <t>Contadores - aun no me ha brindado la data 2022 y 2023</t>
  </si>
  <si>
    <t>Corredores la data es hasta el 26 de junio de 2023</t>
  </si>
  <si>
    <t xml:space="preserve">Técnico y Mecánicos es por año fiscal </t>
  </si>
  <si>
    <t>Arquitectos y arquitectos paisajistas - no me han enviado data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</si>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</sst>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ormorant Garamond"/>
    </font>
    <font>
      <b/>
      <sz val="12"/>
      <color rgb="FF000000"/>
      <name val="Cormorant Garamond"/>
    </font>
    <font>
      <sz val="14"/>
      <color rgb="FF808080"/>
      <name val="Times New Roman"/>
      <family val="1"/>
    </font>
    <font>
      <sz val="14"/>
      <color rgb="FF000000"/>
      <name val="Montserrat Light"/>
    </font>
    <font>
      <sz val="9"/>
      <color theme="1"/>
      <name val="Montserrat Medium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2" borderId="9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0" xfId="0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0" xfId="0" applyFill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9" fillId="0" borderId="8" xfId="1" applyNumberFormat="1" applyFont="1" applyBorder="1" applyAlignment="1">
      <alignment horizontal="center"/>
    </xf>
    <xf numFmtId="0" fontId="10" fillId="0" borderId="5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0" fontId="11" fillId="0" borderId="20" xfId="1" applyNumberFormat="1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0" fillId="0" borderId="21" xfId="0" applyBorder="1"/>
    <xf numFmtId="0" fontId="12" fillId="0" borderId="14" xfId="0" applyFont="1" applyBorder="1" applyAlignment="1">
      <alignment horizontal="center"/>
    </xf>
    <xf numFmtId="10" fontId="9" fillId="0" borderId="25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10" xfId="0" applyFill="1" applyBorder="1"/>
    <xf numFmtId="0" fontId="0" fillId="0" borderId="10" xfId="0" applyBorder="1" applyAlignment="1">
      <alignment horizontal="center"/>
    </xf>
    <xf numFmtId="0" fontId="0" fillId="0" borderId="15" xfId="0" applyBorder="1"/>
    <xf numFmtId="0" fontId="0" fillId="5" borderId="10" xfId="0" applyFill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2042160</xdr:colOff>
      <xdr:row>0</xdr:row>
      <xdr:rowOff>53340</xdr:rowOff>
    </xdr:from>
    <xdr:to>
      <xdr:col>2</xdr:col>
      <xdr:colOff>7620</xdr:colOff>
      <xdr:row>6</xdr:row>
      <xdr:rowOff>114300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1FB026-6CE5-42BF-AC3D-FBE6A466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3340"/>
          <a:ext cx="1051560" cy="137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320040</xdr:colOff>
      <xdr:row>1</xdr:row>
      <xdr:rowOff>68580</xdr:rowOff>
    </xdr:from>
    <xdr:to>
      <xdr:col>10</xdr:col>
      <xdr:colOff>204298</xdr:colOff>
      <xdr:row>6</xdr:row>
      <xdr:rowOff>38177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389E2-77C5-4B56-AE0E-712C85C9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6440" y="251460"/>
          <a:ext cx="951058" cy="1104977"/>
        </a:xfrm>
        <a:prstGeom prst="rect">
          <a:avLst/>
        </a:prstGeom>
      </xdr:spPr>
    </xdr:pic>
    <xdr:clientData/>
  </xdr:twoCellAnchor>
  <xdr:oneCellAnchor>
    <xdr:from>
      <xdr:col>12</xdr:col>
      <xdr:colOff>320040</xdr:colOff>
      <xdr:row>1</xdr:row>
      <xdr:rowOff>68580</xdr:rowOff>
    </xdr:from>
    <xdr:ext cx="981538" cy="1104977"/>
    <xdr:pic>
      <xdr:nvPicPr>
        <xdr:cNvPr id="4" name="Picture 3">
          <a:extLst>
            <a:ext uri="{FF2B5EF4-FFF2-40B4-BE49-F238E27FC236}">
              <a16:creationId xmlns:a16="http://schemas.microsoft.com/office/drawing/2014/main" id="{25242C8E-F44A-4B5A-B107-082FD7BE1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9380" y="251460"/>
          <a:ext cx="981538" cy="1104977"/>
        </a:xfrm>
        <a:prstGeom prst="rect">
          <a:avLst/>
        </a:prstGeom>
      </xdr:spPr>
    </xdr:pic>
    <xdr:clientData/>
  </xdr:oneCellAnchor>
  <xdr:oneCellAnchor>
    <xdr:from>
      <xdr:col>15</xdr:col>
      <xdr:colOff>320040</xdr:colOff>
      <xdr:row>1</xdr:row>
      <xdr:rowOff>68580</xdr:rowOff>
    </xdr:from>
    <xdr:ext cx="981538" cy="1104977"/>
    <xdr:pic>
      <xdr:nvPicPr>
        <xdr:cNvPr id="5" name="Picture 4">
          <a:extLst>
            <a:ext uri="{FF2B5EF4-FFF2-40B4-BE49-F238E27FC236}">
              <a16:creationId xmlns:a16="http://schemas.microsoft.com/office/drawing/2014/main" id="{1EB55511-6BF9-4285-A7FD-162AE12F4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89787" y="261491"/>
          <a:ext cx="981538" cy="11049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CAC6-7B36-48BA-9404-B1A329569A25}">
  <dimension ref="B4:T41"/>
  <sheetViews>
    <sheetView tabSelected="1" topLeftCell="A8" zoomScale="79" zoomScaleNormal="79" workbookViewId="0">
      <selection activeCell="B20" sqref="B20"/>
    </sheetView>
  </sheetViews>
  <sheetFormatPr defaultRowHeight="15"/>
  <cols>
    <col min="2" max="2" width="56.42578125" customWidth="1"/>
    <col min="3" max="3" width="13.85546875" customWidth="1"/>
    <col min="4" max="4" width="12.42578125" customWidth="1"/>
    <col min="5" max="5" width="11.7109375" customWidth="1"/>
    <col min="6" max="6" width="14" customWidth="1"/>
    <col min="7" max="7" width="11.7109375" customWidth="1"/>
    <col min="8" max="8" width="10.7109375" customWidth="1"/>
    <col min="9" max="9" width="17" customWidth="1"/>
    <col min="10" max="10" width="16" customWidth="1"/>
    <col min="11" max="11" width="17.42578125" customWidth="1"/>
    <col min="12" max="12" width="17" customWidth="1"/>
    <col min="13" max="13" width="16" customWidth="1"/>
    <col min="14" max="14" width="17.42578125" customWidth="1"/>
    <col min="15" max="15" width="17" customWidth="1"/>
    <col min="16" max="16" width="16" customWidth="1"/>
    <col min="17" max="17" width="17.42578125" customWidth="1"/>
  </cols>
  <sheetData>
    <row r="4" spans="2:17" ht="20.25">
      <c r="C4" s="1" t="s">
        <v>0</v>
      </c>
    </row>
    <row r="5" spans="2:17" ht="21.75">
      <c r="B5" s="2"/>
      <c r="C5" s="3" t="s">
        <v>1</v>
      </c>
    </row>
    <row r="6" spans="2:17" ht="18.75">
      <c r="B6" s="4"/>
      <c r="C6" s="5"/>
    </row>
    <row r="9" spans="2:17">
      <c r="B9" s="50" t="s">
        <v>2</v>
      </c>
      <c r="C9" s="50"/>
      <c r="D9" s="50"/>
      <c r="E9" s="50"/>
      <c r="F9" s="50"/>
      <c r="G9" s="50"/>
      <c r="H9" s="50"/>
      <c r="I9" s="50"/>
      <c r="J9" s="50"/>
      <c r="K9" s="50"/>
    </row>
    <row r="11" spans="2:17" ht="15.75" thickBot="1"/>
    <row r="12" spans="2:17">
      <c r="B12" s="51" t="s">
        <v>3</v>
      </c>
      <c r="C12" s="47" t="s">
        <v>4</v>
      </c>
      <c r="D12" s="48"/>
      <c r="E12" s="49"/>
      <c r="F12" s="47" t="s">
        <v>5</v>
      </c>
      <c r="G12" s="48"/>
      <c r="H12" s="49"/>
      <c r="I12" s="47" t="s">
        <v>33</v>
      </c>
      <c r="J12" s="48"/>
      <c r="K12" s="49"/>
      <c r="L12" s="47" t="s">
        <v>41</v>
      </c>
      <c r="M12" s="48"/>
      <c r="N12" s="49"/>
      <c r="O12" s="47" t="s">
        <v>42</v>
      </c>
      <c r="P12" s="48"/>
      <c r="Q12" s="49"/>
    </row>
    <row r="13" spans="2:17" ht="45.75" thickBot="1">
      <c r="B13" s="52"/>
      <c r="C13" s="6" t="s">
        <v>6</v>
      </c>
      <c r="D13" s="7" t="s">
        <v>7</v>
      </c>
      <c r="E13" s="8" t="s">
        <v>8</v>
      </c>
      <c r="F13" s="6" t="s">
        <v>6</v>
      </c>
      <c r="G13" s="7" t="s">
        <v>7</v>
      </c>
      <c r="H13" s="8" t="s">
        <v>8</v>
      </c>
      <c r="I13" s="6" t="s">
        <v>6</v>
      </c>
      <c r="J13" s="7" t="s">
        <v>7</v>
      </c>
      <c r="K13" s="8" t="s">
        <v>8</v>
      </c>
      <c r="L13" s="6" t="s">
        <v>6</v>
      </c>
      <c r="M13" s="7" t="s">
        <v>7</v>
      </c>
      <c r="N13" s="8" t="s">
        <v>8</v>
      </c>
      <c r="O13" s="6" t="s">
        <v>6</v>
      </c>
      <c r="P13" s="7" t="s">
        <v>7</v>
      </c>
      <c r="Q13" s="8" t="s">
        <v>8</v>
      </c>
    </row>
    <row r="14" spans="2:17">
      <c r="B14" s="9" t="s">
        <v>9</v>
      </c>
      <c r="C14" s="45" t="s">
        <v>34</v>
      </c>
      <c r="D14" s="46"/>
      <c r="E14" s="11"/>
      <c r="F14" s="12"/>
      <c r="G14" s="10"/>
      <c r="H14" s="11"/>
      <c r="I14" s="12"/>
      <c r="J14" s="10"/>
      <c r="K14" s="11"/>
      <c r="L14" s="12"/>
      <c r="M14" s="10"/>
      <c r="N14" s="11"/>
      <c r="O14" s="12"/>
      <c r="P14" s="10"/>
      <c r="Q14" s="11"/>
    </row>
    <row r="15" spans="2:17">
      <c r="B15" s="13" t="s">
        <v>10</v>
      </c>
      <c r="C15" s="16" t="s">
        <v>35</v>
      </c>
      <c r="D15" s="14"/>
      <c r="E15" s="15"/>
      <c r="F15" s="16"/>
      <c r="G15" s="14"/>
      <c r="H15" s="15"/>
      <c r="I15" s="16"/>
      <c r="J15" s="14"/>
      <c r="K15" s="15"/>
      <c r="L15" s="16"/>
      <c r="M15" s="14"/>
      <c r="N15" s="15"/>
      <c r="O15" s="16"/>
      <c r="P15" s="14"/>
      <c r="Q15" s="15"/>
    </row>
    <row r="16" spans="2:17" ht="15.75" thickBot="1">
      <c r="B16" s="17" t="s">
        <v>11</v>
      </c>
      <c r="C16" s="18">
        <v>142</v>
      </c>
      <c r="D16" s="19">
        <v>15</v>
      </c>
      <c r="E16" s="20">
        <f>D16/C16</f>
        <v>0.10563380281690141</v>
      </c>
      <c r="F16" s="18">
        <v>142</v>
      </c>
      <c r="G16" s="19">
        <v>14</v>
      </c>
      <c r="H16" s="20">
        <f>G16/F16</f>
        <v>9.8591549295774641E-2</v>
      </c>
      <c r="I16" s="18"/>
      <c r="J16" s="19"/>
      <c r="K16" s="20" t="e">
        <f>J16/I16</f>
        <v>#DIV/0!</v>
      </c>
      <c r="L16" s="18"/>
      <c r="M16" s="19"/>
      <c r="N16" s="20" t="e">
        <f>M16/L16</f>
        <v>#DIV/0!</v>
      </c>
      <c r="O16" s="18"/>
      <c r="P16" s="19"/>
      <c r="Q16" s="20" t="e">
        <f>P16/O16</f>
        <v>#DIV/0!</v>
      </c>
    </row>
    <row r="17" spans="2:20" ht="15.75" thickBot="1">
      <c r="B17" s="41" t="s">
        <v>12</v>
      </c>
      <c r="C17" s="18">
        <f>110</f>
        <v>110</v>
      </c>
      <c r="D17" s="19">
        <v>71</v>
      </c>
      <c r="E17" s="20">
        <f>D17/C17</f>
        <v>0.6454545454545455</v>
      </c>
      <c r="F17" s="18">
        <f>116+130</f>
        <v>246</v>
      </c>
      <c r="G17" s="19">
        <f>74+95</f>
        <v>169</v>
      </c>
      <c r="H17" s="20">
        <f>G17/F17</f>
        <v>0.68699186991869921</v>
      </c>
      <c r="I17" s="18">
        <f>137</f>
        <v>137</v>
      </c>
      <c r="J17" s="19">
        <v>98</v>
      </c>
      <c r="K17" s="20">
        <f>J17/I17</f>
        <v>0.71532846715328469</v>
      </c>
      <c r="L17" s="18">
        <f>141+110+123+106</f>
        <v>480</v>
      </c>
      <c r="M17" s="19">
        <f>102+78+61+57</f>
        <v>298</v>
      </c>
      <c r="N17" s="20">
        <f>M17/L17</f>
        <v>0.62083333333333335</v>
      </c>
      <c r="O17" s="18">
        <v>183</v>
      </c>
      <c r="P17" s="19">
        <v>145</v>
      </c>
      <c r="Q17" s="20">
        <f>P17/O17</f>
        <v>0.79234972677595628</v>
      </c>
      <c r="R17" s="35"/>
      <c r="S17" s="35"/>
      <c r="T17" s="36"/>
    </row>
    <row r="18" spans="2:20" ht="15.75" thickBot="1">
      <c r="B18" s="17" t="s">
        <v>13</v>
      </c>
      <c r="C18" s="22">
        <v>643</v>
      </c>
      <c r="D18" s="21">
        <v>47</v>
      </c>
      <c r="E18" s="20">
        <f>D18/C18</f>
        <v>7.3094867807153963E-2</v>
      </c>
      <c r="F18" s="22"/>
      <c r="G18" s="21"/>
      <c r="H18" s="20" t="e">
        <f>G18/F18</f>
        <v>#DIV/0!</v>
      </c>
      <c r="I18" s="22"/>
      <c r="J18" s="21"/>
      <c r="K18" s="20" t="e">
        <f>J18/I18</f>
        <v>#DIV/0!</v>
      </c>
      <c r="L18" s="22"/>
      <c r="M18" s="21"/>
      <c r="N18" s="20" t="e">
        <f>M18/L18</f>
        <v>#DIV/0!</v>
      </c>
      <c r="O18" s="22"/>
      <c r="P18" s="21"/>
      <c r="Q18" s="20" t="e">
        <f>P18/O18</f>
        <v>#DIV/0!</v>
      </c>
    </row>
    <row r="19" spans="2:20">
      <c r="B19" s="23" t="s">
        <v>14</v>
      </c>
      <c r="C19" s="45" t="s">
        <v>34</v>
      </c>
      <c r="D19" s="46"/>
      <c r="E19" s="11"/>
      <c r="F19" s="12"/>
      <c r="G19" s="10"/>
      <c r="H19" s="11"/>
      <c r="I19" s="12"/>
      <c r="J19" s="10"/>
      <c r="K19" s="11"/>
      <c r="L19" s="12"/>
      <c r="M19" s="10"/>
      <c r="N19" s="11"/>
      <c r="O19" s="12"/>
      <c r="P19" s="10"/>
      <c r="Q19" s="11"/>
    </row>
    <row r="20" spans="2:20">
      <c r="B20" s="17" t="s">
        <v>15</v>
      </c>
      <c r="C20" s="18">
        <v>2147</v>
      </c>
      <c r="D20" s="19">
        <v>1457</v>
      </c>
      <c r="E20" s="20">
        <f>D20/C20</f>
        <v>0.67862133209129016</v>
      </c>
      <c r="F20" s="18">
        <v>2611</v>
      </c>
      <c r="G20" s="19">
        <v>1728</v>
      </c>
      <c r="H20" s="20">
        <f>G20/F20</f>
        <v>0.66181539639984677</v>
      </c>
      <c r="I20" s="18">
        <v>1219</v>
      </c>
      <c r="J20" s="19">
        <v>734</v>
      </c>
      <c r="K20" s="20">
        <f>J20/I20</f>
        <v>0.60213289581624285</v>
      </c>
      <c r="L20" s="18">
        <v>1219</v>
      </c>
      <c r="M20" s="19">
        <v>734</v>
      </c>
      <c r="N20" s="20">
        <f>M20/L20</f>
        <v>0.60213289581624285</v>
      </c>
      <c r="O20" s="18"/>
      <c r="P20" s="19"/>
      <c r="Q20" s="20" t="e">
        <f>P20/O20</f>
        <v>#DIV/0!</v>
      </c>
    </row>
    <row r="21" spans="2:20">
      <c r="B21" s="41" t="s">
        <v>16</v>
      </c>
      <c r="C21" s="45" t="s">
        <v>34</v>
      </c>
      <c r="D21" s="46"/>
      <c r="E21" s="20" t="e">
        <f>G21/F21</f>
        <v>#VALUE!</v>
      </c>
      <c r="F21" s="45" t="s">
        <v>34</v>
      </c>
      <c r="G21" s="46"/>
      <c r="H21" s="39" t="e">
        <f>#REF!/#REF!</f>
        <v>#REF!</v>
      </c>
      <c r="I21" s="19">
        <f>25</f>
        <v>25</v>
      </c>
      <c r="J21" s="40">
        <v>15</v>
      </c>
      <c r="K21" s="39">
        <f>J21/I21</f>
        <v>0.6</v>
      </c>
      <c r="L21" s="19">
        <f>19+14+20+14</f>
        <v>67</v>
      </c>
      <c r="M21" s="19">
        <f>14+7+9+7</f>
        <v>37</v>
      </c>
      <c r="N21" s="20">
        <f>M21/L21</f>
        <v>0.55223880597014929</v>
      </c>
      <c r="O21" s="19">
        <f>8+12</f>
        <v>20</v>
      </c>
      <c r="P21" s="19">
        <f>5+9</f>
        <v>14</v>
      </c>
      <c r="Q21" s="20">
        <f>P21/O21</f>
        <v>0.7</v>
      </c>
    </row>
    <row r="22" spans="2:20">
      <c r="B22" s="41" t="s">
        <v>17</v>
      </c>
      <c r="C22" s="18">
        <f>15+21</f>
        <v>36</v>
      </c>
      <c r="D22" s="19">
        <f>4+1</f>
        <v>5</v>
      </c>
      <c r="E22" s="20">
        <f>D22/C22</f>
        <v>0.1388888888888889</v>
      </c>
      <c r="F22" s="18">
        <f>29+26</f>
        <v>55</v>
      </c>
      <c r="G22" s="19">
        <f>2+8</f>
        <v>10</v>
      </c>
      <c r="H22" s="20">
        <f>G22/F22</f>
        <v>0.18181818181818182</v>
      </c>
      <c r="I22" s="18">
        <f>22+36</f>
        <v>58</v>
      </c>
      <c r="J22" s="19">
        <f>4+10</f>
        <v>14</v>
      </c>
      <c r="K22" s="20">
        <f>J22/I22</f>
        <v>0.2413793103448276</v>
      </c>
      <c r="L22" s="18">
        <f>32+37+12+19</f>
        <v>100</v>
      </c>
      <c r="M22" s="19">
        <f>11+4+3+8</f>
        <v>26</v>
      </c>
      <c r="N22" s="20">
        <f>M22/L22</f>
        <v>0.26</v>
      </c>
      <c r="O22" s="18">
        <f>35+19</f>
        <v>54</v>
      </c>
      <c r="P22" s="19">
        <f>13+9</f>
        <v>22</v>
      </c>
      <c r="Q22" s="20">
        <f>P22/O22</f>
        <v>0.40740740740740738</v>
      </c>
    </row>
    <row r="23" spans="2:20">
      <c r="B23" s="41" t="s">
        <v>18</v>
      </c>
      <c r="C23" s="18">
        <f>231+155</f>
        <v>386</v>
      </c>
      <c r="D23" s="19">
        <f>176+90</f>
        <v>266</v>
      </c>
      <c r="E23" s="20">
        <f>D23/C23</f>
        <v>0.68911917098445596</v>
      </c>
      <c r="F23" s="18">
        <f>257+232</f>
        <v>489</v>
      </c>
      <c r="G23" s="19">
        <f>175+158</f>
        <v>333</v>
      </c>
      <c r="H23" s="20">
        <f>G23/F23</f>
        <v>0.68098159509202449</v>
      </c>
      <c r="I23" s="18">
        <f>248+242</f>
        <v>490</v>
      </c>
      <c r="J23" s="19">
        <f>160+163</f>
        <v>323</v>
      </c>
      <c r="K23" s="20">
        <f>J23/I23</f>
        <v>0.65918367346938778</v>
      </c>
      <c r="L23" s="18">
        <f>249+197+195+135</f>
        <v>776</v>
      </c>
      <c r="M23" s="19">
        <f>164+127+57+46</f>
        <v>394</v>
      </c>
      <c r="N23" s="20">
        <f>M23/L23</f>
        <v>0.50773195876288657</v>
      </c>
      <c r="O23" s="18">
        <f>214+151</f>
        <v>365</v>
      </c>
      <c r="P23" s="19">
        <f>127+58</f>
        <v>185</v>
      </c>
      <c r="Q23" s="20">
        <f>P23/O23</f>
        <v>0.50684931506849318</v>
      </c>
    </row>
    <row r="24" spans="2:20">
      <c r="B24" s="17" t="s">
        <v>19</v>
      </c>
      <c r="C24" s="18">
        <v>13</v>
      </c>
      <c r="D24" s="19">
        <v>3</v>
      </c>
      <c r="E24" s="20">
        <f>D24/C24</f>
        <v>0.23076923076923078</v>
      </c>
      <c r="F24" s="18">
        <v>17</v>
      </c>
      <c r="G24" s="19">
        <v>4</v>
      </c>
      <c r="H24" s="20">
        <f>G24/F24</f>
        <v>0.23529411764705882</v>
      </c>
      <c r="I24" s="18">
        <v>14</v>
      </c>
      <c r="J24" s="19">
        <v>3</v>
      </c>
      <c r="K24" s="20">
        <f>J24/I24</f>
        <v>0.21428571428571427</v>
      </c>
      <c r="L24" s="18">
        <v>14</v>
      </c>
      <c r="M24" s="19">
        <v>3</v>
      </c>
      <c r="N24" s="20">
        <f>M24/L24</f>
        <v>0.21428571428571427</v>
      </c>
      <c r="O24" s="18">
        <v>14</v>
      </c>
      <c r="P24" s="19">
        <v>3</v>
      </c>
      <c r="Q24" s="20">
        <f>P24/O24</f>
        <v>0.21428571428571427</v>
      </c>
    </row>
    <row r="25" spans="2:20">
      <c r="B25" s="17" t="s">
        <v>20</v>
      </c>
      <c r="C25" s="38" t="s">
        <v>36</v>
      </c>
      <c r="D25" s="19"/>
      <c r="E25" s="20">
        <v>0</v>
      </c>
      <c r="F25" s="18"/>
      <c r="G25" s="19"/>
      <c r="H25" s="20">
        <v>0</v>
      </c>
      <c r="I25" s="18"/>
      <c r="J25" s="19"/>
      <c r="K25" s="20">
        <v>0</v>
      </c>
      <c r="L25" s="18"/>
      <c r="M25" s="19"/>
      <c r="N25" s="20">
        <v>0</v>
      </c>
      <c r="O25" s="18"/>
      <c r="P25" s="19"/>
      <c r="Q25" s="20">
        <v>0</v>
      </c>
    </row>
    <row r="26" spans="2:20">
      <c r="B26" s="17" t="s">
        <v>21</v>
      </c>
      <c r="C26" s="18">
        <v>421</v>
      </c>
      <c r="D26" s="19">
        <v>122</v>
      </c>
      <c r="E26" s="20">
        <f>D26/C26</f>
        <v>0.28978622327790976</v>
      </c>
      <c r="F26" s="18">
        <v>337</v>
      </c>
      <c r="G26" s="19">
        <v>99</v>
      </c>
      <c r="H26" s="20">
        <f>G26/F26</f>
        <v>0.29376854599406527</v>
      </c>
      <c r="I26" s="18">
        <f>353+125+17+11</f>
        <v>506</v>
      </c>
      <c r="J26" s="19">
        <f>90+36+4+3</f>
        <v>133</v>
      </c>
      <c r="K26" s="20">
        <f>J26/I26</f>
        <v>0.26284584980237152</v>
      </c>
      <c r="L26" s="18">
        <f>134+59+3</f>
        <v>196</v>
      </c>
      <c r="M26" s="19">
        <f>33+23+0</f>
        <v>56</v>
      </c>
      <c r="N26" s="20">
        <f>M26/L26</f>
        <v>0.2857142857142857</v>
      </c>
      <c r="O26" s="18">
        <f>134+59+3</f>
        <v>196</v>
      </c>
      <c r="P26" s="19">
        <f>33+23+0</f>
        <v>56</v>
      </c>
      <c r="Q26" s="20">
        <f>P26/O26</f>
        <v>0.2857142857142857</v>
      </c>
    </row>
    <row r="27" spans="2:20">
      <c r="B27" s="41" t="s">
        <v>22</v>
      </c>
      <c r="C27" s="18">
        <v>75</v>
      </c>
      <c r="D27" s="19">
        <v>22</v>
      </c>
      <c r="E27" s="20">
        <f>D27/C27</f>
        <v>0.29333333333333333</v>
      </c>
      <c r="F27" s="18">
        <f>67+91</f>
        <v>158</v>
      </c>
      <c r="G27" s="19">
        <f>23+29</f>
        <v>52</v>
      </c>
      <c r="H27" s="20">
        <f>G27/F27</f>
        <v>0.32911392405063289</v>
      </c>
      <c r="I27" s="18">
        <f>59+77</f>
        <v>136</v>
      </c>
      <c r="J27" s="19">
        <f>18+32</f>
        <v>50</v>
      </c>
      <c r="K27" s="20">
        <f>J27/I27</f>
        <v>0.36764705882352944</v>
      </c>
      <c r="L27" s="42">
        <f>87+100+102+128</f>
        <v>417</v>
      </c>
      <c r="M27" s="19">
        <f>15+41+61+87</f>
        <v>204</v>
      </c>
      <c r="N27" s="39">
        <f>M27/L27</f>
        <v>0.48920863309352519</v>
      </c>
      <c r="O27" s="19">
        <f>93</f>
        <v>93</v>
      </c>
      <c r="P27" s="19">
        <f>32</f>
        <v>32</v>
      </c>
      <c r="Q27" s="20">
        <f>P27/O27</f>
        <v>0.34408602150537637</v>
      </c>
    </row>
    <row r="28" spans="2:20" ht="30">
      <c r="B28" s="44" t="s">
        <v>23</v>
      </c>
      <c r="C28" s="18">
        <f>59+77+44</f>
        <v>180</v>
      </c>
      <c r="D28" s="19">
        <f>34+54+26</f>
        <v>114</v>
      </c>
      <c r="E28" s="20">
        <f>D28/C28</f>
        <v>0.6333333333333333</v>
      </c>
      <c r="F28" s="18">
        <f>94+16+71+61</f>
        <v>242</v>
      </c>
      <c r="G28" s="19">
        <f>60+13+46+42</f>
        <v>161</v>
      </c>
      <c r="H28" s="20">
        <f>G28/F28</f>
        <v>0.66528925619834711</v>
      </c>
      <c r="I28" s="18">
        <f>125+59+75+51</f>
        <v>310</v>
      </c>
      <c r="J28" s="19">
        <f>82+41+53+35</f>
        <v>211</v>
      </c>
      <c r="K28" s="20">
        <f>J28/I28</f>
        <v>0.6806451612903226</v>
      </c>
      <c r="L28" s="18">
        <f>82+63+66+82</f>
        <v>293</v>
      </c>
      <c r="M28" s="19">
        <f>49+40+32+45</f>
        <v>166</v>
      </c>
      <c r="N28" s="20">
        <f>M28/L28</f>
        <v>0.56655290102389078</v>
      </c>
      <c r="O28" s="18">
        <f>80+87</f>
        <v>167</v>
      </c>
      <c r="P28" s="19">
        <f>48+47</f>
        <v>95</v>
      </c>
      <c r="Q28" s="20">
        <f>P28/O28</f>
        <v>0.56886227544910184</v>
      </c>
    </row>
    <row r="29" spans="2:20">
      <c r="B29" s="41" t="s">
        <v>24</v>
      </c>
      <c r="C29" s="18">
        <f>110+809+73</f>
        <v>992</v>
      </c>
      <c r="D29" s="19">
        <f>46+389+19</f>
        <v>454</v>
      </c>
      <c r="E29" s="20">
        <f>D29/C29</f>
        <v>0.45766129032258063</v>
      </c>
      <c r="F29" s="18">
        <f>897+673+590+203+163+166+132+134+158</f>
        <v>3116</v>
      </c>
      <c r="G29" s="19">
        <f>476+331+287+85+75+57+26+52+61</f>
        <v>1450</v>
      </c>
      <c r="H29" s="20">
        <f>G29/F29</f>
        <v>0.46534017971758668</v>
      </c>
      <c r="I29" s="18">
        <f>952+1164+771+176+165+199</f>
        <v>3427</v>
      </c>
      <c r="J29" s="19">
        <f>458+609+367+63+64+31</f>
        <v>1592</v>
      </c>
      <c r="K29" s="20">
        <f>J29/I29</f>
        <v>0.4645462503647505</v>
      </c>
      <c r="L29" s="18">
        <f>929+227+1063+262+950+264</f>
        <v>3695</v>
      </c>
      <c r="M29" s="19">
        <f>486+67+543+91+431+66</f>
        <v>1684</v>
      </c>
      <c r="N29" s="20">
        <f>M29/L29</f>
        <v>0.45575101488497971</v>
      </c>
      <c r="O29" s="18">
        <f>937+289+1113+297</f>
        <v>2636</v>
      </c>
      <c r="P29" s="19">
        <f>470+93+581+134</f>
        <v>1278</v>
      </c>
      <c r="Q29" s="20">
        <f>P29/O29</f>
        <v>0.48482549317147194</v>
      </c>
    </row>
    <row r="30" spans="2:20">
      <c r="B30" s="41" t="s">
        <v>25</v>
      </c>
      <c r="C30" s="18">
        <f>11+14</f>
        <v>25</v>
      </c>
      <c r="D30" s="19">
        <f>1+3</f>
        <v>4</v>
      </c>
      <c r="E30" s="20">
        <f>D30/C30</f>
        <v>0.16</v>
      </c>
      <c r="F30" s="18">
        <f>30+13</f>
        <v>43</v>
      </c>
      <c r="G30" s="19">
        <f>10+7</f>
        <v>17</v>
      </c>
      <c r="H30" s="20">
        <f>G30/F30</f>
        <v>0.39534883720930231</v>
      </c>
      <c r="I30" s="18">
        <f>12+26</f>
        <v>38</v>
      </c>
      <c r="J30" s="19">
        <f>6+14</f>
        <v>20</v>
      </c>
      <c r="K30" s="39">
        <f>J30/I30</f>
        <v>0.52631578947368418</v>
      </c>
      <c r="L30" s="19">
        <f>18+13</f>
        <v>31</v>
      </c>
      <c r="M30" s="19">
        <f>13+7</f>
        <v>20</v>
      </c>
      <c r="N30" s="39">
        <f>M30/L30</f>
        <v>0.64516129032258063</v>
      </c>
      <c r="O30" s="19">
        <f>16+5</f>
        <v>21</v>
      </c>
      <c r="P30" s="19">
        <f>12+4</f>
        <v>16</v>
      </c>
      <c r="Q30" s="20">
        <f>P30/O30</f>
        <v>0.76190476190476186</v>
      </c>
    </row>
    <row r="31" spans="2:20">
      <c r="B31" s="13" t="s">
        <v>26</v>
      </c>
      <c r="C31" s="16" t="s">
        <v>35</v>
      </c>
      <c r="D31" s="1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26"/>
      <c r="P31" s="24"/>
      <c r="Q31" s="25"/>
    </row>
    <row r="32" spans="2:20">
      <c r="B32" s="41" t="s">
        <v>27</v>
      </c>
      <c r="C32" s="18">
        <f>25+46</f>
        <v>71</v>
      </c>
      <c r="D32" s="19">
        <f>6+17</f>
        <v>23</v>
      </c>
      <c r="E32" s="20">
        <f>D32/C32</f>
        <v>0.323943661971831</v>
      </c>
      <c r="F32" s="18">
        <f>17+32</f>
        <v>49</v>
      </c>
      <c r="G32" s="19">
        <f>6+12</f>
        <v>18</v>
      </c>
      <c r="H32" s="20">
        <f>G32/F32</f>
        <v>0.36734693877551022</v>
      </c>
      <c r="I32" s="18">
        <f>17+28</f>
        <v>45</v>
      </c>
      <c r="J32" s="19">
        <f>5+8</f>
        <v>13</v>
      </c>
      <c r="K32" s="39">
        <f>J32/I32</f>
        <v>0.28888888888888886</v>
      </c>
      <c r="L32" s="19">
        <f>18+33</f>
        <v>51</v>
      </c>
      <c r="M32" s="19">
        <f>4+5</f>
        <v>9</v>
      </c>
      <c r="N32" s="39">
        <f>M32/L32</f>
        <v>0.17647058823529413</v>
      </c>
      <c r="O32" s="19">
        <f>20</f>
        <v>20</v>
      </c>
      <c r="P32" s="19">
        <f>0</f>
        <v>0</v>
      </c>
      <c r="Q32" s="20">
        <f>P32/O32</f>
        <v>0</v>
      </c>
    </row>
    <row r="33" spans="2:17">
      <c r="B33" s="13" t="s">
        <v>28</v>
      </c>
      <c r="C33" s="26" t="s">
        <v>35</v>
      </c>
      <c r="D33" s="24"/>
      <c r="E33" s="25"/>
      <c r="F33" s="26"/>
      <c r="G33" s="24"/>
      <c r="H33" s="25"/>
      <c r="I33" s="26"/>
      <c r="J33" s="24"/>
      <c r="K33" s="25"/>
      <c r="L33" s="26"/>
      <c r="M33" s="24"/>
      <c r="N33" s="25"/>
      <c r="O33" s="26"/>
      <c r="P33" s="24"/>
      <c r="Q33" s="25"/>
    </row>
    <row r="34" spans="2:17">
      <c r="B34" s="41" t="s">
        <v>29</v>
      </c>
      <c r="C34" s="18">
        <f>25+17</f>
        <v>42</v>
      </c>
      <c r="D34" s="19">
        <f>12+10</f>
        <v>22</v>
      </c>
      <c r="E34" s="20">
        <f>D34/C34</f>
        <v>0.52380952380952384</v>
      </c>
      <c r="F34" s="18">
        <f>5+17</f>
        <v>22</v>
      </c>
      <c r="G34" s="19">
        <f>4+10</f>
        <v>14</v>
      </c>
      <c r="H34" s="20">
        <f>G34/F34</f>
        <v>0.63636363636363635</v>
      </c>
      <c r="I34" s="18">
        <f>18+15</f>
        <v>33</v>
      </c>
      <c r="J34" s="19">
        <f>10+8</f>
        <v>18</v>
      </c>
      <c r="K34" s="39">
        <f>J34/I34</f>
        <v>0.54545454545454541</v>
      </c>
      <c r="L34" s="19">
        <f>26+13</f>
        <v>39</v>
      </c>
      <c r="M34" s="19">
        <f>18+8</f>
        <v>26</v>
      </c>
      <c r="N34" s="39">
        <f>M34/L34</f>
        <v>0.66666666666666663</v>
      </c>
      <c r="O34" s="43">
        <f>15</f>
        <v>15</v>
      </c>
      <c r="P34" s="43">
        <f>11</f>
        <v>11</v>
      </c>
      <c r="Q34" s="20">
        <f>P34/O34</f>
        <v>0.73333333333333328</v>
      </c>
    </row>
    <row r="35" spans="2:17">
      <c r="B35" s="41" t="s">
        <v>30</v>
      </c>
      <c r="C35" s="18">
        <f>292+205</f>
        <v>497</v>
      </c>
      <c r="D35" s="19">
        <f>88+79</f>
        <v>167</v>
      </c>
      <c r="E35" s="20">
        <f>D35/C35</f>
        <v>0.33601609657947684</v>
      </c>
      <c r="F35" s="18">
        <f>329+320</f>
        <v>649</v>
      </c>
      <c r="G35" s="19">
        <f>41+44</f>
        <v>85</v>
      </c>
      <c r="H35" s="20">
        <f>G35/F35</f>
        <v>0.13097072419106318</v>
      </c>
      <c r="I35" s="18">
        <f>331+202+264</f>
        <v>797</v>
      </c>
      <c r="J35" s="19">
        <f>71+58+81</f>
        <v>210</v>
      </c>
      <c r="K35" s="20">
        <f>J35/I35</f>
        <v>0.26348808030112925</v>
      </c>
      <c r="L35" s="18">
        <f>227+334+188</f>
        <v>749</v>
      </c>
      <c r="M35" s="19">
        <f>76+184+113</f>
        <v>373</v>
      </c>
      <c r="N35" s="20">
        <f>M35/L35</f>
        <v>0.49799732977303068</v>
      </c>
      <c r="O35" s="18">
        <f>251+216</f>
        <v>467</v>
      </c>
      <c r="P35" s="19">
        <f>130+77</f>
        <v>207</v>
      </c>
      <c r="Q35" s="20">
        <f>P35/O35</f>
        <v>0.44325481798715205</v>
      </c>
    </row>
    <row r="36" spans="2:17" ht="15.75" thickBot="1">
      <c r="B36" s="27" t="s">
        <v>31</v>
      </c>
      <c r="C36" s="28">
        <v>630</v>
      </c>
      <c r="D36" s="29">
        <v>230</v>
      </c>
      <c r="E36" s="30">
        <f>D36/C36</f>
        <v>0.36507936507936506</v>
      </c>
      <c r="F36" s="28">
        <v>1350</v>
      </c>
      <c r="G36" s="29">
        <v>458</v>
      </c>
      <c r="H36" s="30">
        <f>G36/F36</f>
        <v>0.33925925925925926</v>
      </c>
      <c r="I36" s="28">
        <v>1317</v>
      </c>
      <c r="J36" s="29">
        <v>568</v>
      </c>
      <c r="K36" s="30">
        <f>J36/I36</f>
        <v>0.43128321943811693</v>
      </c>
      <c r="L36" s="28"/>
      <c r="M36" s="29"/>
      <c r="N36" s="30" t="e">
        <f>M36/L36</f>
        <v>#DIV/0!</v>
      </c>
      <c r="O36" s="28"/>
      <c r="P36" s="29"/>
      <c r="Q36" s="30" t="e">
        <f>P36/O36</f>
        <v>#DIV/0!</v>
      </c>
    </row>
    <row r="37" spans="2:17" ht="15.75" thickBot="1">
      <c r="B37" s="31" t="s">
        <v>32</v>
      </c>
      <c r="C37" s="32">
        <f>SUM(C15:C36)</f>
        <v>6410</v>
      </c>
      <c r="D37" s="33">
        <f>SUM(D15:D36)</f>
        <v>3022</v>
      </c>
      <c r="E37" s="34">
        <f>D37/C37</f>
        <v>0.47145085803432135</v>
      </c>
      <c r="F37" s="32">
        <f>SUM(F15:F36)</f>
        <v>9526</v>
      </c>
      <c r="G37" s="33">
        <f>SUM(G15:G36)</f>
        <v>4612</v>
      </c>
      <c r="H37" s="34">
        <f>G37/F37</f>
        <v>0.48414864581146339</v>
      </c>
      <c r="I37" s="32">
        <f>SUM(I15:I36)</f>
        <v>8552</v>
      </c>
      <c r="J37" s="33">
        <f>SUM(J15:J36)</f>
        <v>4002</v>
      </c>
      <c r="K37" s="34">
        <f>J37/I37</f>
        <v>0.46796071094480823</v>
      </c>
      <c r="L37" s="32">
        <f>SUM(L15:L36)</f>
        <v>8127</v>
      </c>
      <c r="M37" s="33">
        <f>SUM(M15:M36)</f>
        <v>4030</v>
      </c>
      <c r="N37" s="34">
        <f>M37/L37</f>
        <v>0.49587793773840283</v>
      </c>
      <c r="O37" s="32">
        <f>SUM(O15:O36)</f>
        <v>4251</v>
      </c>
      <c r="P37" s="33">
        <f>SUM(P15:P36)</f>
        <v>2064</v>
      </c>
      <c r="Q37" s="34">
        <f>P37/O37</f>
        <v>0.48553281580804519</v>
      </c>
    </row>
    <row r="38" spans="2:17">
      <c r="B38" s="37" t="s">
        <v>40</v>
      </c>
    </row>
    <row r="39" spans="2:17">
      <c r="B39" t="s">
        <v>37</v>
      </c>
    </row>
    <row r="40" spans="2:17">
      <c r="B40" t="s">
        <v>38</v>
      </c>
    </row>
    <row r="41" spans="2:17">
      <c r="B41" t="s">
        <v>39</v>
      </c>
    </row>
  </sheetData>
  <mergeCells count="11">
    <mergeCell ref="L12:N12"/>
    <mergeCell ref="O12:Q12"/>
    <mergeCell ref="F21:G21"/>
    <mergeCell ref="C21:D21"/>
    <mergeCell ref="C12:E12"/>
    <mergeCell ref="F12:H12"/>
    <mergeCell ref="B9:K9"/>
    <mergeCell ref="B12:B13"/>
    <mergeCell ref="I12:K12"/>
    <mergeCell ref="C14:D14"/>
    <mergeCell ref="C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Díaz Hernández</dc:creator>
  <cp:lastModifiedBy>Virgilio Gonzalez Perez</cp:lastModifiedBy>
  <dcterms:created xsi:type="dcterms:W3CDTF">2023-03-08T21:11:32Z</dcterms:created>
  <dcterms:modified xsi:type="dcterms:W3CDTF">2025-09-24T16:22:02Z</dcterms:modified>
</cp:coreProperties>
</file>