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17C35\EXCELCNV\54a167c6-6485-4f92-93c1-a97f8e3c53e6\"/>
    </mc:Choice>
  </mc:AlternateContent>
  <xr:revisionPtr revIDLastSave="0" documentId="8_{A9B99878-9698-462F-9151-327C6FEE2B85}" xr6:coauthVersionLast="47" xr6:coauthVersionMax="47" xr10:uidLastSave="{00000000-0000-0000-0000-000000000000}"/>
  <bookViews>
    <workbookView xWindow="-60" yWindow="-60" windowWidth="15480" windowHeight="11640" tabRatio="805" firstSheet="9" activeTab="9" xr2:uid="{403E3ABA-2913-4E84-8BE8-835FF673B241}"/>
  </bookViews>
  <sheets>
    <sheet name="Visitors an Expenditures" sheetId="18" r:id="rId1"/>
    <sheet name="Employment " sheetId="11" r:id="rId2"/>
    <sheet name="Cruise Ship Visitors &amp; Expendit" sheetId="12" r:id="rId3"/>
    <sheet name="ADR" sheetId="17" r:id="rId4"/>
    <sheet name="Room Inventory" sheetId="1" r:id="rId5"/>
    <sheet name="Summary of Lodgings" sheetId="9" r:id="rId6"/>
    <sheet name="Summary of Room Inventory" sheetId="8" r:id="rId7"/>
    <sheet name="Summary Registrations" sheetId="3" r:id="rId8"/>
    <sheet name="Summary Occupancy" sheetId="4" r:id="rId9"/>
    <sheet name="Registration by State &amp; Origin" sheetId="13" r:id="rId10"/>
    <sheet name="Monthly Reg &amp; Occp Rates" sheetId="24" r:id="rId11"/>
    <sheet name="Metro Monthly Registrations " sheetId="21" r:id="rId12"/>
    <sheet name="Non Metro Monhly Registrations" sheetId="22" r:id="rId13"/>
    <sheet name="Paradores Monthly Registrations" sheetId="23" r:id="rId14"/>
    <sheet name="Caribbean Stop Over" sheetId="14" r:id="rId15"/>
    <sheet name="Cruise Ship Passenger Arrivals" sheetId="15" r:id="rId16"/>
    <sheet name="# of Rooms in the Caribbean" sheetId="16" r:id="rId17"/>
    <sheet name="Sheet1" sheetId="25" r:id="rId18"/>
  </sheets>
  <definedNames>
    <definedName name="_xlnm._FilterDatabase" localSheetId="9" hidden="1">'Registration by State &amp; Origin'!$A$8:$M$61</definedName>
    <definedName name="_xlnm.Print_Area" localSheetId="16">'# of Rooms in the Caribbean'!$A$1:$L$27</definedName>
    <definedName name="_xlnm.Print_Area" localSheetId="3">ADR!$A$1:$K$149</definedName>
    <definedName name="_xlnm.Print_Area" localSheetId="14">'Caribbean Stop Over'!$A$1:$O$23</definedName>
    <definedName name="_xlnm.Print_Area" localSheetId="15">'Cruise Ship Passenger Arrivals'!$A$1:$L$26</definedName>
    <definedName name="_xlnm.Print_Area" localSheetId="2">'Cruise Ship Visitors &amp; Expendit'!$A$1:$D$17</definedName>
    <definedName name="_xlnm.Print_Area" localSheetId="1">'Employment '!$A$1:$D$37</definedName>
    <definedName name="_xlnm.Print_Area" localSheetId="11">'Metro Monthly Registrations '!$A$1:$E$165</definedName>
    <definedName name="_xlnm.Print_Area" localSheetId="10">'Monthly Reg &amp; Occp Rates'!$A$1:$E$165</definedName>
    <definedName name="_xlnm.Print_Area" localSheetId="12">'Non Metro Monhly Registrations'!$A$1:$E$164</definedName>
    <definedName name="_xlnm.Print_Area" localSheetId="13">'Paradores Monthly Registrations'!$A$1:$E$165</definedName>
    <definedName name="_xlnm.Print_Area" localSheetId="9">'Registration by State &amp; Origin'!$A$1:$K$159</definedName>
    <definedName name="_xlnm.Print_Area" localSheetId="4">'Room Inventory'!$A$1:$K$266</definedName>
    <definedName name="_xlnm.Print_Area" localSheetId="8">'Summary Occupancy'!$A$1:$E$41</definedName>
    <definedName name="_xlnm.Print_Area" localSheetId="5">'Summary of Lodgings'!$A$1:$K$20</definedName>
    <definedName name="_xlnm.Print_Area" localSheetId="6">'Summary of Room Inventory'!$A$1:$K$19</definedName>
    <definedName name="_xlnm.Print_Area" localSheetId="7">'Summary Registrations'!$A$1:$E$41</definedName>
    <definedName name="_xlnm.Print_Titles" localSheetId="3">ADR!$1:$6</definedName>
    <definedName name="_xlnm.Print_Titles" localSheetId="11">'Metro Monthly Registrations '!$1:$6</definedName>
    <definedName name="_xlnm.Print_Titles" localSheetId="10">'Monthly Reg &amp; Occp Rates'!$1:$6</definedName>
    <definedName name="_xlnm.Print_Titles" localSheetId="12">'Non Metro Monhly Registrations'!$1:$6</definedName>
    <definedName name="_xlnm.Print_Titles" localSheetId="13">'Paradores Monthly Registrations'!$1:$6</definedName>
    <definedName name="_xlnm.Print_Titles" localSheetId="9">'Registration by State &amp; Origin'!$1:$7</definedName>
    <definedName name="_xlnm.Print_Titles" localSheetId="4">'Room Inventory'!$A:$K,'Room Inventory'!$1:$5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8" l="1"/>
  <c r="M13" i="18"/>
  <c r="L14" i="18"/>
  <c r="K14" i="18"/>
  <c r="K6" i="18"/>
  <c r="M6" i="18"/>
  <c r="C17" i="18"/>
  <c r="D17" i="18"/>
  <c r="E17" i="18"/>
  <c r="F17" i="18"/>
  <c r="G17" i="18"/>
  <c r="H17" i="18"/>
  <c r="I17" i="18"/>
  <c r="J17" i="18"/>
  <c r="B33" i="11"/>
  <c r="B8" i="23"/>
  <c r="B183" i="22"/>
  <c r="B184" i="21"/>
  <c r="D168" i="24"/>
  <c r="B184" i="24"/>
  <c r="C158" i="13"/>
  <c r="D158" i="13"/>
  <c r="E158" i="13"/>
  <c r="F158" i="13"/>
  <c r="G158" i="13"/>
  <c r="H158" i="13"/>
  <c r="I158" i="13"/>
  <c r="J158" i="13"/>
  <c r="K158" i="13"/>
  <c r="L158" i="13"/>
  <c r="M158" i="13"/>
  <c r="B158" i="13"/>
  <c r="C139" i="13"/>
  <c r="D139" i="13"/>
  <c r="E139" i="13"/>
  <c r="F139" i="13"/>
  <c r="G139" i="13"/>
  <c r="H139" i="13"/>
  <c r="I139" i="13"/>
  <c r="J139" i="13"/>
  <c r="K139" i="13"/>
  <c r="L139" i="13"/>
  <c r="M139" i="13"/>
  <c r="B139" i="13"/>
  <c r="C128" i="13"/>
  <c r="D128" i="13"/>
  <c r="E128" i="13"/>
  <c r="F128" i="13"/>
  <c r="G128" i="13"/>
  <c r="H128" i="13"/>
  <c r="I128" i="13"/>
  <c r="J128" i="13"/>
  <c r="K128" i="13"/>
  <c r="L128" i="13"/>
  <c r="M128" i="13"/>
  <c r="B128" i="13"/>
  <c r="C99" i="13"/>
  <c r="D99" i="13"/>
  <c r="E99" i="13"/>
  <c r="F99" i="13"/>
  <c r="G99" i="13"/>
  <c r="H99" i="13"/>
  <c r="I99" i="13"/>
  <c r="J99" i="13"/>
  <c r="K99" i="13"/>
  <c r="L99" i="13"/>
  <c r="M99" i="13"/>
  <c r="B99" i="13"/>
  <c r="C93" i="13"/>
  <c r="D93" i="13"/>
  <c r="E93" i="13"/>
  <c r="F93" i="13"/>
  <c r="G93" i="13"/>
  <c r="H93" i="13"/>
  <c r="I93" i="13"/>
  <c r="J93" i="13"/>
  <c r="K93" i="13"/>
  <c r="L93" i="13"/>
  <c r="M93" i="13"/>
  <c r="B93" i="13"/>
  <c r="C77" i="13"/>
  <c r="D77" i="13"/>
  <c r="E77" i="13"/>
  <c r="F77" i="13"/>
  <c r="G77" i="13"/>
  <c r="H77" i="13"/>
  <c r="I77" i="13"/>
  <c r="J77" i="13"/>
  <c r="K77" i="13"/>
  <c r="L77" i="13"/>
  <c r="M77" i="13"/>
  <c r="B77" i="13"/>
  <c r="C67" i="13"/>
  <c r="D67" i="13"/>
  <c r="E67" i="13"/>
  <c r="F67" i="13"/>
  <c r="G67" i="13"/>
  <c r="H67" i="13"/>
  <c r="I67" i="13"/>
  <c r="J67" i="13"/>
  <c r="K67" i="13"/>
  <c r="L67" i="13"/>
  <c r="M67" i="13"/>
  <c r="B67" i="13"/>
  <c r="C8" i="13"/>
  <c r="C159" i="13"/>
  <c r="D8" i="13"/>
  <c r="D159" i="13"/>
  <c r="E8" i="13"/>
  <c r="E159" i="13"/>
  <c r="F8" i="13"/>
  <c r="F159" i="13"/>
  <c r="G8" i="13"/>
  <c r="G159" i="13"/>
  <c r="H8" i="13"/>
  <c r="H159" i="13"/>
  <c r="I8" i="13"/>
  <c r="I159" i="13"/>
  <c r="J8" i="13"/>
  <c r="J159" i="13"/>
  <c r="K8" i="13"/>
  <c r="K159" i="13"/>
  <c r="L8" i="13"/>
  <c r="L159" i="13"/>
  <c r="M8" i="13"/>
  <c r="M159" i="13"/>
  <c r="B8" i="13"/>
  <c r="B159" i="13"/>
  <c r="E51" i="4"/>
  <c r="D51" i="4"/>
  <c r="C51" i="4"/>
  <c r="E51" i="3"/>
  <c r="D51" i="3"/>
  <c r="C51" i="3"/>
  <c r="C20" i="9"/>
  <c r="E20" i="9"/>
  <c r="F20" i="9"/>
  <c r="G20" i="9"/>
  <c r="H20" i="9"/>
  <c r="I20" i="9"/>
  <c r="J20" i="9"/>
  <c r="K20" i="9"/>
  <c r="L20" i="9"/>
  <c r="M20" i="9"/>
  <c r="B20" i="9"/>
  <c r="C258" i="1"/>
  <c r="D258" i="1"/>
  <c r="E258" i="1"/>
  <c r="F258" i="1"/>
  <c r="G258" i="1"/>
  <c r="H258" i="1"/>
  <c r="I258" i="1"/>
  <c r="J258" i="1"/>
  <c r="K258" i="1"/>
  <c r="L258" i="1"/>
  <c r="M258" i="1"/>
  <c r="B258" i="1"/>
  <c r="C251" i="1"/>
  <c r="D251" i="1"/>
  <c r="E251" i="1"/>
  <c r="F251" i="1"/>
  <c r="G251" i="1"/>
  <c r="H251" i="1"/>
  <c r="I251" i="1"/>
  <c r="J251" i="1"/>
  <c r="K251" i="1"/>
  <c r="L251" i="1"/>
  <c r="M251" i="1"/>
  <c r="B251" i="1"/>
  <c r="C247" i="1"/>
  <c r="D247" i="1"/>
  <c r="E247" i="1"/>
  <c r="F247" i="1"/>
  <c r="G247" i="1"/>
  <c r="H247" i="1"/>
  <c r="I247" i="1"/>
  <c r="J247" i="1"/>
  <c r="K247" i="1"/>
  <c r="L247" i="1"/>
  <c r="M247" i="1"/>
  <c r="B247" i="1"/>
  <c r="C215" i="1"/>
  <c r="D215" i="1"/>
  <c r="E215" i="1"/>
  <c r="F215" i="1"/>
  <c r="G215" i="1"/>
  <c r="H215" i="1"/>
  <c r="I215" i="1"/>
  <c r="J215" i="1"/>
  <c r="K215" i="1"/>
  <c r="L215" i="1"/>
  <c r="M215" i="1"/>
  <c r="B215" i="1"/>
  <c r="C170" i="1"/>
  <c r="D170" i="1"/>
  <c r="E170" i="1"/>
  <c r="F170" i="1"/>
  <c r="G170" i="1"/>
  <c r="H170" i="1"/>
  <c r="I170" i="1"/>
  <c r="J170" i="1"/>
  <c r="K170" i="1"/>
  <c r="L170" i="1"/>
  <c r="M170" i="1"/>
  <c r="B170" i="1"/>
  <c r="C89" i="1"/>
  <c r="D89" i="1"/>
  <c r="E89" i="1"/>
  <c r="F89" i="1"/>
  <c r="G89" i="1"/>
  <c r="H89" i="1"/>
  <c r="I89" i="1"/>
  <c r="J89" i="1"/>
  <c r="K89" i="1"/>
  <c r="L89" i="1"/>
  <c r="M89" i="1"/>
  <c r="B89" i="1"/>
  <c r="I81" i="1"/>
  <c r="J81" i="1"/>
  <c r="K81" i="1"/>
  <c r="L81" i="1"/>
  <c r="M81" i="1"/>
  <c r="H81" i="1"/>
  <c r="C57" i="1"/>
  <c r="D57" i="1"/>
  <c r="E57" i="1"/>
  <c r="F57" i="1"/>
  <c r="G57" i="1"/>
  <c r="H57" i="1"/>
  <c r="I57" i="1"/>
  <c r="J57" i="1"/>
  <c r="K57" i="1"/>
  <c r="L57" i="1"/>
  <c r="M57" i="1"/>
  <c r="B57" i="1"/>
  <c r="M7" i="1"/>
  <c r="M6" i="8"/>
  <c r="L7" i="1"/>
  <c r="K7" i="1"/>
  <c r="J7" i="1"/>
  <c r="I7" i="1"/>
  <c r="H7" i="1"/>
  <c r="G7" i="1"/>
  <c r="F7" i="1"/>
  <c r="E7" i="1"/>
  <c r="D7" i="1"/>
  <c r="C7" i="1"/>
  <c r="B7" i="1"/>
  <c r="B32" i="11"/>
  <c r="C14" i="18"/>
  <c r="C13" i="18"/>
  <c r="D14" i="18"/>
  <c r="D13" i="18"/>
  <c r="E14" i="18"/>
  <c r="E13" i="18"/>
  <c r="F14" i="18"/>
  <c r="F13" i="18"/>
  <c r="G14" i="18"/>
  <c r="G13" i="18"/>
  <c r="H14" i="18"/>
  <c r="H13" i="18"/>
  <c r="I14" i="18"/>
  <c r="I13" i="18"/>
  <c r="J14" i="18"/>
  <c r="J13" i="18"/>
  <c r="K13" i="18"/>
  <c r="L13" i="18"/>
  <c r="C8" i="18"/>
  <c r="D8" i="18"/>
  <c r="E8" i="18"/>
  <c r="F8" i="18"/>
  <c r="G8" i="18"/>
  <c r="H8" i="18"/>
  <c r="I8" i="18"/>
  <c r="J8" i="18"/>
  <c r="C6" i="18"/>
  <c r="D6" i="18"/>
  <c r="E6" i="18"/>
  <c r="F6" i="18"/>
  <c r="G6" i="18"/>
  <c r="H6" i="18"/>
  <c r="I6" i="18"/>
  <c r="J6" i="18"/>
  <c r="L6" i="18"/>
  <c r="M17" i="8"/>
  <c r="M16" i="8"/>
  <c r="M15" i="8"/>
  <c r="M14" i="8"/>
  <c r="M13" i="8"/>
  <c r="M12" i="8"/>
  <c r="M9" i="8"/>
  <c r="M8" i="8"/>
  <c r="M7" i="8"/>
  <c r="L17" i="8"/>
  <c r="L16" i="8"/>
  <c r="L14" i="8"/>
  <c r="L13" i="8"/>
  <c r="L12" i="8"/>
  <c r="L9" i="8"/>
  <c r="L8" i="8"/>
  <c r="L7" i="8"/>
  <c r="L6" i="8"/>
  <c r="M266" i="1"/>
  <c r="K266" i="1"/>
  <c r="I266" i="1"/>
  <c r="G266" i="1"/>
  <c r="E266" i="1"/>
  <c r="C266" i="1"/>
  <c r="B266" i="1"/>
  <c r="L266" i="1"/>
  <c r="J266" i="1"/>
  <c r="H266" i="1"/>
  <c r="F266" i="1"/>
  <c r="D266" i="1"/>
  <c r="B157" i="13"/>
  <c r="L157" i="13"/>
  <c r="J157" i="13"/>
  <c r="H157" i="13"/>
  <c r="F157" i="13"/>
  <c r="D157" i="13"/>
  <c r="M157" i="13"/>
  <c r="K157" i="13"/>
  <c r="I157" i="13"/>
  <c r="G157" i="13"/>
  <c r="E157" i="13"/>
  <c r="C157" i="13"/>
  <c r="D184" i="23"/>
  <c r="C184" i="23"/>
  <c r="B184" i="23"/>
  <c r="D183" i="22"/>
  <c r="C183" i="22"/>
  <c r="D184" i="21"/>
  <c r="C184" i="21"/>
  <c r="D184" i="24"/>
  <c r="C184" i="24"/>
  <c r="B52" i="4"/>
  <c r="B53" i="4"/>
  <c r="B51" i="4"/>
  <c r="B52" i="3"/>
  <c r="B53" i="3"/>
  <c r="B51" i="3"/>
  <c r="D168" i="23"/>
  <c r="C168" i="23"/>
  <c r="B168" i="23"/>
  <c r="D167" i="22"/>
  <c r="C167" i="22"/>
  <c r="B167" i="22"/>
  <c r="D168" i="21"/>
  <c r="C168" i="21"/>
  <c r="B168" i="21"/>
  <c r="C168" i="24"/>
  <c r="B168" i="24"/>
  <c r="B49" i="4"/>
  <c r="B48" i="4"/>
  <c r="E47" i="4"/>
  <c r="D47" i="4"/>
  <c r="C47" i="4"/>
  <c r="B45" i="3"/>
  <c r="B49" i="3"/>
  <c r="B48" i="3"/>
  <c r="E47" i="3"/>
  <c r="D47" i="3"/>
  <c r="C47" i="3"/>
  <c r="B47" i="4"/>
  <c r="B47" i="3"/>
  <c r="M19" i="8"/>
  <c r="B151" i="21"/>
  <c r="D151" i="21"/>
  <c r="C151" i="21"/>
  <c r="B149" i="21"/>
  <c r="B148" i="21"/>
  <c r="B147" i="21"/>
  <c r="B146" i="21"/>
  <c r="B145" i="21"/>
  <c r="B144" i="21"/>
  <c r="B141" i="21"/>
  <c r="B140" i="21"/>
  <c r="B139" i="21"/>
  <c r="B138" i="21"/>
  <c r="B137" i="21"/>
  <c r="B136" i="21"/>
  <c r="B135" i="21"/>
  <c r="D135" i="21"/>
  <c r="C135" i="21"/>
  <c r="D119" i="21"/>
  <c r="C119" i="21"/>
  <c r="E117" i="21"/>
  <c r="B117" i="21"/>
  <c r="E116" i="21"/>
  <c r="B116" i="21"/>
  <c r="E115" i="21"/>
  <c r="B115" i="21"/>
  <c r="E114" i="21"/>
  <c r="B114" i="21"/>
  <c r="E113" i="21"/>
  <c r="B113" i="21"/>
  <c r="E112" i="21"/>
  <c r="B112" i="21"/>
  <c r="E109" i="21"/>
  <c r="B109" i="21"/>
  <c r="E108" i="21"/>
  <c r="B108" i="21"/>
  <c r="E107" i="21"/>
  <c r="B107" i="21"/>
  <c r="E106" i="21"/>
  <c r="B106" i="21"/>
  <c r="E105" i="21"/>
  <c r="B105" i="21"/>
  <c r="E104" i="21"/>
  <c r="B104" i="21"/>
  <c r="B103" i="21"/>
  <c r="D103" i="21"/>
  <c r="C103" i="21"/>
  <c r="E101" i="21"/>
  <c r="B101" i="21"/>
  <c r="E100" i="21"/>
  <c r="B100" i="21"/>
  <c r="E99" i="21"/>
  <c r="B99" i="21"/>
  <c r="E98" i="21"/>
  <c r="B98" i="21"/>
  <c r="E97" i="21"/>
  <c r="B97" i="21"/>
  <c r="E96" i="21"/>
  <c r="B96" i="21"/>
  <c r="E93" i="21"/>
  <c r="B93" i="21"/>
  <c r="E92" i="21"/>
  <c r="B92" i="21"/>
  <c r="E91" i="21"/>
  <c r="B91" i="21"/>
  <c r="E90" i="21"/>
  <c r="B90" i="21"/>
  <c r="E89" i="21"/>
  <c r="B89" i="21"/>
  <c r="E88" i="21"/>
  <c r="B88" i="21"/>
  <c r="B87" i="21"/>
  <c r="D87" i="21"/>
  <c r="C87" i="21"/>
  <c r="E85" i="21"/>
  <c r="B85" i="21"/>
  <c r="E84" i="21"/>
  <c r="B84" i="21"/>
  <c r="E83" i="21"/>
  <c r="B83" i="21"/>
  <c r="E82" i="21"/>
  <c r="B82" i="21"/>
  <c r="E81" i="21"/>
  <c r="B81" i="21"/>
  <c r="E80" i="21"/>
  <c r="B80" i="21"/>
  <c r="E77" i="21"/>
  <c r="B77" i="21"/>
  <c r="E76" i="21"/>
  <c r="B76" i="21"/>
  <c r="E75" i="21"/>
  <c r="B75" i="21"/>
  <c r="E74" i="21"/>
  <c r="B74" i="21"/>
  <c r="E73" i="21"/>
  <c r="B73" i="21"/>
  <c r="E72" i="21"/>
  <c r="B72" i="21"/>
  <c r="B71" i="21"/>
  <c r="D71" i="21"/>
  <c r="C71" i="21"/>
  <c r="E69" i="21"/>
  <c r="B69" i="21"/>
  <c r="E68" i="21"/>
  <c r="B68" i="21"/>
  <c r="E67" i="21"/>
  <c r="B67" i="21"/>
  <c r="E66" i="21"/>
  <c r="B66" i="21"/>
  <c r="E65" i="21"/>
  <c r="B65" i="21"/>
  <c r="E64" i="21"/>
  <c r="B64" i="21"/>
  <c r="E61" i="21"/>
  <c r="B61" i="21"/>
  <c r="E60" i="21"/>
  <c r="B60" i="21"/>
  <c r="E59" i="21"/>
  <c r="B59" i="21"/>
  <c r="E58" i="21"/>
  <c r="B58" i="21"/>
  <c r="E57" i="21"/>
  <c r="B57" i="21"/>
  <c r="E56" i="21"/>
  <c r="B56" i="21"/>
  <c r="B55" i="21"/>
  <c r="D55" i="21"/>
  <c r="C55" i="21"/>
  <c r="B53" i="21"/>
  <c r="B52" i="21"/>
  <c r="B51" i="21"/>
  <c r="B50" i="21"/>
  <c r="B49" i="21"/>
  <c r="B48" i="21"/>
  <c r="B45" i="21"/>
  <c r="B44" i="21"/>
  <c r="B43" i="21"/>
  <c r="B42" i="21"/>
  <c r="B41" i="21"/>
  <c r="B40" i="21"/>
  <c r="D39" i="21"/>
  <c r="C39" i="21"/>
  <c r="B37" i="21"/>
  <c r="B36" i="21"/>
  <c r="B35" i="21"/>
  <c r="B34" i="21"/>
  <c r="B33" i="21"/>
  <c r="B32" i="21"/>
  <c r="B29" i="21"/>
  <c r="B28" i="21"/>
  <c r="B27" i="21"/>
  <c r="B26" i="21"/>
  <c r="B25" i="21"/>
  <c r="B24" i="21"/>
  <c r="B23" i="21"/>
  <c r="D23" i="21"/>
  <c r="C23" i="21"/>
  <c r="B21" i="21"/>
  <c r="B20" i="21"/>
  <c r="B19" i="21"/>
  <c r="B18" i="21"/>
  <c r="B17" i="21"/>
  <c r="B16" i="21"/>
  <c r="B13" i="21"/>
  <c r="B12" i="21"/>
  <c r="B11" i="21"/>
  <c r="B10" i="21"/>
  <c r="B9" i="21"/>
  <c r="B8" i="21"/>
  <c r="B7" i="21"/>
  <c r="D7" i="21"/>
  <c r="C7" i="21"/>
  <c r="D151" i="24"/>
  <c r="C151" i="24"/>
  <c r="B151" i="24"/>
  <c r="D135" i="24"/>
  <c r="C135" i="24"/>
  <c r="B135" i="24"/>
  <c r="D119" i="24"/>
  <c r="C119" i="24"/>
  <c r="B119" i="24"/>
  <c r="B103" i="24"/>
  <c r="D103" i="24"/>
  <c r="C103" i="24"/>
  <c r="E101" i="24"/>
  <c r="B101" i="24"/>
  <c r="E100" i="24"/>
  <c r="B100" i="24"/>
  <c r="E99" i="24"/>
  <c r="B99" i="24"/>
  <c r="E98" i="24"/>
  <c r="B98" i="24"/>
  <c r="E97" i="24"/>
  <c r="B97" i="24"/>
  <c r="E96" i="24"/>
  <c r="B96" i="24"/>
  <c r="E93" i="24"/>
  <c r="B93" i="24"/>
  <c r="E92" i="24"/>
  <c r="B92" i="24"/>
  <c r="E91" i="24"/>
  <c r="B91" i="24"/>
  <c r="E90" i="24"/>
  <c r="B90" i="24"/>
  <c r="E89" i="24"/>
  <c r="B89" i="24"/>
  <c r="E88" i="24"/>
  <c r="B88" i="24"/>
  <c r="B87" i="24"/>
  <c r="D87" i="24"/>
  <c r="C87" i="24"/>
  <c r="B71" i="24"/>
  <c r="D71" i="24"/>
  <c r="C71" i="24"/>
  <c r="B69" i="24"/>
  <c r="B68" i="24"/>
  <c r="B67" i="24"/>
  <c r="B66" i="24"/>
  <c r="B65" i="24"/>
  <c r="B64" i="24"/>
  <c r="B61" i="24"/>
  <c r="B60" i="24"/>
  <c r="B59" i="24"/>
  <c r="B58" i="24"/>
  <c r="B57" i="24"/>
  <c r="B56" i="24"/>
  <c r="B55" i="24"/>
  <c r="D55" i="24"/>
  <c r="C55" i="24"/>
  <c r="B53" i="24"/>
  <c r="B52" i="24"/>
  <c r="B51" i="24"/>
  <c r="B50" i="24"/>
  <c r="B49" i="24"/>
  <c r="B48" i="24"/>
  <c r="B45" i="24"/>
  <c r="B44" i="24"/>
  <c r="B43" i="24"/>
  <c r="B42" i="24"/>
  <c r="B41" i="24"/>
  <c r="B40" i="24"/>
  <c r="D39" i="24"/>
  <c r="C39" i="24"/>
  <c r="B21" i="24"/>
  <c r="B20" i="24"/>
  <c r="B19" i="24"/>
  <c r="B18" i="24"/>
  <c r="B17" i="24"/>
  <c r="B16" i="24"/>
  <c r="B13" i="24"/>
  <c r="B12" i="24"/>
  <c r="B11" i="24"/>
  <c r="B10" i="24"/>
  <c r="B9" i="24"/>
  <c r="B8" i="24"/>
  <c r="D7" i="24"/>
  <c r="C7" i="24"/>
  <c r="D151" i="22"/>
  <c r="C151" i="22"/>
  <c r="F16" i="8"/>
  <c r="G16" i="8"/>
  <c r="H16" i="8"/>
  <c r="I16" i="8"/>
  <c r="J16" i="8"/>
  <c r="K16" i="8"/>
  <c r="E16" i="8"/>
  <c r="D16" i="8"/>
  <c r="C16" i="8"/>
  <c r="B16" i="8"/>
  <c r="K17" i="8"/>
  <c r="J17" i="8"/>
  <c r="I17" i="8"/>
  <c r="H17" i="8"/>
  <c r="G17" i="8"/>
  <c r="F17" i="8"/>
  <c r="E17" i="8"/>
  <c r="D17" i="8"/>
  <c r="C17" i="8"/>
  <c r="B17" i="8"/>
  <c r="K13" i="8"/>
  <c r="J13" i="8"/>
  <c r="K12" i="8"/>
  <c r="H12" i="8"/>
  <c r="F12" i="8"/>
  <c r="D12" i="8"/>
  <c r="K8" i="8"/>
  <c r="H8" i="8"/>
  <c r="K7" i="8"/>
  <c r="J7" i="8"/>
  <c r="H7" i="8"/>
  <c r="F7" i="8"/>
  <c r="D7" i="8"/>
  <c r="B7" i="8"/>
  <c r="K6" i="8"/>
  <c r="J6" i="8"/>
  <c r="H6" i="8"/>
  <c r="F6" i="8"/>
  <c r="D6" i="8"/>
  <c r="B6" i="8"/>
  <c r="B31" i="11"/>
  <c r="B12" i="8"/>
  <c r="K9" i="8"/>
  <c r="B119" i="21"/>
  <c r="B39" i="21"/>
  <c r="B45" i="4"/>
  <c r="B44" i="4"/>
  <c r="E43" i="4"/>
  <c r="D43" i="4"/>
  <c r="C43" i="4"/>
  <c r="B44" i="3"/>
  <c r="C43" i="3"/>
  <c r="E43" i="3"/>
  <c r="D43" i="3"/>
  <c r="D151" i="23"/>
  <c r="C151" i="23"/>
  <c r="B151" i="23"/>
  <c r="I12" i="8"/>
  <c r="I9" i="8"/>
  <c r="I8" i="8"/>
  <c r="I7" i="8"/>
  <c r="J12" i="8"/>
  <c r="J9" i="8"/>
  <c r="J8" i="8"/>
  <c r="B120" i="23"/>
  <c r="B144" i="23"/>
  <c r="B141" i="23"/>
  <c r="B136" i="23"/>
  <c r="B149" i="23"/>
  <c r="B148" i="23"/>
  <c r="B147" i="23"/>
  <c r="B146" i="23"/>
  <c r="B145" i="23"/>
  <c r="B140" i="23"/>
  <c r="B139" i="23"/>
  <c r="B138" i="23"/>
  <c r="B137" i="23"/>
  <c r="D135" i="23"/>
  <c r="C135" i="23"/>
  <c r="D135" i="22"/>
  <c r="C135" i="22"/>
  <c r="B41" i="4"/>
  <c r="B40" i="4"/>
  <c r="E39" i="4"/>
  <c r="D39" i="4"/>
  <c r="C39" i="4"/>
  <c r="B41" i="3"/>
  <c r="B40" i="3"/>
  <c r="E39" i="3"/>
  <c r="D39" i="3"/>
  <c r="C39" i="3"/>
  <c r="I6" i="8"/>
  <c r="C10" i="16"/>
  <c r="D10" i="16"/>
  <c r="E10" i="16"/>
  <c r="B9" i="4"/>
  <c r="B8" i="4"/>
  <c r="E7" i="4"/>
  <c r="D7" i="4"/>
  <c r="C7" i="4"/>
  <c r="B9" i="3"/>
  <c r="B8" i="3"/>
  <c r="B7" i="3"/>
  <c r="E7" i="3"/>
  <c r="D7" i="3"/>
  <c r="C7" i="3"/>
  <c r="B133" i="23"/>
  <c r="B132" i="23"/>
  <c r="B131" i="23"/>
  <c r="B130" i="23"/>
  <c r="B129" i="23"/>
  <c r="B128" i="23"/>
  <c r="B125" i="23"/>
  <c r="B124" i="23"/>
  <c r="B123" i="23"/>
  <c r="B122" i="23"/>
  <c r="B121" i="23"/>
  <c r="D119" i="23"/>
  <c r="C119" i="23"/>
  <c r="B117" i="23"/>
  <c r="B116" i="23"/>
  <c r="B115" i="23"/>
  <c r="B114" i="23"/>
  <c r="B113" i="23"/>
  <c r="B112" i="23"/>
  <c r="B109" i="23"/>
  <c r="B108" i="23"/>
  <c r="B107" i="23"/>
  <c r="B106" i="23"/>
  <c r="B105" i="23"/>
  <c r="B104" i="23"/>
  <c r="B103" i="23"/>
  <c r="D103" i="23"/>
  <c r="C103" i="23"/>
  <c r="B101" i="23"/>
  <c r="B100" i="23"/>
  <c r="B99" i="23"/>
  <c r="B98" i="23"/>
  <c r="B97" i="23"/>
  <c r="B96" i="23"/>
  <c r="B93" i="23"/>
  <c r="B92" i="23"/>
  <c r="B91" i="23"/>
  <c r="B90" i="23"/>
  <c r="B89" i="23"/>
  <c r="B88" i="23"/>
  <c r="D87" i="23"/>
  <c r="C87" i="23"/>
  <c r="B85" i="23"/>
  <c r="B84" i="23"/>
  <c r="B83" i="23"/>
  <c r="B82" i="23"/>
  <c r="B81" i="23"/>
  <c r="B80" i="23"/>
  <c r="B77" i="23"/>
  <c r="B76" i="23"/>
  <c r="B75" i="23"/>
  <c r="B74" i="23"/>
  <c r="B73" i="23"/>
  <c r="B72" i="23"/>
  <c r="D71" i="23"/>
  <c r="C71" i="23"/>
  <c r="B69" i="23"/>
  <c r="B68" i="23"/>
  <c r="B67" i="23"/>
  <c r="B66" i="23"/>
  <c r="B65" i="23"/>
  <c r="B64" i="23"/>
  <c r="B61" i="23"/>
  <c r="B60" i="23"/>
  <c r="B59" i="23"/>
  <c r="B58" i="23"/>
  <c r="B57" i="23"/>
  <c r="B56" i="23"/>
  <c r="D55" i="23"/>
  <c r="C55" i="23"/>
  <c r="B53" i="23"/>
  <c r="B52" i="23"/>
  <c r="B51" i="23"/>
  <c r="B50" i="23"/>
  <c r="B49" i="23"/>
  <c r="B48" i="23"/>
  <c r="B45" i="23"/>
  <c r="B44" i="23"/>
  <c r="B43" i="23"/>
  <c r="B42" i="23"/>
  <c r="B41" i="23"/>
  <c r="B40" i="23"/>
  <c r="D39" i="23"/>
  <c r="C39" i="23"/>
  <c r="B37" i="23"/>
  <c r="B36" i="23"/>
  <c r="B35" i="23"/>
  <c r="B34" i="23"/>
  <c r="B33" i="23"/>
  <c r="B32" i="23"/>
  <c r="B29" i="23"/>
  <c r="B28" i="23"/>
  <c r="B27" i="23"/>
  <c r="B26" i="23"/>
  <c r="B25" i="23"/>
  <c r="B24" i="23"/>
  <c r="D23" i="23"/>
  <c r="C23" i="23"/>
  <c r="B21" i="23"/>
  <c r="B20" i="23"/>
  <c r="B19" i="23"/>
  <c r="B18" i="23"/>
  <c r="B17" i="23"/>
  <c r="B16" i="23"/>
  <c r="B13" i="23"/>
  <c r="B12" i="23"/>
  <c r="B11" i="23"/>
  <c r="B10" i="23"/>
  <c r="B9" i="23"/>
  <c r="D7" i="23"/>
  <c r="C7" i="23"/>
  <c r="D119" i="22"/>
  <c r="C119" i="22"/>
  <c r="E117" i="22"/>
  <c r="B117" i="22"/>
  <c r="E116" i="22"/>
  <c r="B116" i="22"/>
  <c r="E115" i="22"/>
  <c r="B115" i="22"/>
  <c r="E114" i="22"/>
  <c r="B114" i="22"/>
  <c r="E113" i="22"/>
  <c r="B113" i="22"/>
  <c r="E112" i="22"/>
  <c r="B112" i="22"/>
  <c r="E109" i="22"/>
  <c r="B109" i="22"/>
  <c r="E108" i="22"/>
  <c r="B108" i="22"/>
  <c r="E107" i="22"/>
  <c r="B107" i="22"/>
  <c r="E106" i="22"/>
  <c r="B106" i="22"/>
  <c r="E105" i="22"/>
  <c r="B105" i="22"/>
  <c r="E104" i="22"/>
  <c r="B104" i="22"/>
  <c r="B103" i="22"/>
  <c r="D103" i="22"/>
  <c r="C103" i="22"/>
  <c r="E101" i="22"/>
  <c r="B101" i="22"/>
  <c r="E100" i="22"/>
  <c r="B100" i="22"/>
  <c r="E99" i="22"/>
  <c r="B99" i="22"/>
  <c r="E98" i="22"/>
  <c r="B98" i="22"/>
  <c r="E97" i="22"/>
  <c r="B97" i="22"/>
  <c r="E96" i="22"/>
  <c r="B96" i="22"/>
  <c r="E93" i="22"/>
  <c r="B93" i="22"/>
  <c r="E92" i="22"/>
  <c r="B92" i="22"/>
  <c r="E91" i="22"/>
  <c r="B91" i="22"/>
  <c r="E90" i="22"/>
  <c r="B90" i="22"/>
  <c r="E89" i="22"/>
  <c r="B89" i="22"/>
  <c r="E88" i="22"/>
  <c r="B88" i="22"/>
  <c r="B87" i="22"/>
  <c r="D87" i="22"/>
  <c r="C87" i="22"/>
  <c r="B85" i="22"/>
  <c r="B84" i="22"/>
  <c r="B83" i="22"/>
  <c r="B82" i="22"/>
  <c r="B81" i="22"/>
  <c r="B80" i="22"/>
  <c r="B77" i="22"/>
  <c r="B76" i="22"/>
  <c r="B75" i="22"/>
  <c r="B74" i="22"/>
  <c r="B73" i="22"/>
  <c r="B72" i="22"/>
  <c r="D71" i="22"/>
  <c r="C71" i="22"/>
  <c r="B68" i="22"/>
  <c r="B67" i="22"/>
  <c r="B66" i="22"/>
  <c r="B65" i="22"/>
  <c r="B64" i="22"/>
  <c r="B61" i="22"/>
  <c r="B60" i="22"/>
  <c r="B59" i="22"/>
  <c r="B58" i="22"/>
  <c r="B57" i="22"/>
  <c r="B56" i="22"/>
  <c r="D55" i="22"/>
  <c r="C55" i="22"/>
  <c r="B53" i="22"/>
  <c r="B52" i="22"/>
  <c r="B51" i="22"/>
  <c r="B50" i="22"/>
  <c r="B49" i="22"/>
  <c r="B48" i="22"/>
  <c r="B45" i="22"/>
  <c r="B44" i="22"/>
  <c r="B43" i="22"/>
  <c r="B42" i="22"/>
  <c r="B41" i="22"/>
  <c r="B40" i="22"/>
  <c r="D39" i="22"/>
  <c r="C39" i="22"/>
  <c r="B23" i="22"/>
  <c r="D23" i="22"/>
  <c r="C23" i="22"/>
  <c r="B21" i="22"/>
  <c r="B20" i="22"/>
  <c r="B19" i="22"/>
  <c r="B18" i="22"/>
  <c r="B17" i="22"/>
  <c r="B16" i="22"/>
  <c r="B12" i="22"/>
  <c r="B11" i="22"/>
  <c r="B10" i="22"/>
  <c r="B9" i="22"/>
  <c r="B8" i="22"/>
  <c r="D7" i="22"/>
  <c r="C7" i="22"/>
  <c r="B17" i="3"/>
  <c r="B16" i="3"/>
  <c r="E15" i="3"/>
  <c r="D15" i="3"/>
  <c r="C15" i="3"/>
  <c r="B13" i="3"/>
  <c r="B12" i="3"/>
  <c r="E11" i="3"/>
  <c r="D11" i="3"/>
  <c r="C11" i="3"/>
  <c r="B17" i="4"/>
  <c r="B16" i="4"/>
  <c r="E15" i="4"/>
  <c r="D15" i="4"/>
  <c r="C15" i="4"/>
  <c r="B13" i="4"/>
  <c r="B12" i="4"/>
  <c r="E11" i="4"/>
  <c r="D11" i="4"/>
  <c r="C11" i="4"/>
  <c r="E12" i="8"/>
  <c r="G12" i="8"/>
  <c r="C9" i="8"/>
  <c r="D9" i="8"/>
  <c r="E9" i="8"/>
  <c r="F9" i="8"/>
  <c r="G9" i="8"/>
  <c r="H9" i="8"/>
  <c r="B9" i="8"/>
  <c r="C8" i="8"/>
  <c r="D8" i="8"/>
  <c r="E8" i="8"/>
  <c r="F8" i="8"/>
  <c r="G8" i="8"/>
  <c r="B8" i="8"/>
  <c r="D13" i="9"/>
  <c r="D20" i="9"/>
  <c r="C6" i="8"/>
  <c r="E6" i="8"/>
  <c r="G6" i="8"/>
  <c r="C7" i="8"/>
  <c r="E7" i="8"/>
  <c r="G7" i="8"/>
  <c r="C12" i="8"/>
  <c r="B37" i="4"/>
  <c r="B36" i="4"/>
  <c r="E35" i="4"/>
  <c r="D35" i="4"/>
  <c r="C35" i="4"/>
  <c r="B33" i="4"/>
  <c r="B32" i="4"/>
  <c r="E31" i="4"/>
  <c r="D31" i="4"/>
  <c r="C31" i="4"/>
  <c r="B29" i="4"/>
  <c r="B28" i="4"/>
  <c r="E27" i="4"/>
  <c r="D27" i="4"/>
  <c r="C27" i="4"/>
  <c r="B25" i="4"/>
  <c r="B24" i="4"/>
  <c r="E23" i="4"/>
  <c r="D23" i="4"/>
  <c r="C23" i="4"/>
  <c r="B21" i="4"/>
  <c r="B20" i="4"/>
  <c r="E19" i="4"/>
  <c r="D19" i="4"/>
  <c r="C19" i="4"/>
  <c r="B37" i="3"/>
  <c r="B36" i="3"/>
  <c r="E35" i="3"/>
  <c r="D35" i="3"/>
  <c r="C35" i="3"/>
  <c r="B33" i="3"/>
  <c r="B32" i="3"/>
  <c r="E31" i="3"/>
  <c r="D31" i="3"/>
  <c r="C31" i="3"/>
  <c r="B29" i="3"/>
  <c r="B28" i="3"/>
  <c r="E27" i="3"/>
  <c r="D27" i="3"/>
  <c r="C27" i="3"/>
  <c r="B25" i="3"/>
  <c r="B24" i="3"/>
  <c r="E23" i="3"/>
  <c r="D23" i="3"/>
  <c r="C23" i="3"/>
  <c r="B21" i="3"/>
  <c r="B20" i="3"/>
  <c r="E19" i="3"/>
  <c r="D19" i="3"/>
  <c r="C19" i="3"/>
  <c r="B119" i="23"/>
  <c r="B119" i="22"/>
  <c r="B35" i="4"/>
  <c r="B23" i="23"/>
  <c r="B39" i="23"/>
  <c r="B55" i="23"/>
  <c r="B71" i="23"/>
  <c r="B7" i="22"/>
  <c r="B39" i="22"/>
  <c r="B55" i="22"/>
  <c r="B71" i="22"/>
  <c r="B39" i="4"/>
  <c r="B151" i="22"/>
  <c r="B43" i="4"/>
  <c r="B135" i="22"/>
  <c r="B135" i="23"/>
  <c r="B39" i="3"/>
  <c r="B7" i="24"/>
  <c r="B39" i="24"/>
  <c r="B15" i="4"/>
  <c r="B7" i="23"/>
  <c r="B27" i="3"/>
  <c r="B19" i="4"/>
  <c r="B27" i="4"/>
  <c r="B87" i="23"/>
  <c r="B7" i="4"/>
  <c r="B23" i="4"/>
  <c r="B31" i="4"/>
  <c r="B11" i="4"/>
  <c r="B23" i="3"/>
  <c r="B19" i="3"/>
  <c r="B31" i="3"/>
  <c r="B11" i="3"/>
  <c r="B15" i="3"/>
  <c r="J14" i="8"/>
  <c r="B14" i="8"/>
  <c r="D14" i="8"/>
  <c r="F14" i="8"/>
  <c r="H14" i="8"/>
  <c r="C14" i="8"/>
  <c r="E14" i="8"/>
  <c r="G14" i="8"/>
  <c r="I14" i="8"/>
  <c r="K14" i="8"/>
  <c r="B35" i="3"/>
  <c r="B43" i="3"/>
  <c r="F13" i="8"/>
  <c r="I13" i="8"/>
  <c r="C13" i="8"/>
  <c r="E13" i="8"/>
  <c r="H13" i="8"/>
  <c r="B13" i="8"/>
  <c r="D13" i="8"/>
  <c r="G13" i="8"/>
  <c r="B15" i="8"/>
  <c r="C15" i="8"/>
  <c r="C19" i="8"/>
  <c r="I15" i="8"/>
  <c r="I19" i="8"/>
  <c r="F15" i="8"/>
  <c r="F19" i="8"/>
  <c r="E15" i="8"/>
  <c r="E19" i="8"/>
  <c r="L15" i="8"/>
  <c r="L19" i="8"/>
  <c r="G15" i="8"/>
  <c r="G19" i="8"/>
  <c r="H15" i="8"/>
  <c r="H19" i="8"/>
  <c r="D15" i="8"/>
  <c r="D19" i="8"/>
  <c r="J15" i="8"/>
  <c r="J19" i="8"/>
  <c r="K15" i="8"/>
  <c r="K19" i="8"/>
  <c r="B19" i="8"/>
</calcChain>
</file>

<file path=xl/sharedStrings.xml><?xml version="1.0" encoding="utf-8"?>
<sst xmlns="http://schemas.openxmlformats.org/spreadsheetml/2006/main" count="1912" uniqueCount="589">
  <si>
    <t>Visitors and Their Expenditures</t>
  </si>
  <si>
    <t>Fiscal Year</t>
  </si>
  <si>
    <t>2000-01</t>
  </si>
  <si>
    <t>2001-02</t>
  </si>
  <si>
    <t>2002-03</t>
  </si>
  <si>
    <t>2003-04</t>
  </si>
  <si>
    <t>2005-05</t>
  </si>
  <si>
    <t>2005-06</t>
  </si>
  <si>
    <t>2006-07</t>
  </si>
  <si>
    <t>2007-08</t>
  </si>
  <si>
    <t>2008-09r</t>
  </si>
  <si>
    <t>2009-10r</t>
  </si>
  <si>
    <t>2010-11p</t>
  </si>
  <si>
    <t>TOTAL VISITORS</t>
  </si>
  <si>
    <t xml:space="preserve">Regular Visitors </t>
  </si>
  <si>
    <t>In hotels 1/</t>
  </si>
  <si>
    <t>In other places 2/</t>
  </si>
  <si>
    <t>Special Visitors 3/</t>
  </si>
  <si>
    <t>TOTAL EXPENDITURES*</t>
  </si>
  <si>
    <t>Regular Expenditures*</t>
  </si>
  <si>
    <t>In hotels 1/*</t>
  </si>
  <si>
    <t>In other places 2/*</t>
  </si>
  <si>
    <t>Special Visitors 3/*</t>
  </si>
  <si>
    <t>* In Thousands</t>
  </si>
  <si>
    <r>
      <t xml:space="preserve">1/  </t>
    </r>
    <r>
      <rPr>
        <sz val="10"/>
        <color indexed="8"/>
        <rFont val="Calibri"/>
        <family val="2"/>
      </rPr>
      <t>Includes Paradores</t>
    </r>
  </si>
  <si>
    <r>
      <t xml:space="preserve">2/  </t>
    </r>
    <r>
      <rPr>
        <sz val="10"/>
        <color indexed="8"/>
        <rFont val="Calibri"/>
        <family val="2"/>
      </rPr>
      <t>Includes Guest Houses</t>
    </r>
  </si>
  <si>
    <r>
      <t xml:space="preserve">3/  </t>
    </r>
    <r>
      <rPr>
        <sz val="10"/>
        <color indexed="8"/>
        <rFont val="Calibri"/>
        <family val="2"/>
      </rPr>
      <t>Visitors on cruise ships and transient military personnel</t>
    </r>
  </si>
  <si>
    <t>p=preliminary figures</t>
  </si>
  <si>
    <t>r=revised figures</t>
  </si>
  <si>
    <t xml:space="preserve">Source: Puerto Rico Planning Board </t>
  </si>
  <si>
    <t>Employment Related to the Toruism Industry</t>
  </si>
  <si>
    <t>Fiscal Years</t>
  </si>
  <si>
    <t>Direct / Indirect &amp; Induced Employment</t>
  </si>
  <si>
    <t>Employment in Hotels &amp; Other Lodging Places</t>
  </si>
  <si>
    <t>(Average for each Fiscal Year)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</si>
  <si>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</si>
  <si>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</si>
  <si>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</si>
  <si>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</si>
  <si>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</si>
  <si>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</si>
  <si>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</si>
  <si>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</si>
  <si>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</si>
  <si>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</si>
  <si>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</si>
  <si>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</si>
  <si>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</si>
  <si>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</si>
  <si>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</si>
  <si>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</si>
  <si>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2004-05</t>
  </si>
  <si>
    <t>2008-09p*</t>
  </si>
  <si>
    <t>2009-10p*</t>
  </si>
  <si>
    <t>2010-11p*</t>
  </si>
  <si>
    <t>*</t>
  </si>
  <si>
    <t>Se utilizó el mismo multiplicador del año anterior</t>
  </si>
  <si>
    <t>Cruise Ship Visitors and Their Expenditures</t>
  </si>
  <si>
    <t>Cruise Ship Trips</t>
  </si>
  <si>
    <t>Cruise Ship Visitors</t>
  </si>
  <si>
    <r>
      <rPr>
        <b/>
        <sz val="11"/>
        <color indexed="56"/>
        <rFont val="Calibri"/>
        <family val="2"/>
      </rPr>
      <t xml:space="preserve">Excursionists </t>
    </r>
    <r>
      <rPr>
        <sz val="11"/>
        <color indexed="56"/>
        <rFont val="Calibri"/>
        <family val="2"/>
      </rPr>
      <t>Millions $</t>
    </r>
  </si>
  <si>
    <t>Average Daily Rate in Hotels and Paradores</t>
  </si>
  <si>
    <t>Endorsed by the Puerto Rico Tourism Company</t>
  </si>
  <si>
    <t>Metro Area</t>
  </si>
  <si>
    <t>Non Metro Area</t>
  </si>
  <si>
    <t>80 or less  rooms</t>
  </si>
  <si>
    <t>81 to 200</t>
  </si>
  <si>
    <t>over 200</t>
  </si>
  <si>
    <t xml:space="preserve"> Total Area</t>
  </si>
  <si>
    <t>Grand   Total</t>
  </si>
  <si>
    <t>1999-00r</t>
  </si>
  <si>
    <t>Total</t>
  </si>
  <si>
    <t>2000-01r</t>
  </si>
  <si>
    <t>2001-02r</t>
  </si>
  <si>
    <t>2002-03r</t>
  </si>
  <si>
    <t>2003-04r</t>
  </si>
  <si>
    <t>2004-05r</t>
  </si>
  <si>
    <t>2005-06r</t>
  </si>
  <si>
    <t>2006-07r</t>
  </si>
  <si>
    <t>2007-08r</t>
  </si>
  <si>
    <t>Room Inventory</t>
  </si>
  <si>
    <t>at the end of June 30 of each year</t>
  </si>
  <si>
    <t>2008-09</t>
  </si>
  <si>
    <t>2009-10</t>
  </si>
  <si>
    <t>2010-11</t>
  </si>
  <si>
    <t>METROPOLITAN AREA LODGINGS</t>
  </si>
  <si>
    <t xml:space="preserve"> HOTELS</t>
  </si>
  <si>
    <t>At Wind Chimes Inn</t>
  </si>
  <si>
    <t>Atlantic Beach</t>
  </si>
  <si>
    <t>-</t>
  </si>
  <si>
    <t>Best Western San Juan Airport</t>
  </si>
  <si>
    <t>Budget Host El Centro</t>
  </si>
  <si>
    <t>Caribe Hilton</t>
  </si>
  <si>
    <t>Casa de Playa</t>
  </si>
  <si>
    <t>Casa Mathiensen Inn</t>
  </si>
  <si>
    <t xml:space="preserve">Comfort Inn San Juan </t>
  </si>
  <si>
    <t xml:space="preserve">Conrad San Juan Condado Plaza </t>
  </si>
  <si>
    <t>Coral by the Seas (Marios)</t>
  </si>
  <si>
    <t>Coral Princess</t>
  </si>
  <si>
    <t>Courtyard by Marriot San Juan (Excelsior)</t>
  </si>
  <si>
    <t xml:space="preserve">Courtyard by Marriott  Isla  Verde </t>
  </si>
  <si>
    <t>DA' House Hotel</t>
  </si>
  <si>
    <t>Diamond Palace Hotel &amp; Casino</t>
  </si>
  <si>
    <t>Double Tree by Hilton San Juan</t>
  </si>
  <si>
    <t>El Canario by The Lagoon Hotel</t>
  </si>
  <si>
    <t>El San Juan Hotel &amp; Casino</t>
  </si>
  <si>
    <t>Embassy Suites Hotel &amp; Casino</t>
  </si>
  <si>
    <t>Empress Ocean Front</t>
  </si>
  <si>
    <t>Four Points  Sheraton Caguas</t>
  </si>
  <si>
    <t>Hampton Inn</t>
  </si>
  <si>
    <t>Holiday Inn Express San Juan</t>
  </si>
  <si>
    <t>Hotel El Consulado</t>
  </si>
  <si>
    <t xml:space="preserve">Hotel El Convento </t>
  </si>
  <si>
    <t>Hotel Howard Johnson Plaza de Armas</t>
  </si>
  <si>
    <t>Hotel Iberia</t>
  </si>
  <si>
    <t>Hotel Milano</t>
  </si>
  <si>
    <t>Hotel Miramar</t>
  </si>
  <si>
    <t>Hotel Olimpo Court</t>
  </si>
  <si>
    <t>Howard Johnson Hotel</t>
  </si>
  <si>
    <t>Inter-Continental San Juan Resort &amp; Casino</t>
  </si>
  <si>
    <t>La Concha A Renaissance Resort</t>
  </si>
  <si>
    <t>La Playa</t>
  </si>
  <si>
    <t>Normandie Hotel</t>
  </si>
  <si>
    <t>Quality Inn El Portal</t>
  </si>
  <si>
    <t>Radisson Ambassador Plaza</t>
  </si>
  <si>
    <t>Regency</t>
  </si>
  <si>
    <t xml:space="preserve">San Juan Beach Hotel - Ramada Condado </t>
  </si>
  <si>
    <t>San Juan Marriott Resort &amp; Stellaris Casino</t>
  </si>
  <si>
    <t>San Juan Suites Hotel</t>
  </si>
  <si>
    <t>San Juan Water Club Hotel</t>
  </si>
  <si>
    <t>San Miguel Plaza Hotel</t>
  </si>
  <si>
    <t>Sheraton Old San Juan</t>
  </si>
  <si>
    <t>Sheraton Puerto Rico Convention Center</t>
  </si>
  <si>
    <t>The Ritz Carlton San Juan Hotel</t>
  </si>
  <si>
    <t>Verdanza Hotel</t>
  </si>
  <si>
    <t xml:space="preserve"> </t>
  </si>
  <si>
    <t>Villa del Sol</t>
  </si>
  <si>
    <t>GUEST HOUSES</t>
  </si>
  <si>
    <t>Acasia Seaside Inn - Arcade Inn</t>
  </si>
  <si>
    <t>Alelí By the Sea</t>
  </si>
  <si>
    <t>Beach Buoy Inn</t>
  </si>
  <si>
    <t>Borinquen Beach Inn</t>
  </si>
  <si>
    <t>Casa Caribe</t>
  </si>
  <si>
    <t>Casa Mathiensen</t>
  </si>
  <si>
    <t>Chateau Cervantes</t>
  </si>
  <si>
    <t>El Canario by the Sea</t>
  </si>
  <si>
    <t>El Canario Inn</t>
  </si>
  <si>
    <t>El Patio Guest House</t>
  </si>
  <si>
    <t>Embassy Guest House</t>
  </si>
  <si>
    <t>Green Isle Inn</t>
  </si>
  <si>
    <t>Hosteria del Mar</t>
  </si>
  <si>
    <t>L'Habitation Guest House</t>
  </si>
  <si>
    <t>Número 1 on the Beach</t>
  </si>
  <si>
    <t>Prado Inn</t>
  </si>
  <si>
    <t>Sandy Beach</t>
  </si>
  <si>
    <t>The Village Inn</t>
  </si>
  <si>
    <t>Tres Palmas</t>
  </si>
  <si>
    <t>Tu Casa Guest House</t>
  </si>
  <si>
    <t>Villa Verde Inn</t>
  </si>
  <si>
    <t>CONDO HOTELS</t>
  </si>
  <si>
    <t>Condado Lagoon Villas at Caribe Hilton</t>
  </si>
  <si>
    <t>ESJ Towers</t>
  </si>
  <si>
    <t>APARTMENT VILLAS</t>
  </si>
  <si>
    <t>Caribe Mountain Villas</t>
  </si>
  <si>
    <t>NON METROPOLITAN AREA LODGINGS</t>
  </si>
  <si>
    <t>HOTELS</t>
  </si>
  <si>
    <t>Best Western Pichi's Hotel Convention Center &amp; Casino</t>
  </si>
  <si>
    <t>Caribbean Paradise</t>
  </si>
  <si>
    <t>Caribe Playa</t>
  </si>
  <si>
    <t>Casa Grande Mountain Retreat</t>
  </si>
  <si>
    <t>Cofresí Beach Club</t>
  </si>
  <si>
    <t>Combate Beach Hotel</t>
  </si>
  <si>
    <t>Comfort Inn &amp; Suites, Campomar</t>
  </si>
  <si>
    <t>Copamarina Resort &amp; Spa</t>
  </si>
  <si>
    <t>Costa Dorada Beach Hotel</t>
  </si>
  <si>
    <t>Courtyard by Marriot Aguadilla</t>
  </si>
  <si>
    <t>Dream's Hotel Puerto Rico</t>
  </si>
  <si>
    <t>El Conquistador Resort &amp; Casino Golden Door Spa</t>
  </si>
  <si>
    <t>Embajador</t>
  </si>
  <si>
    <t xml:space="preserve">Embassy Suites Dorado del Mar Beach &amp; Golf </t>
  </si>
  <si>
    <t>Faro Inn &amp; Suites</t>
  </si>
  <si>
    <t>Fox Delicias Hotel</t>
  </si>
  <si>
    <t>Gran Meliá Puerto Rico Resorts &amp; Villas</t>
  </si>
  <si>
    <t>Hacienda El Jibarito</t>
  </si>
  <si>
    <t>Hacienda Gripiñas</t>
  </si>
  <si>
    <t>Hacienda Margarita</t>
  </si>
  <si>
    <t>Hacienda Santa Isabel</t>
  </si>
  <si>
    <t>Highway Inn</t>
  </si>
  <si>
    <t>Hilton Ponce Golf &amp; Casino</t>
  </si>
  <si>
    <t xml:space="preserve">Holiday Inn &amp; Tropical Casino Ponce </t>
  </si>
  <si>
    <t>Hotel Bahía del Sol</t>
  </si>
  <si>
    <t>Hotel Bahía Marina</t>
  </si>
  <si>
    <t>Hotel Bélgica</t>
  </si>
  <si>
    <t>Hotel Cielo Mar</t>
  </si>
  <si>
    <t>Hotel Delicias</t>
  </si>
  <si>
    <t>Hotel El Colonial</t>
  </si>
  <si>
    <t>Hotel El Guajataca</t>
  </si>
  <si>
    <t xml:space="preserve">Hotel Fajardo Inn </t>
  </si>
  <si>
    <t>+</t>
  </si>
  <si>
    <t>Hotel Hacienda Casa Taína</t>
  </si>
  <si>
    <t>Hotel Hacienda El Pedregal</t>
  </si>
  <si>
    <t>Hotel Hacienda Los Castillos</t>
  </si>
  <si>
    <t>Hotel Joyuda Plaza</t>
  </si>
  <si>
    <t>Hotel Lagovista</t>
  </si>
  <si>
    <t>Hotel Meliá</t>
  </si>
  <si>
    <t>Hotel Molino Inn</t>
  </si>
  <si>
    <t>Hotel Monte Río</t>
  </si>
  <si>
    <t>Hotel Ocean Front</t>
  </si>
  <si>
    <t>Hotel Posada Jayuya</t>
  </si>
  <si>
    <t>Hotel River View</t>
  </si>
  <si>
    <t>Hotel Rosa del  Mar</t>
  </si>
  <si>
    <t>Hotel St. Regis at Bahia Beach Resort</t>
  </si>
  <si>
    <t>Hotel Treasure Island</t>
  </si>
  <si>
    <t>Hotel Villa del Rey</t>
  </si>
  <si>
    <t>Howard Johnson Downtown Mayagüez Plaza</t>
  </si>
  <si>
    <t>Howard Johnson Hotel Ponce</t>
  </si>
  <si>
    <t>Hyatt Dorado Beach</t>
  </si>
  <si>
    <t>Hyatt Regency Cerromar</t>
  </si>
  <si>
    <t>La Cima Hotel &amp; Suites</t>
  </si>
  <si>
    <t>La Familia</t>
  </si>
  <si>
    <t>Lighthouse Hotel</t>
  </si>
  <si>
    <t>Lucía Beach Villas</t>
  </si>
  <si>
    <t>Manatee Eco Resort</t>
  </si>
  <si>
    <t>Marina de Salinas &amp; Posada El Nautico</t>
  </si>
  <si>
    <t>Mayagüez Holiday Inn Tropical Casino</t>
  </si>
  <si>
    <t>Mayagüez Resort &amp; Casino</t>
  </si>
  <si>
    <t>Oasis</t>
  </si>
  <si>
    <t>Ocean View</t>
  </si>
  <si>
    <t>Palmas del Mar</t>
  </si>
  <si>
    <t>Passion Fruit</t>
  </si>
  <si>
    <t>Posada El Palomar</t>
  </si>
  <si>
    <t>Puerta La Bahia</t>
  </si>
  <si>
    <t>Punta Maracayo Resort</t>
  </si>
  <si>
    <t>Quality Inn Hotel EL Tuque</t>
  </si>
  <si>
    <t>Ramada Ponce</t>
  </si>
  <si>
    <t>Rincon Beach Resort</t>
  </si>
  <si>
    <t>Rincon of the Seas Grand Caribbean</t>
  </si>
  <si>
    <t>Rio Grande Plantation</t>
  </si>
  <si>
    <t>Río Mar Beach Resort &amp; Spa</t>
  </si>
  <si>
    <t>The Horned Dorset Primavera</t>
  </si>
  <si>
    <t>Torres de la Parguera Hotel</t>
  </si>
  <si>
    <t>Villa Cofresí Hotel &amp; Restaurant</t>
  </si>
  <si>
    <t>W Retreat &amp; Spa Vieques Island</t>
  </si>
  <si>
    <t>Western Bay Boquerón Beach Hotel</t>
  </si>
  <si>
    <r>
      <t>Western Bay Mayagüez</t>
    </r>
    <r>
      <rPr>
        <vertAlign val="superscript"/>
        <sz val="10"/>
        <color indexed="8"/>
        <rFont val="Calibri"/>
        <family val="2"/>
      </rPr>
      <t xml:space="preserve"> </t>
    </r>
  </si>
  <si>
    <t>Wyndham Garden at Palmas del Mar</t>
  </si>
  <si>
    <t xml:space="preserve">Amapola Inn </t>
  </si>
  <si>
    <t>Anchor's Inn</t>
  </si>
  <si>
    <t>^</t>
  </si>
  <si>
    <t>Andy's Chalet &amp; Guest House</t>
  </si>
  <si>
    <t>Beside the Pointe on the Beach</t>
  </si>
  <si>
    <t>Bosque Floriham Guest House</t>
  </si>
  <si>
    <t>Casa Amistad</t>
  </si>
  <si>
    <t>Casa Cubuy Eco Lodge</t>
  </si>
  <si>
    <t>Casa Isleña Inn</t>
  </si>
  <si>
    <t>Casa verde Guest House</t>
  </si>
  <si>
    <t>Casa Vista del Mar</t>
  </si>
  <si>
    <t>Ceiba Country Inn</t>
  </si>
  <si>
    <t>Club Seabourne</t>
  </si>
  <si>
    <t>Coconut Palms</t>
  </si>
  <si>
    <t>Costa de Oro</t>
  </si>
  <si>
    <t>Costa del Mar</t>
  </si>
  <si>
    <t>Crow's Nest Inn</t>
  </si>
  <si>
    <t>Dos Angeles del Mar</t>
  </si>
  <si>
    <t>El Coquí Posada Familiar</t>
  </si>
  <si>
    <t>Estancia la Jamaca</t>
  </si>
  <si>
    <t>Great Escape</t>
  </si>
  <si>
    <t>Gutierrez Guest House</t>
  </si>
  <si>
    <t>Hacienda Tamarindo</t>
  </si>
  <si>
    <t>Hix Island House</t>
  </si>
  <si>
    <t>Hotel Bunger's Bonn Accord Inn</t>
  </si>
  <si>
    <t>Hotel Villa Forin</t>
  </si>
  <si>
    <t xml:space="preserve">Inn on the Blue Horizon </t>
  </si>
  <si>
    <t>La Casa del Francés</t>
  </si>
  <si>
    <t>Lemontree Waterfront Suites</t>
  </si>
  <si>
    <t>Luquillo Sunrise Beach Inn</t>
  </si>
  <si>
    <t>Malecon House</t>
  </si>
  <si>
    <t>Paradise Guest House</t>
  </si>
  <si>
    <t>Posada La Hamaca</t>
  </si>
  <si>
    <t>Rain Forest Ocean View Inn</t>
  </si>
  <si>
    <t>Sandy Beach Inn</t>
  </si>
  <si>
    <t>Scenic Inn</t>
  </si>
  <si>
    <t>Sea Gate Guest House</t>
  </si>
  <si>
    <t>Sonia Rican Guest House</t>
  </si>
  <si>
    <t>The Lazy Parrot Inn &amp; Restaurant</t>
  </si>
  <si>
    <t>The Pineapple Inn</t>
  </si>
  <si>
    <t>The Vista Vacation Resort</t>
  </si>
  <si>
    <t>Turtle Bay Inn</t>
  </si>
  <si>
    <t>Villa Toro Negro</t>
  </si>
  <si>
    <t>Yunquemar</t>
  </si>
  <si>
    <t>PARADORES</t>
  </si>
  <si>
    <t>Baños de Coamo</t>
  </si>
  <si>
    <t>Borinquen</t>
  </si>
  <si>
    <t>El Sol</t>
  </si>
  <si>
    <t xml:space="preserve">Fajardo Inn </t>
  </si>
  <si>
    <t>Guajataca</t>
  </si>
  <si>
    <t xml:space="preserve">Hacienda Gripiñas </t>
  </si>
  <si>
    <t>La Cima</t>
  </si>
  <si>
    <t>Parador Bahía Salinas Beach</t>
  </si>
  <si>
    <t>Parador Boquemar</t>
  </si>
  <si>
    <t>Parador Caribbean Paradise</t>
  </si>
  <si>
    <t>Parador Costa del Mar</t>
  </si>
  <si>
    <t>Parador El Buen Café</t>
  </si>
  <si>
    <t>Parador El Faro</t>
  </si>
  <si>
    <t>Parador Guánica 1929</t>
  </si>
  <si>
    <t>Parador Hacienda Juanita</t>
  </si>
  <si>
    <t>Parador J.B. Hidden Village</t>
  </si>
  <si>
    <r>
      <t>Parador Joyuda Beach</t>
    </r>
    <r>
      <rPr>
        <vertAlign val="superscript"/>
        <sz val="10"/>
        <color indexed="8"/>
        <rFont val="Calibri"/>
        <family val="2"/>
      </rPr>
      <t xml:space="preserve"> </t>
    </r>
  </si>
  <si>
    <t>Parador Palmas de Lucia</t>
  </si>
  <si>
    <t>Parador Perichi's</t>
  </si>
  <si>
    <t>Parador Pichi's</t>
  </si>
  <si>
    <t>Parador Posada Porlamar</t>
  </si>
  <si>
    <t>Parador Villa Antonio</t>
  </si>
  <si>
    <t>Parador Villa del Mar</t>
  </si>
  <si>
    <t>Parador Villa Parguera</t>
  </si>
  <si>
    <t>Parador Villas de Sotomayor</t>
  </si>
  <si>
    <t>Parador Villas del Mar Hau</t>
  </si>
  <si>
    <t>Parador Vistamar</t>
  </si>
  <si>
    <t>Parador Mauna Caribe</t>
  </si>
  <si>
    <t>TIME SHARING</t>
  </si>
  <si>
    <r>
      <t xml:space="preserve">Club Cala </t>
    </r>
    <r>
      <rPr>
        <sz val="10"/>
        <color indexed="8"/>
        <rFont val="Calibri"/>
        <family val="2"/>
      </rPr>
      <t>(Wyndham Palmas del Mar)</t>
    </r>
  </si>
  <si>
    <t>Hyatt Hacienda del Mar</t>
  </si>
  <si>
    <t>El Legado Golf Resort</t>
  </si>
  <si>
    <t>Villas de Sotomayor</t>
  </si>
  <si>
    <t>Villas del Carmen</t>
  </si>
  <si>
    <t>Ocean Villas at Westin Río Mar</t>
  </si>
  <si>
    <t>The Villas at Palm as</t>
  </si>
  <si>
    <t>CONDO HOTEL</t>
  </si>
  <si>
    <t>Villas de Costa Dorada</t>
  </si>
  <si>
    <r>
      <t>El Conquistador Las Casitas</t>
    </r>
    <r>
      <rPr>
        <sz val="10"/>
        <color indexed="8"/>
        <rFont val="Calibri"/>
        <family val="2"/>
      </rPr>
      <t xml:space="preserve"> </t>
    </r>
  </si>
  <si>
    <t xml:space="preserve">Las Villas de Palma </t>
  </si>
  <si>
    <t>Resort-Com International (Aquarius)</t>
  </si>
  <si>
    <t>Rincón Beach Resort CH</t>
  </si>
  <si>
    <t>Villa Montaña Beach</t>
  </si>
  <si>
    <t>TOTAL ROOMS</t>
  </si>
  <si>
    <t>Summary of Lodgings</t>
  </si>
  <si>
    <t>2009-10p</t>
  </si>
  <si>
    <t>Metropolitan Area</t>
  </si>
  <si>
    <t>Hotels</t>
  </si>
  <si>
    <t>Guest Houses</t>
  </si>
  <si>
    <t>Condo Hotel</t>
  </si>
  <si>
    <t>Apartment Villas</t>
  </si>
  <si>
    <t>Non Metropolitan Area</t>
  </si>
  <si>
    <t xml:space="preserve">Guest Houses </t>
  </si>
  <si>
    <t>Time Sharing</t>
  </si>
  <si>
    <t>Paradores</t>
  </si>
  <si>
    <t>Total Lodgings</t>
  </si>
  <si>
    <t>Summary of Room Inventory</t>
  </si>
  <si>
    <t>As of June 30 each year</t>
  </si>
  <si>
    <t>Total Rooms</t>
  </si>
  <si>
    <t>Summary of Registrations</t>
  </si>
  <si>
    <t>In Hotels and Paradores endorsed by the Puerto Rico Tourism Company</t>
  </si>
  <si>
    <t>Total                                                                                    Hotels &amp; Paradores</t>
  </si>
  <si>
    <t>Metropolitan Area Hotels</t>
  </si>
  <si>
    <t>Non-Metropolitan Area Hotels</t>
  </si>
  <si>
    <t>Paradores                                                      (non-metro area)</t>
  </si>
  <si>
    <t xml:space="preserve">1999-00 </t>
  </si>
  <si>
    <t>Non - Residents</t>
  </si>
  <si>
    <t>Residents</t>
  </si>
  <si>
    <t xml:space="preserve">2000-01 </t>
  </si>
  <si>
    <t xml:space="preserve">2001-02 </t>
  </si>
  <si>
    <t xml:space="preserve">2002-03 </t>
  </si>
  <si>
    <t xml:space="preserve">2003-04 </t>
  </si>
  <si>
    <t xml:space="preserve">2004-05 </t>
  </si>
  <si>
    <t xml:space="preserve">2005-06  </t>
  </si>
  <si>
    <t xml:space="preserve">2006-07 </t>
  </si>
  <si>
    <t xml:space="preserve">2007-08 </t>
  </si>
  <si>
    <t xml:space="preserve">2008-09 </t>
  </si>
  <si>
    <t>Summary of Occupancy Rates</t>
  </si>
  <si>
    <t>Rooms Rented</t>
  </si>
  <si>
    <t>Rooms Available</t>
  </si>
  <si>
    <t>2008-0</t>
  </si>
  <si>
    <t>Registration by State or Country of Origin</t>
  </si>
  <si>
    <t>In Lodgings Endorsed by the Puerto Rico Tourism Company</t>
  </si>
  <si>
    <t>US MAINLAND</t>
  </si>
  <si>
    <t xml:space="preserve"> Alabama</t>
  </si>
  <si>
    <t xml:space="preserve"> Alaska</t>
  </si>
  <si>
    <t xml:space="preserve"> Arizona</t>
  </si>
  <si>
    <t xml:space="preserve"> Arkansas</t>
  </si>
  <si>
    <t xml:space="preserve"> California</t>
  </si>
  <si>
    <t xml:space="preserve"> Colorado</t>
  </si>
  <si>
    <t xml:space="preserve"> Connecticut</t>
  </si>
  <si>
    <t xml:space="preserve"> Delaware</t>
  </si>
  <si>
    <t xml:space="preserve"> Florida</t>
  </si>
  <si>
    <t xml:space="preserve"> Georgia</t>
  </si>
  <si>
    <t xml:space="preserve"> Hawaii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</si>
  <si>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</si>
  <si>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</si>
  <si>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</si>
  <si>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</si>
  <si>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</si>
  <si>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</si>
  <si>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Louisiana</t>
  </si>
  <si>
    <t xml:space="preserve"> Maine</t>
  </si>
  <si>
    <t xml:space="preserve"> Maryland</t>
  </si>
  <si>
    <t xml:space="preserve"> Massachusetts</t>
  </si>
  <si>
    <t xml:space="preserve"> Michigan</t>
  </si>
  <si>
    <t xml:space="preserve"> Minnesota</t>
  </si>
  <si>
    <t xml:space="preserve"> Mississippi</t>
  </si>
  <si>
    <t xml:space="preserve"> Missouri</t>
  </si>
  <si>
    <t xml:space="preserve"> Montana</t>
  </si>
  <si>
    <t xml:space="preserve"> Nebraska</t>
  </si>
  <si>
    <t xml:space="preserve"> Nevada</t>
  </si>
  <si>
    <t xml:space="preserve"> New Hampshire</t>
  </si>
  <si>
    <t xml:space="preserve"> New Jersey</t>
  </si>
  <si>
    <t xml:space="preserve"> New Mexico</t>
  </si>
  <si>
    <t xml:space="preserve"> New York</t>
  </si>
  <si>
    <t xml:space="preserve"> North Carolina</t>
  </si>
  <si>
    <t xml:space="preserve"> North Dakota</t>
  </si>
  <si>
    <t xml:space="preserve"> Ohio</t>
  </si>
  <si>
    <t xml:space="preserve"> Oklahoma</t>
  </si>
  <si>
    <t xml:space="preserve"> Oregon</t>
  </si>
  <si>
    <t xml:space="preserve"> Pennsylvania</t>
  </si>
  <si>
    <t xml:space="preserve"> Rhode Island</t>
  </si>
  <si>
    <t xml:space="preserve"> South Carolina</t>
  </si>
  <si>
    <t xml:space="preserve"> South Dakota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</si>
  <si>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</si>
  <si>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</si>
  <si>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</si>
  <si>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</si>
  <si>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</si>
  <si>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Washington</t>
  </si>
  <si>
    <t xml:space="preserve"> Washington, D.C.</t>
  </si>
  <si>
    <t xml:space="preserve"> West Virginia</t>
  </si>
  <si>
    <t xml:space="preserve"> Wisconsin</t>
  </si>
  <si>
    <t xml:space="preserve"> Wyoming</t>
  </si>
  <si>
    <t xml:space="preserve"> U.S. Not Specified</t>
  </si>
  <si>
    <t xml:space="preserve"> Servicemen</t>
  </si>
  <si>
    <t>CANADA</t>
  </si>
  <si>
    <t>MEXICO</t>
  </si>
  <si>
    <t>CENTRAL AMERICA</t>
  </si>
  <si>
    <t xml:space="preserve"> Belize</t>
  </si>
  <si>
    <t xml:space="preserve"> Costa Rica</t>
  </si>
  <si>
    <t xml:space="preserve"> El Salvador</t>
  </si>
  <si>
    <t xml:space="preserve"> Guatemala</t>
  </si>
  <si>
    <t xml:space="preserve"> Honduras</t>
  </si>
  <si>
    <t xml:space="preserve"> Nicaragua</t>
  </si>
  <si>
    <t xml:space="preserve"> Panama</t>
  </si>
  <si>
    <t xml:space="preserve"> Not Specified</t>
  </si>
  <si>
    <t>SOUTH AMERICA</t>
  </si>
  <si>
    <t xml:space="preserve"> Argentina</t>
  </si>
  <si>
    <t xml:space="preserve"> Bolivia</t>
  </si>
  <si>
    <t xml:space="preserve"> Brazil</t>
  </si>
  <si>
    <t xml:space="preserve"> Chile</t>
  </si>
  <si>
    <t xml:space="preserve"> Colombia</t>
  </si>
  <si>
    <t xml:space="preserve"> Ecuador</t>
  </si>
  <si>
    <t xml:space="preserve"> French Guyana</t>
  </si>
  <si>
    <t xml:space="preserve"> Guyana</t>
  </si>
  <si>
    <t xml:space="preserve"> Paraguay</t>
  </si>
  <si>
    <t xml:space="preserve"> Peru</t>
  </si>
  <si>
    <t xml:space="preserve"> Suriname</t>
  </si>
  <si>
    <t xml:space="preserve"> Uruguay</t>
  </si>
  <si>
    <t xml:space="preserve"> Venezuela</t>
  </si>
  <si>
    <t>CARIBBEAN</t>
  </si>
  <si>
    <t xml:space="preserve"> Cuba</t>
  </si>
  <si>
    <t xml:space="preserve"> Dominican Republic</t>
  </si>
  <si>
    <t xml:space="preserve"> Virgin Islands</t>
  </si>
  <si>
    <t xml:space="preserve"> Other</t>
  </si>
  <si>
    <t>EUROPE</t>
  </si>
  <si>
    <t xml:space="preserve"> Albania</t>
  </si>
  <si>
    <t xml:space="preserve"> Austria</t>
  </si>
  <si>
    <t xml:space="preserve"> Belgium</t>
  </si>
  <si>
    <t xml:space="preserve"> Bulgaria</t>
  </si>
  <si>
    <t xml:space="preserve"> Czech Republic</t>
  </si>
  <si>
    <t xml:space="preserve"> Denmark</t>
  </si>
  <si>
    <t xml:space="preserve"> Finland</t>
  </si>
  <si>
    <t xml:space="preserve"> France</t>
  </si>
  <si>
    <t xml:space="preserve"> Germany</t>
  </si>
  <si>
    <t xml:space="preserve"> Gibraltar</t>
  </si>
  <si>
    <t xml:space="preserve"> Greece</t>
  </si>
  <si>
    <t xml:space="preserve"> Hungary</t>
  </si>
  <si>
    <t xml:space="preserve"> Iceland</t>
  </si>
  <si>
    <t xml:space="preserve"> Ireland</t>
  </si>
  <si>
    <t xml:space="preserve"> Italy</t>
  </si>
  <si>
    <t xml:space="preserve"> Luxembourg</t>
  </si>
  <si>
    <t xml:space="preserve"> Malta</t>
  </si>
  <si>
    <t xml:space="preserve"> Netherlands</t>
  </si>
  <si>
    <t xml:space="preserve"> Norway</t>
  </si>
  <si>
    <t xml:space="preserve"> Poland</t>
  </si>
  <si>
    <t xml:space="preserve"> Portugal</t>
  </si>
  <si>
    <t xml:space="preserve"> Romania</t>
  </si>
  <si>
    <t xml:space="preserve"> San Merino</t>
  </si>
  <si>
    <t xml:space="preserve"> Slovakia</t>
  </si>
  <si>
    <t xml:space="preserve"> Spain</t>
  </si>
  <si>
    <t xml:space="preserve"> Sweden</t>
  </si>
  <si>
    <t xml:space="preserve"> Switzerland</t>
  </si>
  <si>
    <t xml:space="preserve"> Turkey</t>
  </si>
  <si>
    <t xml:space="preserve"> United Kingdom</t>
  </si>
  <si>
    <t xml:space="preserve">      England</t>
  </si>
  <si>
    <t xml:space="preserve">      Northern Ireland</t>
  </si>
  <si>
    <t xml:space="preserve">      Scotland</t>
  </si>
  <si>
    <t xml:space="preserve">       Wales</t>
  </si>
  <si>
    <t xml:space="preserve">      Other United Kingdom</t>
  </si>
  <si>
    <t xml:space="preserve"> Russia</t>
  </si>
  <si>
    <t xml:space="preserve"> Former Yugoslavia</t>
  </si>
  <si>
    <t xml:space="preserve"> Baltic Countries</t>
  </si>
  <si>
    <t xml:space="preserve"> Other Not Specified</t>
  </si>
  <si>
    <t>ASIA</t>
  </si>
  <si>
    <t xml:space="preserve"> China</t>
  </si>
  <si>
    <t xml:space="preserve"> Hong Kong</t>
  </si>
  <si>
    <t xml:space="preserve"> India</t>
  </si>
  <si>
    <t xml:space="preserve"> Japan</t>
  </si>
  <si>
    <t xml:space="preserve"> Philippines</t>
  </si>
  <si>
    <t xml:space="preserve"> Taiwan</t>
  </si>
  <si>
    <t xml:space="preserve"> Thailand</t>
  </si>
  <si>
    <t xml:space="preserve">OTHER FOREIGN COUNTRIES </t>
  </si>
  <si>
    <t>OTHER NON-RESIDENTS</t>
  </si>
  <si>
    <t>AIRLINE CREW MEMBERS</t>
  </si>
  <si>
    <t>PUERTO RICO</t>
  </si>
  <si>
    <t>TOTAL NON RESIDENTS</t>
  </si>
  <si>
    <t>TOTAL RESIDENTS (Puerto Rico)</t>
  </si>
  <si>
    <t>GRAND TOTAL</t>
  </si>
  <si>
    <t>Monthly Registrations &amp; Occupancy Rates</t>
  </si>
  <si>
    <t>in Hotels &amp; Paradores endorsed by the Puerto Rico Tourism Company</t>
  </si>
  <si>
    <t>Total                                                                                    Registrations</t>
  </si>
  <si>
    <t>Non-Residents</t>
  </si>
  <si>
    <t>Average                                                                          Occupancy Rate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</si>
  <si>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</si>
  <si>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</si>
  <si>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</si>
  <si>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</si>
  <si>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</si>
  <si>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</si>
  <si>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 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</si>
  <si>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</si>
  <si>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</si>
  <si>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</si>
  <si>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</si>
  <si>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</si>
  <si>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</si>
  <si>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</si>
  <si>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</si>
  <si>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</si>
  <si>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</si>
  <si>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</si>
  <si>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</si>
  <si>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</si>
  <si>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</si>
  <si>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</si>
  <si>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</si>
  <si>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</si>
  <si>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Metropolitan Area Hotels Monthly Registrations &amp; Occupancy Rates</t>
  </si>
  <si>
    <t>1999-00 r</t>
  </si>
  <si>
    <t>Non Metropolitan Area Hotels Monthly Registrations &amp; Occupancy Rates</t>
  </si>
  <si>
    <t>Paradores Monthly Registrations &amp; Occupancy Rates</t>
  </si>
  <si>
    <t>Caribbean Stop Over Tourist Arrivals</t>
  </si>
  <si>
    <t>Calendar Year</t>
  </si>
  <si>
    <t>2010p</t>
  </si>
  <si>
    <t xml:space="preserve">Aruba  </t>
  </si>
  <si>
    <t>Bahamas</t>
  </si>
  <si>
    <t xml:space="preserve">Barbados </t>
  </si>
  <si>
    <t xml:space="preserve">Cuba  </t>
  </si>
  <si>
    <r>
      <t>Dominican Republic</t>
    </r>
    <r>
      <rPr>
        <b/>
        <vertAlign val="superscript"/>
        <sz val="10"/>
        <color indexed="8"/>
        <rFont val="Calibri"/>
        <family val="2"/>
      </rPr>
      <t xml:space="preserve"> </t>
    </r>
  </si>
  <si>
    <t xml:space="preserve">Jamaica  </t>
  </si>
  <si>
    <t xml:space="preserve">Puerto Rico* </t>
  </si>
  <si>
    <t>3,51.2</t>
  </si>
  <si>
    <r>
      <t xml:space="preserve">US Virgin Islands  </t>
    </r>
    <r>
      <rPr>
        <b/>
        <vertAlign val="superscript"/>
        <sz val="10"/>
        <color indexed="8"/>
        <rFont val="Calibri"/>
        <family val="2"/>
      </rPr>
      <t xml:space="preserve"> </t>
    </r>
  </si>
  <si>
    <t>Sources:  Caribbean Tourism Organization and Puerto Rico Planning Board</t>
  </si>
  <si>
    <t>Caribean Stop Over Tourist Arrivals - Regular Visitors (a visitor who stays at least one night in a collective or private accommdatios in the island.)</t>
  </si>
  <si>
    <t>*Fiscal Year</t>
  </si>
  <si>
    <t>Cruise Ship Passanger Arrivals in the Caribbean</t>
  </si>
  <si>
    <t>2009r</t>
  </si>
  <si>
    <t>Aruba</t>
  </si>
  <si>
    <t>Barbados</t>
  </si>
  <si>
    <t>Cayman Islands</t>
  </si>
  <si>
    <t xml:space="preserve">Cozumel  </t>
  </si>
  <si>
    <t>Dominican Republic</t>
  </si>
  <si>
    <t>Jamaica</t>
  </si>
  <si>
    <t>Puerto Rico</t>
  </si>
  <si>
    <t>St.  Maarten</t>
  </si>
  <si>
    <t>US Virgin Islands</t>
  </si>
  <si>
    <r>
      <rPr>
        <sz val="10"/>
        <rFont val="Calibri"/>
        <family val="2"/>
      </rPr>
      <t>Crusie Ship Passanger Arrivals</t>
    </r>
    <r>
      <rPr>
        <i/>
        <sz val="10"/>
        <color indexed="57"/>
        <rFont val="Trebuchet MS"/>
        <family val="2"/>
      </rPr>
      <t xml:space="preserve">  - </t>
    </r>
    <r>
      <rPr>
        <sz val="10"/>
        <rFont val="Calibri"/>
        <family val="2"/>
      </rPr>
      <t>Special Visitors</t>
    </r>
  </si>
  <si>
    <t>Number of Rooms in the Caribbean</t>
  </si>
  <si>
    <r>
      <t xml:space="preserve">Aruba </t>
    </r>
    <r>
      <rPr>
        <b/>
        <vertAlign val="superscript"/>
        <sz val="10"/>
        <color indexed="8"/>
        <rFont val="Calibri"/>
        <family val="2"/>
      </rPr>
      <t>1/</t>
    </r>
  </si>
  <si>
    <t>n/a</t>
  </si>
  <si>
    <r>
      <t xml:space="preserve">Bahamas </t>
    </r>
    <r>
      <rPr>
        <b/>
        <vertAlign val="superscript"/>
        <sz val="10"/>
        <color indexed="8"/>
        <rFont val="Calibri"/>
        <family val="2"/>
      </rPr>
      <t>2/</t>
    </r>
  </si>
  <si>
    <r>
      <t xml:space="preserve">Cuba  </t>
    </r>
    <r>
      <rPr>
        <b/>
        <vertAlign val="superscript"/>
        <sz val="10"/>
        <color indexed="8"/>
        <rFont val="Calibri"/>
        <family val="2"/>
      </rPr>
      <t>4/</t>
    </r>
  </si>
  <si>
    <r>
      <t>Dominican Republic</t>
    </r>
    <r>
      <rPr>
        <b/>
        <vertAlign val="superscript"/>
        <sz val="10"/>
        <color indexed="8"/>
        <rFont val="Calibri"/>
        <family val="2"/>
      </rPr>
      <t xml:space="preserve">  5/</t>
    </r>
  </si>
  <si>
    <r>
      <t xml:space="preserve">Jamaica  </t>
    </r>
    <r>
      <rPr>
        <b/>
        <vertAlign val="superscript"/>
        <sz val="10"/>
        <color indexed="8"/>
        <rFont val="Calibri"/>
        <family val="2"/>
      </rPr>
      <t>6/</t>
    </r>
  </si>
  <si>
    <r>
      <t xml:space="preserve">Puerto Rico </t>
    </r>
    <r>
      <rPr>
        <b/>
        <vertAlign val="superscript"/>
        <sz val="10"/>
        <color indexed="8"/>
        <rFont val="Calibri"/>
        <family val="2"/>
      </rPr>
      <t>7/</t>
    </r>
  </si>
  <si>
    <r>
      <t xml:space="preserve">US Virgin Islands  </t>
    </r>
    <r>
      <rPr>
        <b/>
        <vertAlign val="superscript"/>
        <sz val="10"/>
        <color indexed="8"/>
        <rFont val="Calibri"/>
        <family val="2"/>
      </rPr>
      <t>8/</t>
    </r>
  </si>
  <si>
    <r>
      <t xml:space="preserve">1/ </t>
    </r>
    <r>
      <rPr>
        <sz val="8"/>
        <color indexed="8"/>
        <rFont val="Trebuchet MS"/>
        <family val="2"/>
      </rPr>
      <t>Aruba Department of Economic Affairs, Commerce and Industry</t>
    </r>
  </si>
  <si>
    <r>
      <t xml:space="preserve">2/ </t>
    </r>
    <r>
      <rPr>
        <sz val="8"/>
        <color indexed="8"/>
        <rFont val="Trebuchet MS"/>
        <family val="2"/>
      </rPr>
      <t>www.tourismtoday.com/prelim/statistics/hotels/</t>
    </r>
  </si>
  <si>
    <r>
      <t>3/</t>
    </r>
    <r>
      <rPr>
        <sz val="8"/>
        <color indexed="8"/>
        <rFont val="Trebuchet MS"/>
        <family val="2"/>
      </rPr>
      <t xml:space="preserve">  Caribbean Tourism Organization.  2005 figures for Cancún also provided by CTO.</t>
    </r>
  </si>
  <si>
    <r>
      <t>4/</t>
    </r>
    <r>
      <rPr>
        <vertAlign val="superscript"/>
        <sz val="5.3"/>
        <color indexed="8"/>
        <rFont val="Trebuchet MS"/>
        <family val="2"/>
      </rPr>
      <t xml:space="preserve"> </t>
    </r>
    <r>
      <rPr>
        <sz val="8"/>
        <color indexed="8"/>
        <rFont val="Trebuchet MS"/>
        <family val="2"/>
      </rPr>
      <t>Oficina Nacional de Estadísticas de Cuba (ONE)</t>
    </r>
  </si>
  <si>
    <r>
      <t>5/</t>
    </r>
    <r>
      <rPr>
        <vertAlign val="superscript"/>
        <sz val="5.3"/>
        <color indexed="8"/>
        <rFont val="Trebuchet MS"/>
        <family val="2"/>
      </rPr>
      <t xml:space="preserve">   </t>
    </r>
    <r>
      <rPr>
        <sz val="8"/>
        <color indexed="8"/>
        <rFont val="Trebuchet MS"/>
        <family val="2"/>
      </rPr>
      <t>Banco Central de la República Dominicana.  Sectur.  ASONAHORES.</t>
    </r>
  </si>
  <si>
    <r>
      <t>6/</t>
    </r>
    <r>
      <rPr>
        <sz val="8"/>
        <color indexed="8"/>
        <rFont val="Trebuchet MS"/>
        <family val="2"/>
      </rPr>
      <t xml:space="preserve">  Jamaica Tourism Board</t>
    </r>
  </si>
  <si>
    <r>
      <t>7/</t>
    </r>
    <r>
      <rPr>
        <sz val="8"/>
        <color indexed="8"/>
        <rFont val="Trebuchet MS"/>
        <family val="2"/>
      </rPr>
      <t xml:space="preserve">  Puerto Rico Tourism Company.  Fiscal Years as of June 30.</t>
    </r>
  </si>
  <si>
    <r>
      <t xml:space="preserve">8/ </t>
    </r>
    <r>
      <rPr>
        <sz val="8"/>
        <color indexed="8"/>
        <rFont val="Trebuchet MS"/>
        <family val="2"/>
      </rPr>
      <t>USVI.  Bureau of Economic Development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</si>
</sst>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"/>
    <numFmt numFmtId="167" formatCode="[$-409]mmm\-yy;@"/>
    <numFmt numFmtId="168" formatCode="#,##0.0"/>
    <numFmt numFmtId="169" formatCode="0.0"/>
    <numFmt numFmtId="170" formatCode="&quot;$&quot;#,##0.00"/>
    <numFmt numFmtId="171" formatCode="dd\-mmm\-yy_)"/>
    <numFmt numFmtId="172" formatCode="_(* #,##0.0_);_(* \(#,##0.0\);_(* &quot;-&quot;??_);_(@_)"/>
    <numFmt numFmtId="173" formatCode="_(* #,##0.0_);_(* \(#,##0.0\);_(* &quot;-&quot;?_);_(@_)"/>
    <numFmt numFmtId="174" formatCode="&quot;$&quot;#,##0.0_);[Red]\(&quot;$&quot;#,##0.0\)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sz val="9"/>
      <name val="Arial"/>
      <family val="2"/>
    </font>
    <font>
      <sz val="11"/>
      <name val="Calibri"/>
      <family val="2"/>
    </font>
    <font>
      <vertAlign val="superscript"/>
      <sz val="10"/>
      <color indexed="8"/>
      <name val="Calibri"/>
      <family val="2"/>
    </font>
    <font>
      <b/>
      <sz val="8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59"/>
      <name val="Arial"/>
      <family val="2"/>
    </font>
    <font>
      <b/>
      <sz val="10"/>
      <color indexed="8"/>
      <name val="Trebuchet MS"/>
      <family val="2"/>
    </font>
    <font>
      <i/>
      <sz val="10"/>
      <color indexed="57"/>
      <name val="Trebuchet MS"/>
      <family val="2"/>
    </font>
    <font>
      <sz val="10"/>
      <color indexed="57"/>
      <name val="Trebuchet MS"/>
      <family val="2"/>
    </font>
    <font>
      <sz val="11"/>
      <color indexed="8"/>
      <name val="Trebuchet MS"/>
      <family val="2"/>
    </font>
    <font>
      <sz val="11"/>
      <color indexed="8"/>
      <name val="Century Gothic"/>
      <family val="2"/>
    </font>
    <font>
      <b/>
      <sz val="10"/>
      <color indexed="59"/>
      <name val="Arial"/>
      <family val="2"/>
    </font>
    <font>
      <b/>
      <sz val="10"/>
      <color indexed="8"/>
      <name val="Calibri"/>
      <family val="2"/>
    </font>
    <font>
      <sz val="9.9"/>
      <color indexed="8"/>
      <name val="Calibri"/>
      <family val="2"/>
    </font>
    <font>
      <sz val="10"/>
      <name val="Calibri"/>
      <family val="2"/>
    </font>
    <font>
      <sz val="10"/>
      <color indexed="59"/>
      <name val="Calibri"/>
      <family val="2"/>
    </font>
    <font>
      <sz val="12"/>
      <color indexed="59"/>
      <name val="Calibri"/>
      <family val="2"/>
    </font>
    <font>
      <b/>
      <sz val="11"/>
      <color indexed="59"/>
      <name val="Calibri"/>
      <family val="2"/>
    </font>
    <font>
      <b/>
      <sz val="10"/>
      <color indexed="59"/>
      <name val="Calibri"/>
      <family val="2"/>
    </font>
    <font>
      <b/>
      <i/>
      <vertAlign val="superscript"/>
      <sz val="10"/>
      <color indexed="8"/>
      <name val="Calibri"/>
      <family val="2"/>
    </font>
    <font>
      <b/>
      <sz val="9.9"/>
      <color indexed="8"/>
      <name val="Calibri"/>
      <family val="2"/>
    </font>
    <font>
      <b/>
      <sz val="10"/>
      <name val="Calibri"/>
      <family val="2"/>
    </font>
    <font>
      <vertAlign val="superscript"/>
      <sz val="10"/>
      <color indexed="8"/>
      <name val="Trebuchet MS"/>
      <family val="2"/>
    </font>
    <font>
      <sz val="8"/>
      <color indexed="8"/>
      <name val="Trebuchet MS"/>
      <family val="2"/>
    </font>
    <font>
      <vertAlign val="superscript"/>
      <sz val="5.3"/>
      <color indexed="8"/>
      <name val="Trebuchet MS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20"/>
      <name val="Arial MT"/>
    </font>
    <font>
      <b/>
      <sz val="8"/>
      <name val="Arial"/>
      <family val="2"/>
    </font>
    <font>
      <b/>
      <sz val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8"/>
      <color theme="0"/>
      <name val="Calibri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/>
      <bottom/>
      <diagonal/>
    </border>
    <border>
      <left/>
      <right style="double">
        <color indexed="49"/>
      </right>
      <top/>
      <bottom/>
      <diagonal/>
    </border>
    <border>
      <left style="double">
        <color indexed="49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/>
      <top/>
      <bottom style="thin">
        <color theme="4" tint="0.39997558519241921"/>
      </bottom>
      <diagonal/>
    </border>
  </borders>
  <cellStyleXfs count="4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 applyNumberFormat="0"/>
    <xf numFmtId="0" fontId="1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 applyNumberFormat="0"/>
    <xf numFmtId="0" fontId="45" fillId="0" borderId="0"/>
    <xf numFmtId="0" fontId="45" fillId="0" borderId="0"/>
    <xf numFmtId="0" fontId="1" fillId="0" borderId="0" applyNumberFormat="0"/>
    <xf numFmtId="0" fontId="1" fillId="0" borderId="0" applyNumberFormat="0"/>
    <xf numFmtId="0" fontId="1" fillId="0" borderId="0" applyNumberFormat="0"/>
    <xf numFmtId="0" fontId="1" fillId="0" borderId="0" applyNumberFormat="0"/>
    <xf numFmtId="171" fontId="41" fillId="0" borderId="0"/>
    <xf numFmtId="9" fontId="8" fillId="0" borderId="0" applyFont="0" applyFill="0" applyBorder="0" applyAlignment="0" applyProtection="0"/>
    <xf numFmtId="0" fontId="44" fillId="2" borderId="1">
      <alignment horizontal="center" wrapText="1"/>
    </xf>
  </cellStyleXfs>
  <cellXfs count="345">
    <xf numFmtId="0" fontId="0" fillId="0" borderId="0" xfId="0"/>
    <xf numFmtId="0" fontId="1" fillId="0" borderId="0" xfId="0" applyFont="1"/>
    <xf numFmtId="0" fontId="10" fillId="0" borderId="0" xfId="0" applyFont="1" applyAlignment="1">
      <alignment horizontal="center" wrapText="1"/>
    </xf>
    <xf numFmtId="0" fontId="11" fillId="0" borderId="0" xfId="0" applyFont="1"/>
    <xf numFmtId="164" fontId="12" fillId="0" borderId="0" xfId="23" applyNumberFormat="1" applyFont="1" applyFill="1" applyBorder="1" applyAlignment="1">
      <alignment horizontal="left" vertical="center"/>
    </xf>
    <xf numFmtId="0" fontId="13" fillId="0" borderId="0" xfId="23" applyFont="1" applyFill="1" applyBorder="1" applyAlignment="1">
      <alignment horizontal="left" vertical="center"/>
    </xf>
    <xf numFmtId="0" fontId="12" fillId="0" borderId="0" xfId="2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Font="1"/>
    <xf numFmtId="0" fontId="17" fillId="0" borderId="0" xfId="0" applyFont="1" applyAlignment="1">
      <alignment horizontal="left" wrapText="1"/>
    </xf>
    <xf numFmtId="0" fontId="18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Fill="1" applyAlignment="1">
      <alignment horizontal="center"/>
    </xf>
    <xf numFmtId="0" fontId="19" fillId="0" borderId="0" xfId="23" applyFont="1" applyFill="1" applyBorder="1" applyAlignment="1">
      <alignment horizontal="left" vertical="center"/>
    </xf>
    <xf numFmtId="0" fontId="18" fillId="0" borderId="0" xfId="0" applyFont="1" applyFill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167" fontId="20" fillId="0" borderId="0" xfId="0" applyNumberFormat="1" applyFont="1" applyAlignment="1">
      <alignment horizontal="right" wrapText="1"/>
    </xf>
    <xf numFmtId="8" fontId="20" fillId="0" borderId="0" xfId="0" applyNumberFormat="1" applyFont="1" applyAlignment="1">
      <alignment horizontal="center" wrapText="1"/>
    </xf>
    <xf numFmtId="17" fontId="20" fillId="0" borderId="0" xfId="0" applyNumberFormat="1" applyFont="1" applyAlignment="1">
      <alignment horizontal="right" wrapText="1"/>
    </xf>
    <xf numFmtId="40" fontId="21" fillId="0" borderId="0" xfId="0" applyNumberFormat="1" applyFont="1" applyFill="1" applyBorder="1" applyAlignment="1">
      <alignment horizontal="center" vertical="center"/>
    </xf>
    <xf numFmtId="8" fontId="21" fillId="0" borderId="0" xfId="0" applyNumberFormat="1" applyFont="1" applyFill="1" applyBorder="1" applyAlignment="1">
      <alignment horizontal="center" vertical="center"/>
    </xf>
    <xf numFmtId="39" fontId="21" fillId="0" borderId="0" xfId="22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Fill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/>
    <xf numFmtId="0" fontId="23" fillId="0" borderId="0" xfId="23" applyFont="1" applyFill="1" applyBorder="1" applyAlignment="1">
      <alignment horizontal="center" vertical="center"/>
    </xf>
    <xf numFmtId="0" fontId="23" fillId="0" borderId="0" xfId="23" applyFont="1" applyFill="1" applyBorder="1" applyAlignment="1">
      <alignment horizontal="left" vertical="center" indent="1"/>
    </xf>
    <xf numFmtId="37" fontId="23" fillId="0" borderId="0" xfId="23" applyNumberFormat="1" applyFont="1" applyFill="1" applyBorder="1" applyAlignment="1" applyProtection="1">
      <alignment horizontal="center" vertical="center"/>
    </xf>
    <xf numFmtId="0" fontId="23" fillId="0" borderId="0" xfId="23" applyFont="1" applyFill="1" applyBorder="1" applyAlignment="1">
      <alignment vertical="center"/>
    </xf>
    <xf numFmtId="0" fontId="24" fillId="0" borderId="0" xfId="23" applyFont="1" applyFill="1" applyBorder="1" applyAlignment="1">
      <alignment horizontal="centerContinuous" vertical="center"/>
    </xf>
    <xf numFmtId="0" fontId="25" fillId="0" borderId="0" xfId="23" applyFont="1" applyAlignment="1">
      <alignment vertical="center"/>
    </xf>
    <xf numFmtId="0" fontId="26" fillId="0" borderId="0" xfId="23" applyFont="1" applyFill="1" applyAlignment="1">
      <alignment horizontal="center" vertical="center" wrapText="1"/>
    </xf>
    <xf numFmtId="0" fontId="25" fillId="0" borderId="0" xfId="23" applyFont="1" applyFill="1" applyAlignment="1">
      <alignment vertical="center"/>
    </xf>
    <xf numFmtId="3" fontId="23" fillId="0" borderId="0" xfId="23" applyNumberFormat="1" applyFont="1" applyFill="1" applyBorder="1" applyAlignment="1" applyProtection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3" fillId="0" borderId="0" xfId="23" applyFont="1" applyFill="1" applyBorder="1" applyAlignment="1" applyProtection="1">
      <alignment horizontal="left" vertical="center"/>
    </xf>
    <xf numFmtId="3" fontId="23" fillId="0" borderId="0" xfId="2" applyNumberFormat="1" applyFont="1" applyFill="1" applyBorder="1" applyAlignment="1" applyProtection="1">
      <alignment horizontal="center" vertical="center"/>
    </xf>
    <xf numFmtId="164" fontId="23" fillId="0" borderId="0" xfId="23" applyNumberFormat="1" applyFont="1" applyFill="1" applyBorder="1" applyAlignment="1" applyProtection="1">
      <alignment horizontal="center" vertical="center"/>
    </xf>
    <xf numFmtId="0" fontId="23" fillId="0" borderId="0" xfId="23" applyFont="1" applyFill="1" applyBorder="1" applyAlignment="1">
      <alignment horizontal="left" vertical="center"/>
    </xf>
    <xf numFmtId="164" fontId="23" fillId="0" borderId="0" xfId="23" applyNumberFormat="1" applyFont="1" applyFill="1" applyBorder="1" applyAlignment="1">
      <alignment horizontal="center" vertical="center"/>
    </xf>
    <xf numFmtId="165" fontId="23" fillId="0" borderId="0" xfId="23" applyNumberFormat="1" applyFont="1" applyFill="1" applyBorder="1" applyAlignment="1">
      <alignment horizontal="center"/>
    </xf>
    <xf numFmtId="164" fontId="23" fillId="0" borderId="0" xfId="23" applyNumberFormat="1" applyFont="1" applyFill="1" applyBorder="1" applyAlignment="1">
      <alignment horizontal="center"/>
    </xf>
    <xf numFmtId="165" fontId="23" fillId="0" borderId="0" xfId="23" applyNumberFormat="1" applyFont="1" applyFill="1" applyBorder="1" applyAlignment="1">
      <alignment horizontal="center" vertical="center"/>
    </xf>
    <xf numFmtId="3" fontId="23" fillId="0" borderId="0" xfId="23" applyNumberFormat="1" applyFont="1" applyFill="1" applyBorder="1" applyAlignment="1">
      <alignment horizontal="center"/>
    </xf>
    <xf numFmtId="0" fontId="26" fillId="0" borderId="0" xfId="23" applyFont="1" applyFill="1" applyBorder="1" applyAlignment="1" applyProtection="1">
      <alignment horizontal="left" vertical="center"/>
    </xf>
    <xf numFmtId="3" fontId="26" fillId="0" borderId="0" xfId="23" applyNumberFormat="1" applyFont="1" applyFill="1" applyBorder="1" applyAlignment="1" applyProtection="1">
      <alignment horizontal="center" vertical="center"/>
    </xf>
    <xf numFmtId="3" fontId="22" fillId="0" borderId="0" xfId="23" applyNumberFormat="1" applyFont="1" applyFill="1" applyBorder="1" applyAlignment="1" applyProtection="1">
      <alignment horizontal="center" vertical="center"/>
    </xf>
    <xf numFmtId="3" fontId="22" fillId="0" borderId="0" xfId="2" applyNumberFormat="1" applyFont="1" applyFill="1" applyBorder="1" applyAlignment="1" applyProtection="1">
      <alignment horizontal="center" vertical="center"/>
    </xf>
    <xf numFmtId="37" fontId="22" fillId="0" borderId="0" xfId="23" applyNumberFormat="1" applyFont="1" applyFill="1" applyBorder="1" applyAlignment="1" applyProtection="1">
      <alignment horizontal="center" vertical="center"/>
    </xf>
    <xf numFmtId="164" fontId="22" fillId="0" borderId="0" xfId="23" applyNumberFormat="1" applyFont="1" applyFill="1" applyBorder="1" applyAlignment="1" applyProtection="1">
      <alignment horizontal="center" vertical="center"/>
    </xf>
    <xf numFmtId="3" fontId="22" fillId="0" borderId="0" xfId="23" applyNumberFormat="1" applyFont="1" applyFill="1" applyBorder="1" applyAlignment="1">
      <alignment horizontal="center"/>
    </xf>
    <xf numFmtId="0" fontId="20" fillId="0" borderId="0" xfId="0" applyFont="1" applyAlignment="1">
      <alignment horizontal="left" wrapText="1"/>
    </xf>
    <xf numFmtId="169" fontId="11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11" fillId="0" borderId="0" xfId="0" applyFont="1" applyBorder="1"/>
    <xf numFmtId="168" fontId="11" fillId="0" borderId="0" xfId="0" applyNumberFormat="1" applyFont="1" applyAlignment="1">
      <alignment horizontal="center"/>
    </xf>
    <xf numFmtId="0" fontId="20" fillId="0" borderId="0" xfId="0" applyFont="1" applyAlignment="1">
      <alignment horizontal="right" wrapText="1"/>
    </xf>
    <xf numFmtId="0" fontId="11" fillId="0" borderId="0" xfId="0" applyNumberFormat="1" applyFont="1" applyAlignment="1">
      <alignment horizontal="center"/>
    </xf>
    <xf numFmtId="3" fontId="0" fillId="0" borderId="0" xfId="0" applyNumberFormat="1"/>
    <xf numFmtId="37" fontId="0" fillId="0" borderId="0" xfId="0" applyNumberFormat="1"/>
    <xf numFmtId="164" fontId="11" fillId="0" borderId="0" xfId="0" applyNumberFormat="1" applyFont="1" applyAlignment="1">
      <alignment horizontal="center"/>
    </xf>
    <xf numFmtId="0" fontId="8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2" fillId="0" borderId="0" xfId="0" applyFont="1" applyBorder="1"/>
    <xf numFmtId="0" fontId="20" fillId="0" borderId="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164" fontId="45" fillId="0" borderId="0" xfId="44" applyNumberFormat="1" applyFont="1"/>
    <xf numFmtId="0" fontId="0" fillId="0" borderId="0" xfId="0" applyFill="1" applyAlignment="1">
      <alignment horizontal="center"/>
    </xf>
    <xf numFmtId="0" fontId="33" fillId="0" borderId="0" xfId="0" applyFont="1" applyAlignment="1">
      <alignment horizontal="right"/>
    </xf>
    <xf numFmtId="0" fontId="0" fillId="0" borderId="0" xfId="0" applyAlignment="1"/>
    <xf numFmtId="16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3" fontId="35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3" fontId="35" fillId="0" borderId="0" xfId="23" applyNumberFormat="1" applyFont="1" applyBorder="1" applyAlignment="1">
      <alignment horizontal="center" vertical="center"/>
    </xf>
    <xf numFmtId="3" fontId="34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3" fontId="35" fillId="0" borderId="0" xfId="2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5" fontId="8" fillId="0" borderId="0" xfId="1" applyNumberFormat="1" applyFont="1" applyAlignment="1">
      <alignment horizontal="right"/>
    </xf>
    <xf numFmtId="6" fontId="8" fillId="0" borderId="0" xfId="1" applyNumberFormat="1" applyFont="1" applyAlignment="1">
      <alignment horizontal="right"/>
    </xf>
    <xf numFmtId="6" fontId="0" fillId="0" borderId="0" xfId="0" applyNumberFormat="1" applyAlignment="1">
      <alignment horizontal="right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Fill="1"/>
    <xf numFmtId="0" fontId="11" fillId="0" borderId="0" xfId="0" applyFont="1" applyFill="1" applyBorder="1" applyAlignment="1">
      <alignment horizontal="center" wrapText="1"/>
    </xf>
    <xf numFmtId="0" fontId="0" fillId="0" borderId="0" xfId="0"/>
    <xf numFmtId="170" fontId="48" fillId="0" borderId="0" xfId="0" applyNumberFormat="1" applyFont="1"/>
    <xf numFmtId="170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70" fontId="48" fillId="0" borderId="0" xfId="0" applyNumberFormat="1" applyFont="1" applyFill="1"/>
    <xf numFmtId="0" fontId="49" fillId="0" borderId="0" xfId="0" applyFont="1" applyFill="1" applyAlignment="1">
      <alignment horizontal="center"/>
    </xf>
    <xf numFmtId="0" fontId="50" fillId="0" borderId="0" xfId="0" applyFont="1"/>
    <xf numFmtId="0" fontId="51" fillId="0" borderId="0" xfId="0" applyFont="1"/>
    <xf numFmtId="8" fontId="2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168" fontId="52" fillId="0" borderId="0" xfId="1" applyNumberFormat="1" applyFont="1" applyAlignment="1">
      <alignment horizontal="center" wrapText="1"/>
    </xf>
    <xf numFmtId="168" fontId="52" fillId="0" borderId="0" xfId="0" applyNumberFormat="1" applyFont="1" applyAlignment="1">
      <alignment horizontal="center" wrapText="1"/>
    </xf>
    <xf numFmtId="0" fontId="52" fillId="0" borderId="0" xfId="1" applyNumberFormat="1" applyFont="1" applyAlignment="1">
      <alignment horizontal="center" wrapText="1"/>
    </xf>
    <xf numFmtId="168" fontId="48" fillId="0" borderId="0" xfId="0" applyNumberFormat="1" applyFont="1" applyAlignment="1">
      <alignment horizontal="center"/>
    </xf>
    <xf numFmtId="0" fontId="48" fillId="0" borderId="0" xfId="0" applyNumberFormat="1" applyFont="1" applyAlignment="1">
      <alignment horizontal="center"/>
    </xf>
    <xf numFmtId="3" fontId="48" fillId="0" borderId="0" xfId="0" applyNumberFormat="1" applyFont="1" applyAlignment="1">
      <alignment horizontal="center"/>
    </xf>
    <xf numFmtId="164" fontId="48" fillId="0" borderId="0" xfId="44" applyNumberFormat="1" applyFont="1" applyAlignment="1">
      <alignment horizontal="center"/>
    </xf>
    <xf numFmtId="0" fontId="48" fillId="0" borderId="0" xfId="0" applyFont="1" applyFill="1" applyBorder="1"/>
    <xf numFmtId="165" fontId="22" fillId="0" borderId="0" xfId="2" applyNumberFormat="1" applyFont="1" applyFill="1" applyBorder="1" applyAlignment="1">
      <alignment horizontal="center" vertical="center"/>
    </xf>
    <xf numFmtId="164" fontId="22" fillId="0" borderId="0" xfId="23" applyNumberFormat="1" applyFont="1" applyFill="1" applyBorder="1" applyAlignment="1">
      <alignment horizontal="center" vertical="center"/>
    </xf>
    <xf numFmtId="0" fontId="22" fillId="0" borderId="0" xfId="23" applyFont="1" applyFill="1" applyBorder="1" applyAlignment="1">
      <alignment horizontal="center" vertical="center"/>
    </xf>
    <xf numFmtId="165" fontId="22" fillId="0" borderId="0" xfId="23" applyNumberFormat="1" applyFont="1" applyFill="1" applyBorder="1" applyAlignment="1">
      <alignment horizontal="center" vertical="center"/>
    </xf>
    <xf numFmtId="164" fontId="22" fillId="0" borderId="0" xfId="23" applyNumberFormat="1" applyFont="1" applyFill="1" applyBorder="1" applyAlignment="1">
      <alignment horizontal="center"/>
    </xf>
    <xf numFmtId="0" fontId="37" fillId="0" borderId="0" xfId="0" applyFont="1" applyFill="1"/>
    <xf numFmtId="0" fontId="38" fillId="0" borderId="0" xfId="0" applyFont="1" applyFill="1"/>
    <xf numFmtId="3" fontId="48" fillId="0" borderId="0" xfId="0" applyNumberFormat="1" applyFont="1" applyFill="1" applyAlignment="1">
      <alignment horizontal="center"/>
    </xf>
    <xf numFmtId="164" fontId="53" fillId="0" borderId="0" xfId="0" applyNumberFormat="1" applyFont="1" applyFill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164" fontId="53" fillId="0" borderId="0" xfId="0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/>
    <xf numFmtId="37" fontId="48" fillId="0" borderId="0" xfId="1" applyNumberFormat="1" applyFont="1" applyAlignment="1">
      <alignment horizontal="center"/>
    </xf>
    <xf numFmtId="0" fontId="54" fillId="0" borderId="0" xfId="0" applyFont="1"/>
    <xf numFmtId="0" fontId="55" fillId="0" borderId="0" xfId="0" applyFont="1"/>
    <xf numFmtId="0" fontId="48" fillId="0" borderId="0" xfId="0" applyFont="1"/>
    <xf numFmtId="3" fontId="29" fillId="0" borderId="0" xfId="0" applyNumberFormat="1" applyFont="1" applyFill="1" applyAlignment="1">
      <alignment horizontal="center"/>
    </xf>
    <xf numFmtId="170" fontId="49" fillId="0" borderId="0" xfId="0" applyNumberFormat="1" applyFont="1" applyFill="1" applyAlignment="1">
      <alignment horizontal="center"/>
    </xf>
    <xf numFmtId="170" fontId="49" fillId="0" borderId="10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70" fontId="49" fillId="0" borderId="10" xfId="0" applyNumberFormat="1" applyFont="1" applyBorder="1" applyAlignment="1">
      <alignment horizontal="center"/>
    </xf>
    <xf numFmtId="0" fontId="56" fillId="3" borderId="0" xfId="0" applyFont="1" applyFill="1" applyAlignment="1">
      <alignment horizontal="center" wrapText="1"/>
    </xf>
    <xf numFmtId="170" fontId="49" fillId="5" borderId="0" xfId="0" applyNumberFormat="1" applyFont="1" applyFill="1" applyAlignment="1">
      <alignment horizontal="center"/>
    </xf>
    <xf numFmtId="170" fontId="49" fillId="4" borderId="0" xfId="0" applyNumberFormat="1" applyFont="1" applyFill="1" applyAlignment="1">
      <alignment horizontal="center"/>
    </xf>
    <xf numFmtId="170" fontId="49" fillId="5" borderId="10" xfId="0" applyNumberFormat="1" applyFont="1" applyFill="1" applyBorder="1" applyAlignment="1">
      <alignment horizontal="center"/>
    </xf>
    <xf numFmtId="170" fontId="49" fillId="4" borderId="10" xfId="0" applyNumberFormat="1" applyFont="1" applyFill="1" applyBorder="1" applyAlignment="1">
      <alignment horizontal="center"/>
    </xf>
    <xf numFmtId="170" fontId="48" fillId="5" borderId="0" xfId="0" applyNumberFormat="1" applyFont="1" applyFill="1" applyAlignment="1">
      <alignment horizontal="center"/>
    </xf>
    <xf numFmtId="170" fontId="49" fillId="5" borderId="0" xfId="0" applyNumberFormat="1" applyFont="1" applyFill="1"/>
    <xf numFmtId="170" fontId="49" fillId="4" borderId="0" xfId="0" applyNumberFormat="1" applyFont="1" applyFill="1"/>
    <xf numFmtId="170" fontId="49" fillId="5" borderId="10" xfId="0" applyNumberFormat="1" applyFont="1" applyFill="1" applyBorder="1"/>
    <xf numFmtId="170" fontId="49" fillId="4" borderId="10" xfId="0" applyNumberFormat="1" applyFont="1" applyFill="1" applyBorder="1"/>
    <xf numFmtId="170" fontId="48" fillId="4" borderId="0" xfId="0" applyNumberFormat="1" applyFont="1" applyFill="1" applyAlignment="1">
      <alignment horizontal="center"/>
    </xf>
    <xf numFmtId="0" fontId="58" fillId="6" borderId="2" xfId="23" applyFont="1" applyFill="1" applyBorder="1" applyAlignment="1">
      <alignment horizontal="centerContinuous" vertical="center"/>
    </xf>
    <xf numFmtId="0" fontId="59" fillId="6" borderId="3" xfId="23" applyFont="1" applyFill="1" applyBorder="1" applyAlignment="1">
      <alignment horizontal="centerContinuous" vertical="center"/>
    </xf>
    <xf numFmtId="0" fontId="59" fillId="6" borderId="4" xfId="23" applyFont="1" applyFill="1" applyBorder="1" applyAlignment="1">
      <alignment horizontal="centerContinuous" vertical="center"/>
    </xf>
    <xf numFmtId="0" fontId="60" fillId="6" borderId="5" xfId="23" applyFont="1" applyFill="1" applyBorder="1" applyAlignment="1">
      <alignment horizontal="centerContinuous" vertical="center"/>
    </xf>
    <xf numFmtId="0" fontId="60" fillId="6" borderId="0" xfId="23" applyFont="1" applyFill="1" applyBorder="1" applyAlignment="1">
      <alignment horizontal="centerContinuous" vertical="center"/>
    </xf>
    <xf numFmtId="0" fontId="60" fillId="6" borderId="6" xfId="23" applyFont="1" applyFill="1" applyBorder="1" applyAlignment="1">
      <alignment horizontal="centerContinuous" vertical="center"/>
    </xf>
    <xf numFmtId="0" fontId="60" fillId="6" borderId="7" xfId="23" applyFont="1" applyFill="1" applyBorder="1" applyAlignment="1">
      <alignment horizontal="centerContinuous" vertical="center"/>
    </xf>
    <xf numFmtId="0" fontId="60" fillId="6" borderId="8" xfId="23" applyFont="1" applyFill="1" applyBorder="1" applyAlignment="1">
      <alignment horizontal="centerContinuous" vertical="center"/>
    </xf>
    <xf numFmtId="0" fontId="60" fillId="6" borderId="9" xfId="23" applyFont="1" applyFill="1" applyBorder="1" applyAlignment="1">
      <alignment horizontal="centerContinuous" vertical="center"/>
    </xf>
    <xf numFmtId="0" fontId="56" fillId="3" borderId="0" xfId="23" applyFont="1" applyFill="1" applyAlignment="1">
      <alignment horizontal="center" vertical="center" wrapText="1"/>
    </xf>
    <xf numFmtId="0" fontId="26" fillId="7" borderId="0" xfId="23" applyFont="1" applyFill="1" applyBorder="1" applyAlignment="1">
      <alignment vertical="center"/>
    </xf>
    <xf numFmtId="37" fontId="26" fillId="7" borderId="0" xfId="23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61" fillId="3" borderId="0" xfId="0" applyFont="1" applyFill="1" applyAlignment="1">
      <alignment horizontal="center" wrapText="1"/>
    </xf>
    <xf numFmtId="0" fontId="57" fillId="3" borderId="0" xfId="0" applyFont="1" applyFill="1" applyAlignment="1">
      <alignment horizontal="right"/>
    </xf>
    <xf numFmtId="0" fontId="9" fillId="8" borderId="0" xfId="0" applyFont="1" applyFill="1"/>
    <xf numFmtId="165" fontId="9" fillId="8" borderId="0" xfId="1" applyNumberFormat="1" applyFont="1" applyFill="1" applyAlignment="1">
      <alignment horizontal="right"/>
    </xf>
    <xf numFmtId="6" fontId="9" fillId="8" borderId="0" xfId="0" applyNumberFormat="1" applyFont="1" applyFill="1" applyAlignment="1">
      <alignment horizontal="right"/>
    </xf>
    <xf numFmtId="0" fontId="0" fillId="8" borderId="0" xfId="0" applyFill="1" applyAlignment="1"/>
    <xf numFmtId="0" fontId="57" fillId="3" borderId="0" xfId="0" applyFont="1" applyFill="1" applyAlignment="1">
      <alignment horizontal="center"/>
    </xf>
    <xf numFmtId="0" fontId="57" fillId="3" borderId="0" xfId="0" applyFont="1" applyFill="1"/>
    <xf numFmtId="0" fontId="61" fillId="3" borderId="0" xfId="0" applyFont="1" applyFill="1" applyAlignment="1">
      <alignment horizontal="center"/>
    </xf>
    <xf numFmtId="0" fontId="62" fillId="0" borderId="0" xfId="0" applyFont="1"/>
    <xf numFmtId="49" fontId="26" fillId="8" borderId="0" xfId="23" applyNumberFormat="1" applyFont="1" applyFill="1" applyBorder="1" applyAlignment="1">
      <alignment vertical="center"/>
    </xf>
    <xf numFmtId="0" fontId="58" fillId="6" borderId="3" xfId="23" applyFont="1" applyFill="1" applyBorder="1" applyAlignment="1">
      <alignment horizontal="centerContinuous" vertical="center"/>
    </xf>
    <xf numFmtId="0" fontId="58" fillId="6" borderId="4" xfId="23" applyFont="1" applyFill="1" applyBorder="1" applyAlignment="1">
      <alignment horizontal="centerContinuous" vertical="center"/>
    </xf>
    <xf numFmtId="0" fontId="58" fillId="6" borderId="0" xfId="23" applyFont="1" applyFill="1" applyBorder="1" applyAlignment="1">
      <alignment horizontal="centerContinuous" vertical="center"/>
    </xf>
    <xf numFmtId="0" fontId="58" fillId="6" borderId="6" xfId="23" applyFont="1" applyFill="1" applyBorder="1" applyAlignment="1">
      <alignment horizontal="centerContinuous" vertical="center"/>
    </xf>
    <xf numFmtId="0" fontId="58" fillId="6" borderId="8" xfId="23" applyFont="1" applyFill="1" applyBorder="1" applyAlignment="1">
      <alignment horizontal="centerContinuous" vertical="center"/>
    </xf>
    <xf numFmtId="0" fontId="58" fillId="6" borderId="9" xfId="23" applyFont="1" applyFill="1" applyBorder="1" applyAlignment="1">
      <alignment horizontal="centerContinuous" vertical="center"/>
    </xf>
    <xf numFmtId="164" fontId="48" fillId="0" borderId="0" xfId="0" applyNumberFormat="1" applyFont="1" applyAlignment="1">
      <alignment horizontal="center"/>
    </xf>
    <xf numFmtId="164" fontId="63" fillId="0" borderId="0" xfId="43" applyNumberFormat="1" applyFont="1" applyFill="1" applyBorder="1" applyAlignment="1" applyProtection="1">
      <alignment horizontal="center"/>
    </xf>
    <xf numFmtId="0" fontId="26" fillId="8" borderId="0" xfId="23" applyFont="1" applyFill="1" applyBorder="1" applyAlignment="1" applyProtection="1">
      <alignment horizontal="left" vertical="center"/>
    </xf>
    <xf numFmtId="164" fontId="48" fillId="8" borderId="0" xfId="44" applyNumberFormat="1" applyFont="1" applyFill="1" applyAlignment="1">
      <alignment horizontal="center"/>
    </xf>
    <xf numFmtId="164" fontId="45" fillId="8" borderId="0" xfId="44" applyNumberFormat="1" applyFont="1" applyFill="1" applyAlignment="1">
      <alignment horizontal="center"/>
    </xf>
    <xf numFmtId="164" fontId="49" fillId="8" borderId="0" xfId="44" applyNumberFormat="1" applyFont="1" applyFill="1" applyAlignment="1">
      <alignment horizontal="center"/>
    </xf>
    <xf numFmtId="164" fontId="26" fillId="8" borderId="0" xfId="23" applyNumberFormat="1" applyFont="1" applyFill="1" applyBorder="1" applyAlignment="1" applyProtection="1">
      <alignment horizontal="center" vertical="center"/>
    </xf>
    <xf numFmtId="3" fontId="49" fillId="8" borderId="0" xfId="0" applyNumberFormat="1" applyFont="1" applyFill="1" applyAlignment="1">
      <alignment horizontal="center"/>
    </xf>
    <xf numFmtId="0" fontId="56" fillId="3" borderId="0" xfId="23" applyFont="1" applyFill="1" applyBorder="1" applyAlignment="1" applyProtection="1">
      <alignment horizontal="center" vertical="center" wrapText="1"/>
    </xf>
    <xf numFmtId="164" fontId="56" fillId="3" borderId="0" xfId="23" applyNumberFormat="1" applyFont="1" applyFill="1" applyBorder="1" applyAlignment="1" applyProtection="1">
      <alignment horizontal="center" vertical="center" wrapText="1"/>
    </xf>
    <xf numFmtId="0" fontId="60" fillId="6" borderId="3" xfId="23" applyFont="1" applyFill="1" applyBorder="1" applyAlignment="1">
      <alignment horizontal="centerContinuous" vertical="center"/>
    </xf>
    <xf numFmtId="0" fontId="60" fillId="6" borderId="4" xfId="23" applyFont="1" applyFill="1" applyBorder="1" applyAlignment="1">
      <alignment horizontal="centerContinuous" vertical="center"/>
    </xf>
    <xf numFmtId="3" fontId="26" fillId="8" borderId="0" xfId="23" applyNumberFormat="1" applyFont="1" applyFill="1" applyBorder="1" applyAlignment="1" applyProtection="1">
      <alignment horizontal="center" vertical="center"/>
    </xf>
    <xf numFmtId="164" fontId="64" fillId="8" borderId="0" xfId="43" applyNumberFormat="1" applyFont="1" applyFill="1" applyBorder="1" applyAlignment="1" applyProtection="1">
      <alignment horizontal="center"/>
    </xf>
    <xf numFmtId="164" fontId="49" fillId="9" borderId="0" xfId="0" applyNumberFormat="1" applyFont="1" applyFill="1" applyAlignment="1">
      <alignment horizontal="center"/>
    </xf>
    <xf numFmtId="164" fontId="49" fillId="9" borderId="0" xfId="44" applyNumberFormat="1" applyFont="1" applyFill="1" applyAlignment="1">
      <alignment horizontal="center"/>
    </xf>
    <xf numFmtId="3" fontId="29" fillId="8" borderId="0" xfId="23" applyNumberFormat="1" applyFont="1" applyFill="1" applyBorder="1" applyAlignment="1" applyProtection="1">
      <alignment horizontal="center" vertical="center"/>
    </xf>
    <xf numFmtId="164" fontId="29" fillId="8" borderId="0" xfId="23" applyNumberFormat="1" applyFont="1" applyFill="1" applyBorder="1" applyAlignment="1" applyProtection="1">
      <alignment horizontal="center" vertical="center"/>
    </xf>
    <xf numFmtId="3" fontId="36" fillId="0" borderId="0" xfId="23" applyNumberFormat="1" applyFont="1" applyBorder="1" applyAlignment="1">
      <alignment horizontal="center" vertical="center"/>
    </xf>
    <xf numFmtId="3" fontId="42" fillId="0" borderId="0" xfId="23" applyNumberFormat="1" applyFont="1" applyFill="1" applyBorder="1" applyAlignment="1">
      <alignment horizontal="center" vertical="center"/>
    </xf>
    <xf numFmtId="3" fontId="36" fillId="0" borderId="0" xfId="23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3" fontId="65" fillId="0" borderId="0" xfId="23" applyNumberFormat="1" applyFont="1" applyBorder="1" applyAlignment="1">
      <alignment horizontal="center" vertical="center"/>
    </xf>
    <xf numFmtId="0" fontId="66" fillId="3" borderId="0" xfId="0" applyFont="1" applyFill="1" applyAlignment="1">
      <alignment horizontal="center"/>
    </xf>
    <xf numFmtId="49" fontId="66" fillId="3" borderId="0" xfId="0" applyNumberFormat="1" applyFont="1" applyFill="1" applyBorder="1" applyAlignment="1" applyProtection="1">
      <alignment horizontal="center" vertical="center"/>
    </xf>
    <xf numFmtId="0" fontId="43" fillId="8" borderId="0" xfId="0" applyFont="1" applyFill="1" applyBorder="1" applyAlignment="1" applyProtection="1">
      <alignment horizontal="left" vertical="center"/>
    </xf>
    <xf numFmtId="3" fontId="43" fillId="8" borderId="0" xfId="0" applyNumberFormat="1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left" vertical="center"/>
    </xf>
    <xf numFmtId="3" fontId="6" fillId="8" borderId="0" xfId="0" applyNumberFormat="1" applyFont="1" applyFill="1" applyBorder="1" applyAlignment="1" applyProtection="1">
      <alignment horizontal="center" vertical="center"/>
    </xf>
    <xf numFmtId="3" fontId="65" fillId="0" borderId="0" xfId="23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left" vertical="center"/>
    </xf>
    <xf numFmtId="3" fontId="6" fillId="4" borderId="0" xfId="0" applyNumberFormat="1" applyFont="1" applyFill="1" applyBorder="1" applyAlignment="1" applyProtection="1">
      <alignment horizontal="center" vertical="center"/>
    </xf>
    <xf numFmtId="3" fontId="42" fillId="8" borderId="0" xfId="23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 applyProtection="1">
      <alignment horizontal="left" vertical="center" wrapText="1"/>
    </xf>
    <xf numFmtId="3" fontId="6" fillId="8" borderId="0" xfId="0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>
      <alignment vertical="center" wrapText="1"/>
    </xf>
    <xf numFmtId="0" fontId="56" fillId="3" borderId="0" xfId="0" applyFont="1" applyFill="1" applyAlignment="1">
      <alignment horizontal="center"/>
    </xf>
    <xf numFmtId="0" fontId="20" fillId="8" borderId="0" xfId="0" applyFont="1" applyFill="1" applyBorder="1" applyAlignment="1">
      <alignment horizontal="left" wrapText="1"/>
    </xf>
    <xf numFmtId="0" fontId="20" fillId="8" borderId="0" xfId="0" applyFont="1" applyFill="1" applyBorder="1" applyAlignment="1">
      <alignment horizontal="center" wrapText="1"/>
    </xf>
    <xf numFmtId="0" fontId="20" fillId="8" borderId="0" xfId="0" applyFont="1" applyFill="1" applyAlignment="1">
      <alignment horizontal="left" wrapText="1"/>
    </xf>
    <xf numFmtId="0" fontId="20" fillId="8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3" fontId="29" fillId="8" borderId="0" xfId="0" applyNumberFormat="1" applyFont="1" applyFill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3" fontId="20" fillId="8" borderId="0" xfId="0" applyNumberFormat="1" applyFont="1" applyFill="1" applyBorder="1" applyAlignment="1">
      <alignment horizontal="center" wrapText="1"/>
    </xf>
    <xf numFmtId="3" fontId="9" fillId="8" borderId="0" xfId="0" applyNumberFormat="1" applyFont="1" applyFill="1" applyAlignment="1">
      <alignment horizont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3" fontId="48" fillId="0" borderId="0" xfId="0" applyNumberFormat="1" applyFont="1"/>
    <xf numFmtId="6" fontId="0" fillId="0" borderId="0" xfId="0" applyNumberFormat="1"/>
    <xf numFmtId="165" fontId="4" fillId="0" borderId="0" xfId="2" applyNumberFormat="1" applyFont="1"/>
    <xf numFmtId="173" fontId="0" fillId="0" borderId="0" xfId="0" applyNumberFormat="1"/>
    <xf numFmtId="173" fontId="0" fillId="0" borderId="0" xfId="0" applyNumberFormat="1" applyFont="1"/>
    <xf numFmtId="165" fontId="0" fillId="0" borderId="0" xfId="0" applyNumberFormat="1"/>
    <xf numFmtId="172" fontId="1" fillId="0" borderId="0" xfId="2" applyNumberFormat="1" applyFont="1" applyFill="1" applyProtection="1"/>
    <xf numFmtId="3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6" fontId="46" fillId="0" borderId="0" xfId="0" applyNumberFormat="1" applyFont="1" applyAlignment="1">
      <alignment horizontal="right"/>
    </xf>
    <xf numFmtId="6" fontId="4" fillId="0" borderId="0" xfId="2" applyNumberFormat="1" applyFont="1" applyFill="1" applyProtection="1"/>
    <xf numFmtId="3" fontId="4" fillId="0" borderId="0" xfId="0" applyNumberFormat="1" applyFont="1" applyAlignment="1">
      <alignment horizontal="right"/>
    </xf>
    <xf numFmtId="165" fontId="4" fillId="0" borderId="0" xfId="2" applyNumberFormat="1" applyFont="1" applyFill="1" applyProtection="1"/>
    <xf numFmtId="174" fontId="8" fillId="0" borderId="0" xfId="22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165" fontId="8" fillId="0" borderId="0" xfId="1" applyNumberFormat="1" applyFont="1" applyAlignment="1">
      <alignment horizontal="left"/>
    </xf>
    <xf numFmtId="165" fontId="45" fillId="0" borderId="0" xfId="1" applyNumberFormat="1" applyFont="1" applyAlignment="1">
      <alignment horizontal="left"/>
    </xf>
    <xf numFmtId="165" fontId="46" fillId="0" borderId="0" xfId="1" applyNumberFormat="1" applyFont="1" applyAlignment="1">
      <alignment horizontal="left"/>
    </xf>
    <xf numFmtId="165" fontId="4" fillId="0" borderId="0" xfId="1" applyNumberFormat="1" applyFont="1" applyFill="1" applyAlignment="1" applyProtection="1">
      <alignment horizontal="left"/>
    </xf>
    <xf numFmtId="6" fontId="4" fillId="0" borderId="0" xfId="2" applyNumberFormat="1" applyFont="1"/>
    <xf numFmtId="0" fontId="20" fillId="4" borderId="0" xfId="0" applyFont="1" applyFill="1" applyAlignment="1">
      <alignment horizontal="left" wrapText="1"/>
    </xf>
    <xf numFmtId="0" fontId="57" fillId="3" borderId="0" xfId="0" applyFont="1" applyFill="1" applyAlignment="1">
      <alignment horizontal="center" wrapText="1"/>
    </xf>
    <xf numFmtId="0" fontId="16" fillId="0" borderId="0" xfId="0" applyFont="1" applyAlignment="1">
      <alignment horizontal="left" wrapText="1"/>
    </xf>
    <xf numFmtId="0" fontId="58" fillId="6" borderId="5" xfId="0" applyFont="1" applyFill="1" applyBorder="1" applyAlignment="1">
      <alignment horizontal="center"/>
    </xf>
    <xf numFmtId="0" fontId="58" fillId="6" borderId="0" xfId="0" applyFont="1" applyFill="1" applyBorder="1" applyAlignment="1">
      <alignment horizontal="center"/>
    </xf>
    <xf numFmtId="0" fontId="62" fillId="6" borderId="5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58" fillId="6" borderId="2" xfId="0" applyFont="1" applyFill="1" applyBorder="1" applyAlignment="1">
      <alignment horizontal="center"/>
    </xf>
    <xf numFmtId="0" fontId="58" fillId="6" borderId="3" xfId="0" applyFont="1" applyFill="1" applyBorder="1" applyAlignment="1">
      <alignment horizontal="center"/>
    </xf>
    <xf numFmtId="0" fontId="58" fillId="6" borderId="4" xfId="0" applyFont="1" applyFill="1" applyBorder="1" applyAlignment="1">
      <alignment horizontal="center"/>
    </xf>
    <xf numFmtId="0" fontId="62" fillId="6" borderId="7" xfId="0" applyFont="1" applyFill="1" applyBorder="1" applyAlignment="1">
      <alignment horizontal="center"/>
    </xf>
    <xf numFmtId="0" fontId="62" fillId="6" borderId="8" xfId="0" applyFont="1" applyFill="1" applyBorder="1" applyAlignment="1">
      <alignment horizontal="center"/>
    </xf>
    <xf numFmtId="0" fontId="62" fillId="6" borderId="9" xfId="0" applyFont="1" applyFill="1" applyBorder="1" applyAlignment="1">
      <alignment horizontal="center"/>
    </xf>
    <xf numFmtId="0" fontId="20" fillId="4" borderId="0" xfId="0" applyFont="1" applyFill="1" applyAlignment="1">
      <alignment horizontal="left" wrapText="1"/>
    </xf>
    <xf numFmtId="0" fontId="62" fillId="6" borderId="6" xfId="0" applyFont="1" applyFill="1" applyBorder="1" applyAlignment="1">
      <alignment horizontal="center"/>
    </xf>
    <xf numFmtId="0" fontId="57" fillId="3" borderId="0" xfId="0" applyFont="1" applyFill="1" applyAlignment="1">
      <alignment horizontal="center" wrapText="1"/>
    </xf>
    <xf numFmtId="0" fontId="67" fillId="6" borderId="5" xfId="0" applyFont="1" applyFill="1" applyBorder="1" applyAlignment="1">
      <alignment horizontal="center"/>
    </xf>
    <xf numFmtId="0" fontId="67" fillId="6" borderId="0" xfId="0" applyFont="1" applyFill="1" applyBorder="1" applyAlignment="1">
      <alignment horizontal="center"/>
    </xf>
    <xf numFmtId="0" fontId="68" fillId="6" borderId="5" xfId="0" applyFont="1" applyFill="1" applyBorder="1" applyAlignment="1">
      <alignment horizontal="center"/>
    </xf>
    <xf numFmtId="0" fontId="68" fillId="6" borderId="0" xfId="0" applyFont="1" applyFill="1" applyBorder="1" applyAlignment="1">
      <alignment horizontal="center"/>
    </xf>
    <xf numFmtId="0" fontId="60" fillId="6" borderId="5" xfId="0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/>
    </xf>
    <xf numFmtId="0" fontId="60" fillId="6" borderId="5" xfId="0" applyFont="1" applyFill="1" applyBorder="1" applyAlignment="1">
      <alignment horizontal="center" wrapText="1"/>
    </xf>
    <xf numFmtId="0" fontId="60" fillId="6" borderId="0" xfId="0" applyFont="1" applyFill="1" applyBorder="1" applyAlignment="1">
      <alignment horizontal="center" wrapText="1"/>
    </xf>
    <xf numFmtId="0" fontId="69" fillId="6" borderId="5" xfId="0" applyFont="1" applyFill="1" applyBorder="1" applyAlignment="1">
      <alignment horizontal="center"/>
    </xf>
    <xf numFmtId="0" fontId="69" fillId="6" borderId="0" xfId="0" applyFont="1" applyFill="1" applyBorder="1" applyAlignment="1">
      <alignment horizontal="center"/>
    </xf>
    <xf numFmtId="0" fontId="70" fillId="6" borderId="5" xfId="0" applyFont="1" applyFill="1" applyBorder="1" applyAlignment="1">
      <alignment horizontal="center"/>
    </xf>
    <xf numFmtId="0" fontId="70" fillId="6" borderId="0" xfId="0" applyFont="1" applyFill="1" applyBorder="1" applyAlignment="1">
      <alignment horizontal="center"/>
    </xf>
    <xf numFmtId="0" fontId="58" fillId="6" borderId="2" xfId="23" applyFont="1" applyFill="1" applyBorder="1" applyAlignment="1">
      <alignment horizontal="center" vertical="center"/>
    </xf>
    <xf numFmtId="0" fontId="58" fillId="6" borderId="3" xfId="23" applyFont="1" applyFill="1" applyBorder="1" applyAlignment="1">
      <alignment horizontal="center" vertical="center"/>
    </xf>
    <xf numFmtId="0" fontId="58" fillId="6" borderId="4" xfId="23" applyFont="1" applyFill="1" applyBorder="1" applyAlignment="1">
      <alignment horizontal="center" vertical="center"/>
    </xf>
    <xf numFmtId="0" fontId="60" fillId="6" borderId="5" xfId="23" applyFont="1" applyFill="1" applyBorder="1" applyAlignment="1">
      <alignment horizontal="center" vertical="center"/>
    </xf>
    <xf numFmtId="0" fontId="60" fillId="6" borderId="0" xfId="23" applyFont="1" applyFill="1" applyBorder="1" applyAlignment="1">
      <alignment horizontal="center" vertical="center"/>
    </xf>
    <xf numFmtId="0" fontId="60" fillId="6" borderId="6" xfId="23" applyFont="1" applyFill="1" applyBorder="1" applyAlignment="1">
      <alignment horizontal="center" vertical="center"/>
    </xf>
    <xf numFmtId="0" fontId="60" fillId="6" borderId="7" xfId="23" applyFont="1" applyFill="1" applyBorder="1" applyAlignment="1">
      <alignment horizontal="center" vertical="center"/>
    </xf>
    <xf numFmtId="0" fontId="60" fillId="6" borderId="8" xfId="23" applyFont="1" applyFill="1" applyBorder="1" applyAlignment="1">
      <alignment horizontal="center" vertical="center"/>
    </xf>
    <xf numFmtId="0" fontId="60" fillId="6" borderId="9" xfId="23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8" fontId="11" fillId="0" borderId="0" xfId="0" applyNumberFormat="1" applyFont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7" fontId="23" fillId="0" borderId="0" xfId="23" applyNumberFormat="1" applyFont="1" applyFill="1" applyBorder="1" applyAlignment="1">
      <alignment horizontal="center" vertical="center"/>
    </xf>
    <xf numFmtId="0" fontId="26" fillId="0" borderId="0" xfId="23" applyFont="1" applyFill="1" applyBorder="1" applyAlignment="1">
      <alignment horizontal="left" vertical="center"/>
    </xf>
    <xf numFmtId="0" fontId="26" fillId="0" borderId="0" xfId="23" applyFont="1" applyFill="1" applyBorder="1" applyAlignment="1">
      <alignment horizontal="center" vertical="center"/>
    </xf>
    <xf numFmtId="0" fontId="26" fillId="0" borderId="0" xfId="23" applyFont="1" applyAlignment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3" fontId="34" fillId="0" borderId="0" xfId="0" applyNumberFormat="1" applyFont="1" applyFill="1" applyBorder="1" applyAlignment="1" applyProtection="1">
      <alignment horizontal="center" vertical="center"/>
    </xf>
    <xf numFmtId="3" fontId="6" fillId="8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0" quotePrefix="1" applyNumberFormat="1" applyFont="1" applyFill="1" applyBorder="1" applyAlignment="1" applyProtection="1">
      <alignment horizontal="center" vertical="center"/>
    </xf>
    <xf numFmtId="165" fontId="23" fillId="0" borderId="0" xfId="2" applyNumberFormat="1" applyFont="1" applyFill="1" applyBorder="1" applyAlignment="1">
      <alignment horizontal="center" vertical="center"/>
    </xf>
    <xf numFmtId="0" fontId="23" fillId="0" borderId="0" xfId="23" applyFont="1" applyFill="1" applyBorder="1" applyAlignment="1">
      <alignment horizontal="right" vertical="center"/>
    </xf>
    <xf numFmtId="164" fontId="23" fillId="0" borderId="0" xfId="23" applyNumberFormat="1" applyFont="1" applyFill="1" applyBorder="1" applyAlignment="1">
      <alignment horizontal="right" vertical="center"/>
    </xf>
    <xf numFmtId="169" fontId="11" fillId="0" borderId="0" xfId="0" applyNumberFormat="1" applyFont="1" applyAlignment="1">
      <alignment horizontal="center" wrapText="1"/>
    </xf>
    <xf numFmtId="4" fontId="11" fillId="0" borderId="0" xfId="0" applyNumberFormat="1" applyFont="1" applyAlignment="1">
      <alignment horizontal="center" wrapText="1"/>
    </xf>
    <xf numFmtId="168" fontId="11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168" fontId="11" fillId="0" borderId="0" xfId="1" applyNumberFormat="1" applyFont="1" applyAlignment="1">
      <alignment horizontal="center" wrapText="1"/>
    </xf>
    <xf numFmtId="0" fontId="11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68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right" wrapText="1"/>
    </xf>
    <xf numFmtId="3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right" wrapText="1"/>
    </xf>
  </cellXfs>
  <cellStyles count="46">
    <cellStyle name="Comma" xfId="1" builtinId="3"/>
    <cellStyle name="Comma 2" xfId="2" xr:uid="{6B650036-75BF-44A6-A41F-1010C002440D}"/>
    <cellStyle name="Comma 2 2" xfId="3" xr:uid="{CDAABC64-E78E-4861-9E4E-8AC31DC415D1}"/>
    <cellStyle name="Comma 2 2 2" xfId="4" xr:uid="{D2747F7A-B940-4472-B3E5-1A58F0A3B774}"/>
    <cellStyle name="Comma 2 3" xfId="5" xr:uid="{46960A35-3BBE-4B0C-9E7A-03F48C33E70F}"/>
    <cellStyle name="Comma 2 4" xfId="6" xr:uid="{124EA10B-9C99-468B-9ED8-FCCCA8FCD159}"/>
    <cellStyle name="Comma 2 5" xfId="7" xr:uid="{B8A64DE9-C1B3-46C0-9DA2-2E4EED48C8CE}"/>
    <cellStyle name="Comma 3" xfId="8" xr:uid="{2EB125EA-ED3C-4941-B08B-D9FC15CC0EDF}"/>
    <cellStyle name="Comma 3 2" xfId="9" xr:uid="{DEAD5E50-ED3D-4D64-9B06-F934F368ACE9}"/>
    <cellStyle name="Comma 4" xfId="10" xr:uid="{99582B9F-CDFC-4323-8310-113752FD6899}"/>
    <cellStyle name="Comma 4 2" xfId="11" xr:uid="{CC93D29A-B62B-4E03-B302-408D8DC338E0}"/>
    <cellStyle name="Comma 5" xfId="12" xr:uid="{80255DDD-708F-40E5-868E-198618802D96}"/>
    <cellStyle name="Comma 5 2" xfId="13" xr:uid="{F951E90C-39F2-4C8D-92F4-0405EA1B83FB}"/>
    <cellStyle name="Comma 6" xfId="14" xr:uid="{33FDF00B-367D-4F89-854C-477CF9F39BBA}"/>
    <cellStyle name="Comma 6 2" xfId="15" xr:uid="{C6D2D7DF-96EB-470B-BFE6-A70A374D571C}"/>
    <cellStyle name="Comma 7" xfId="16" xr:uid="{D6BAEC40-0885-437E-990F-2A03B9D7E3AC}"/>
    <cellStyle name="Comma 7 2" xfId="17" xr:uid="{771CED7E-0BE2-4367-9E6D-D21C73ED3306}"/>
    <cellStyle name="Comma 7 2 2" xfId="18" xr:uid="{41AFDFA7-260C-473F-8F83-BB40170127CE}"/>
    <cellStyle name="Comma 7 3" xfId="19" xr:uid="{59A2B18B-CB0D-4A51-88A7-5D613701FCCC}"/>
    <cellStyle name="Comma 7 4" xfId="20" xr:uid="{6C90B229-B54C-41CF-8C02-F66D335D5515}"/>
    <cellStyle name="Comma 8" xfId="21" xr:uid="{63E7FE28-0838-40DA-9C09-E92516C5D37B}"/>
    <cellStyle name="Currency" xfId="22" builtinId="4"/>
    <cellStyle name="Normal" xfId="0" builtinId="0"/>
    <cellStyle name="Normal 2" xfId="23" xr:uid="{C6004B12-6C7A-43D2-AD92-6B55C3A98E3A}"/>
    <cellStyle name="Normal 2 2" xfId="24" xr:uid="{9AC5B178-92ED-4619-99F8-DEEC0A5B6378}"/>
    <cellStyle name="Normal 2 2 2" xfId="25" xr:uid="{58D75FA7-FA6C-4EEA-AF0E-33D258E4B181}"/>
    <cellStyle name="Normal 2 3" xfId="26" xr:uid="{D3301B12-685B-45E4-B94E-5B082946D328}"/>
    <cellStyle name="Normal 2 3 2" xfId="27" xr:uid="{71F97C42-F5A9-42D7-A8A0-C99ED57D3B2D}"/>
    <cellStyle name="Normal 3" xfId="28" xr:uid="{E472D2AC-D8DB-47A4-8ADD-F9F12D3D8D0E}"/>
    <cellStyle name="Normal 3 2" xfId="29" xr:uid="{A43FBA31-0D4C-41AD-BFCF-373416CDB005}"/>
    <cellStyle name="Normal 4" xfId="30" xr:uid="{70EF4A5C-EF04-4FA6-B482-E9E11FA762A3}"/>
    <cellStyle name="Normal 4 2" xfId="31" xr:uid="{DBF676EA-BA12-4553-8BD6-B36817B6D1B3}"/>
    <cellStyle name="Normal 5" xfId="32" xr:uid="{74B7898A-2B84-402E-BC81-5E5CF32DE767}"/>
    <cellStyle name="Normal 5 2" xfId="33" xr:uid="{6B2BA93C-9327-4780-87D8-73E39F5B43D8}"/>
    <cellStyle name="Normal 6" xfId="34" xr:uid="{2B95BE3F-1526-4526-89B4-3DC9D79F02D7}"/>
    <cellStyle name="Normal 6 2" xfId="35" xr:uid="{CE616526-203D-4F45-AAC6-79E2090CDCEC}"/>
    <cellStyle name="Normal 7" xfId="36" xr:uid="{489201FF-4D96-4DB1-8BD4-8FB1F72D9A0A}"/>
    <cellStyle name="Normal 7 2" xfId="37" xr:uid="{7D92A8F4-CBF1-47E6-8E89-0B0102DDE0BB}"/>
    <cellStyle name="Normal 7 2 2" xfId="38" xr:uid="{E7A5CD29-0D3C-474B-98D4-7424E3464CD6}"/>
    <cellStyle name="Normal 8" xfId="39" xr:uid="{CBAA3F82-30F5-4BE1-BA1B-42018313D973}"/>
    <cellStyle name="Normal 8 2" xfId="40" xr:uid="{F0546E17-3F70-4BA6-9B02-FEEFF8A34834}"/>
    <cellStyle name="Normal 8 3" xfId="41" xr:uid="{69E3D448-03ED-4D73-8A12-2EEC90C69CB2}"/>
    <cellStyle name="Normal 8 4" xfId="42" xr:uid="{3FA23515-65A6-4649-B787-68FE163053D4}"/>
    <cellStyle name="Normal_AGOSTO 96" xfId="43" xr:uid="{1E4C1458-E50C-4D99-A569-6AC39623E870}"/>
    <cellStyle name="Percent" xfId="44" builtinId="5"/>
    <cellStyle name="Style 1" xfId="45" xr:uid="{266AC370-6A10-4C4C-91C9-F20CBD2BBB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6</xdr:row>
      <xdr:rowOff>66675</xdr:rowOff>
    </xdr:from>
    <xdr:to>
      <xdr:col>14</xdr:col>
      <xdr:colOff>228600</xdr:colOff>
      <xdr:row>35</xdr:row>
      <xdr:rowOff>85725</xdr:rowOff>
    </xdr:to>
    <xdr:sp macro="" textlink="">
      <xdr:nvSpPr>
        <xdr:cNvPr id="3074" name="Object 1">
          <a:extLst>
            <a:ext uri="{FF2B5EF4-FFF2-40B4-BE49-F238E27FC236}">
              <a16:creationId xmlns:a16="http://schemas.microsoft.com/office/drawing/2014/main" id="{3DDF0D85-CFB5-85C0-C9C4-BDAAE314B054}"/>
            </a:ext>
          </a:extLst>
        </xdr:cNvPr>
        <xdr:cNvSpPr>
          <a:spLocks noChangeArrowheads="1" noChangeShapeType="1"/>
        </xdr:cNvSpPr>
      </xdr:nvSpPr>
      <xdr:spPr bwMode="auto">
        <a:xfrm>
          <a:off x="457200" y="1152525"/>
          <a:ext cx="11563350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6</xdr:row>
      <xdr:rowOff>152400</xdr:rowOff>
    </xdr:from>
    <xdr:to>
      <xdr:col>5</xdr:col>
      <xdr:colOff>76200</xdr:colOff>
      <xdr:row>7</xdr:row>
      <xdr:rowOff>152400</xdr:rowOff>
    </xdr:to>
    <xdr:sp macro="" textlink="">
      <xdr:nvSpPr>
        <xdr:cNvPr id="1026" name="Object 1">
          <a:extLst>
            <a:ext uri="{FF2B5EF4-FFF2-40B4-BE49-F238E27FC236}">
              <a16:creationId xmlns:a16="http://schemas.microsoft.com/office/drawing/2014/main" id="{BF502D93-781C-40E0-2A90-98431185CAF2}"/>
            </a:ext>
          </a:extLst>
        </xdr:cNvPr>
        <xdr:cNvSpPr>
          <a:spLocks noChangeArrowheads="1" noChangeShapeType="1"/>
        </xdr:cNvSpPr>
      </xdr:nvSpPr>
      <xdr:spPr bwMode="auto">
        <a:xfrm>
          <a:off x="457200" y="1295400"/>
          <a:ext cx="4657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72DD-E677-4ED0-ADA8-83859C2EACB5}">
  <sheetPr>
    <tabColor rgb="FFC00000"/>
  </sheetPr>
  <dimension ref="A1:M27"/>
  <sheetViews>
    <sheetView showGridLines="0" zoomScaleSheetLayoutView="100" workbookViewId="0">
      <selection activeCell="I24" sqref="I24"/>
    </sheetView>
  </sheetViews>
  <sheetFormatPr defaultRowHeight="20.100000000000001" customHeight="1"/>
  <cols>
    <col min="1" max="1" width="4.28515625" customWidth="1"/>
    <col min="2" max="2" width="18" customWidth="1"/>
    <col min="3" max="4" width="10.85546875" style="7" bestFit="1" customWidth="1"/>
    <col min="5" max="9" width="10.85546875" bestFit="1" customWidth="1"/>
    <col min="10" max="10" width="11.85546875" bestFit="1" customWidth="1"/>
    <col min="11" max="11" width="12.85546875" bestFit="1" customWidth="1"/>
    <col min="12" max="12" width="12" style="159" customWidth="1"/>
    <col min="13" max="13" width="11.140625" style="13" customWidth="1"/>
  </cols>
  <sheetData>
    <row r="1" spans="1:13" ht="20.100000000000001" customHeight="1">
      <c r="A1" s="273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20.100000000000001" customHeight="1">
      <c r="A2" s="275" t="s">
        <v>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 ht="20.100000000000001" customHeight="1">
      <c r="A3" s="159"/>
      <c r="B3" s="159"/>
      <c r="E3" s="7"/>
      <c r="F3" s="7"/>
      <c r="G3" s="7"/>
      <c r="H3" s="7"/>
      <c r="I3" s="7"/>
      <c r="J3" s="159"/>
      <c r="K3" s="159"/>
    </row>
    <row r="4" spans="1:13" ht="20.100000000000001" customHeight="1">
      <c r="A4" s="159"/>
      <c r="B4" s="159"/>
      <c r="C4" s="186" t="s">
        <v>2</v>
      </c>
      <c r="D4" s="186" t="s">
        <v>3</v>
      </c>
      <c r="E4" s="186" t="s">
        <v>4</v>
      </c>
      <c r="F4" s="186" t="s">
        <v>5</v>
      </c>
      <c r="G4" s="186" t="s">
        <v>6</v>
      </c>
      <c r="H4" s="186" t="s">
        <v>7</v>
      </c>
      <c r="I4" s="186" t="s">
        <v>8</v>
      </c>
      <c r="J4" s="186" t="s">
        <v>9</v>
      </c>
      <c r="K4" s="186" t="s">
        <v>10</v>
      </c>
      <c r="L4" s="186" t="s">
        <v>11</v>
      </c>
      <c r="M4" s="186" t="s">
        <v>12</v>
      </c>
    </row>
    <row r="5" spans="1:13" ht="20.100000000000001" customHeight="1">
      <c r="A5" s="159"/>
      <c r="B5" s="159"/>
      <c r="C5" s="107"/>
      <c r="D5" s="107"/>
      <c r="E5" s="107"/>
      <c r="F5" s="107"/>
      <c r="G5" s="107"/>
      <c r="H5" s="107"/>
      <c r="I5" s="107"/>
      <c r="J5" s="107"/>
      <c r="K5" s="107"/>
    </row>
    <row r="6" spans="1:13" ht="20.100000000000001" customHeight="1">
      <c r="A6" s="187" t="s">
        <v>13</v>
      </c>
      <c r="B6" s="187"/>
      <c r="C6" s="188">
        <f t="shared" ref="C6:M6" si="0">C8+C11</f>
        <v>4907753</v>
      </c>
      <c r="D6" s="188">
        <f t="shared" si="0"/>
        <v>4364061</v>
      </c>
      <c r="E6" s="188">
        <f t="shared" si="0"/>
        <v>4402345</v>
      </c>
      <c r="F6" s="188">
        <f t="shared" si="0"/>
        <v>4889162</v>
      </c>
      <c r="G6" s="188">
        <f t="shared" si="0"/>
        <v>5072842</v>
      </c>
      <c r="H6" s="188">
        <f t="shared" si="0"/>
        <v>5022120</v>
      </c>
      <c r="I6" s="188">
        <f t="shared" si="0"/>
        <v>5062406</v>
      </c>
      <c r="J6" s="188">
        <f t="shared" si="0"/>
        <v>5213099</v>
      </c>
      <c r="K6" s="188">
        <f t="shared" si="0"/>
        <v>4415262</v>
      </c>
      <c r="L6" s="188">
        <f t="shared" si="0"/>
        <v>4379155</v>
      </c>
      <c r="M6" s="188">
        <f t="shared" si="0"/>
        <v>4213673</v>
      </c>
    </row>
    <row r="7" spans="1:13" ht="20.100000000000001" customHeight="1">
      <c r="A7" s="159"/>
      <c r="B7" s="159"/>
      <c r="C7" s="107"/>
      <c r="D7" s="107"/>
      <c r="E7" s="108"/>
      <c r="F7" s="108"/>
      <c r="G7" s="108"/>
      <c r="H7" s="108"/>
      <c r="I7" s="107"/>
      <c r="J7" s="107"/>
      <c r="K7" s="107"/>
    </row>
    <row r="8" spans="1:13" ht="20.100000000000001" customHeight="1">
      <c r="A8" s="159" t="s">
        <v>14</v>
      </c>
      <c r="B8" s="159"/>
      <c r="C8" s="109">
        <f t="shared" ref="C8:J8" si="1">C9+C10</f>
        <v>3551196</v>
      </c>
      <c r="D8" s="109">
        <f t="shared" si="1"/>
        <v>3087096</v>
      </c>
      <c r="E8" s="109">
        <f t="shared" si="1"/>
        <v>3238408</v>
      </c>
      <c r="F8" s="109">
        <f t="shared" si="1"/>
        <v>3540999</v>
      </c>
      <c r="G8" s="109">
        <f t="shared" si="1"/>
        <v>3685917</v>
      </c>
      <c r="H8" s="109">
        <f t="shared" si="1"/>
        <v>3722005</v>
      </c>
      <c r="I8" s="109">
        <f t="shared" si="1"/>
        <v>3686973</v>
      </c>
      <c r="J8" s="109">
        <f t="shared" si="1"/>
        <v>3716246</v>
      </c>
      <c r="K8" s="252">
        <v>3183252</v>
      </c>
      <c r="L8" s="252">
        <v>3185606</v>
      </c>
      <c r="M8" s="252">
        <v>3047915</v>
      </c>
    </row>
    <row r="9" spans="1:13" ht="20.100000000000001" customHeight="1">
      <c r="A9" s="159"/>
      <c r="B9" s="159" t="s">
        <v>15</v>
      </c>
      <c r="C9" s="109">
        <v>1186775</v>
      </c>
      <c r="D9" s="109">
        <v>1147778</v>
      </c>
      <c r="E9" s="106">
        <v>1239243</v>
      </c>
      <c r="F9" s="106">
        <v>1307022</v>
      </c>
      <c r="G9" s="106">
        <v>1361643</v>
      </c>
      <c r="H9" s="106">
        <v>1424166</v>
      </c>
      <c r="I9" s="106">
        <v>1353376</v>
      </c>
      <c r="J9" s="261">
        <v>1342810</v>
      </c>
      <c r="K9" s="262">
        <v>1277749</v>
      </c>
      <c r="L9" s="262">
        <v>1349449</v>
      </c>
      <c r="M9" s="262">
        <v>1408536</v>
      </c>
    </row>
    <row r="10" spans="1:13" ht="20.100000000000001" customHeight="1">
      <c r="A10" s="159"/>
      <c r="B10" s="159" t="s">
        <v>16</v>
      </c>
      <c r="C10" s="109">
        <v>2364421</v>
      </c>
      <c r="D10" s="109">
        <v>1939318</v>
      </c>
      <c r="E10" s="106">
        <v>1999165</v>
      </c>
      <c r="F10" s="106">
        <v>2233977</v>
      </c>
      <c r="G10" s="106">
        <v>2324274</v>
      </c>
      <c r="H10" s="106">
        <v>2297839</v>
      </c>
      <c r="I10" s="106">
        <v>2333597</v>
      </c>
      <c r="J10" s="261">
        <v>2373436</v>
      </c>
      <c r="K10" s="262">
        <v>1905503</v>
      </c>
      <c r="L10" s="262">
        <v>1836157</v>
      </c>
      <c r="M10" s="262">
        <v>1639379</v>
      </c>
    </row>
    <row r="11" spans="1:13" ht="20.100000000000001" customHeight="1">
      <c r="A11" s="159" t="s">
        <v>17</v>
      </c>
      <c r="B11" s="159"/>
      <c r="C11" s="109">
        <v>1356557</v>
      </c>
      <c r="D11" s="109">
        <v>1276965</v>
      </c>
      <c r="E11" s="106">
        <v>1163937</v>
      </c>
      <c r="F11" s="106">
        <v>1348163</v>
      </c>
      <c r="G11" s="106">
        <v>1386925</v>
      </c>
      <c r="H11" s="106">
        <v>1300115</v>
      </c>
      <c r="I11" s="106">
        <v>1375433</v>
      </c>
      <c r="J11" s="257">
        <v>1496853</v>
      </c>
      <c r="K11" s="262">
        <v>1232010</v>
      </c>
      <c r="L11" s="262">
        <v>1193549</v>
      </c>
      <c r="M11" s="262">
        <v>1165758</v>
      </c>
    </row>
    <row r="12" spans="1:13" ht="20.100000000000001" customHeight="1">
      <c r="A12" s="159"/>
      <c r="B12" s="159"/>
      <c r="C12" s="107"/>
      <c r="D12" s="107"/>
      <c r="E12" s="108"/>
      <c r="F12" s="108"/>
      <c r="G12" s="108"/>
      <c r="H12" s="108"/>
      <c r="I12" s="108"/>
      <c r="J12" s="258"/>
      <c r="K12" s="258"/>
      <c r="L12" s="113"/>
      <c r="M12" s="113"/>
    </row>
    <row r="13" spans="1:13" ht="20.100000000000001" customHeight="1">
      <c r="A13" s="187" t="s">
        <v>18</v>
      </c>
      <c r="B13" s="187"/>
      <c r="C13" s="189">
        <f t="shared" ref="C13:M13" si="2">C14+C17</f>
        <v>2728111</v>
      </c>
      <c r="D13" s="189">
        <f t="shared" si="2"/>
        <v>2486424</v>
      </c>
      <c r="E13" s="189">
        <f t="shared" si="2"/>
        <v>2676625</v>
      </c>
      <c r="F13" s="189">
        <f t="shared" si="2"/>
        <v>3024069</v>
      </c>
      <c r="G13" s="189">
        <f t="shared" si="2"/>
        <v>3238555</v>
      </c>
      <c r="H13" s="189">
        <f t="shared" si="2"/>
        <v>3369270</v>
      </c>
      <c r="I13" s="189">
        <f t="shared" si="2"/>
        <v>3413919</v>
      </c>
      <c r="J13" s="189">
        <f t="shared" si="2"/>
        <v>3534963</v>
      </c>
      <c r="K13" s="189">
        <f t="shared" si="2"/>
        <v>3175764</v>
      </c>
      <c r="L13" s="189">
        <f t="shared" si="2"/>
        <v>3210738</v>
      </c>
      <c r="M13" s="189">
        <f t="shared" si="2"/>
        <v>3142798</v>
      </c>
    </row>
    <row r="14" spans="1:13" ht="20.100000000000001" customHeight="1">
      <c r="A14" s="159" t="s">
        <v>19</v>
      </c>
      <c r="B14" s="159"/>
      <c r="C14" s="110">
        <f t="shared" ref="C14:M14" si="3">C15+C16</f>
        <v>2596461</v>
      </c>
      <c r="D14" s="110">
        <f t="shared" si="3"/>
        <v>2357344</v>
      </c>
      <c r="E14" s="110">
        <f t="shared" si="3"/>
        <v>2549425</v>
      </c>
      <c r="F14" s="110">
        <f t="shared" si="3"/>
        <v>2870069</v>
      </c>
      <c r="G14" s="110">
        <f t="shared" si="3"/>
        <v>3071445</v>
      </c>
      <c r="H14" s="110">
        <f t="shared" si="3"/>
        <v>3208390</v>
      </c>
      <c r="I14" s="110">
        <f t="shared" si="3"/>
        <v>3241719</v>
      </c>
      <c r="J14" s="110">
        <f t="shared" si="3"/>
        <v>3340613</v>
      </c>
      <c r="K14" s="110">
        <f t="shared" si="3"/>
        <v>3002081</v>
      </c>
      <c r="L14" s="110">
        <f t="shared" si="3"/>
        <v>3039351</v>
      </c>
      <c r="M14" s="110">
        <f t="shared" si="3"/>
        <v>2973457</v>
      </c>
    </row>
    <row r="15" spans="1:13" ht="20.100000000000001" customHeight="1">
      <c r="A15" s="159"/>
      <c r="B15" s="159" t="s">
        <v>20</v>
      </c>
      <c r="C15" s="111">
        <v>1167529</v>
      </c>
      <c r="D15" s="111">
        <v>1132366</v>
      </c>
      <c r="E15" s="111">
        <v>1236093</v>
      </c>
      <c r="F15" s="111">
        <v>1334089</v>
      </c>
      <c r="G15" s="111">
        <v>1428361</v>
      </c>
      <c r="H15" s="111">
        <v>1537668</v>
      </c>
      <c r="I15" s="111">
        <v>1501583</v>
      </c>
      <c r="J15" s="259">
        <v>1526267</v>
      </c>
      <c r="K15" s="269">
        <v>1464387</v>
      </c>
      <c r="L15" s="269">
        <v>1541792</v>
      </c>
      <c r="M15" s="269">
        <v>1618929</v>
      </c>
    </row>
    <row r="16" spans="1:13" ht="20.100000000000001" customHeight="1">
      <c r="A16" s="159"/>
      <c r="B16" s="159" t="s">
        <v>21</v>
      </c>
      <c r="C16" s="111">
        <v>1428932</v>
      </c>
      <c r="D16" s="111">
        <v>1224978</v>
      </c>
      <c r="E16" s="111">
        <v>1313332</v>
      </c>
      <c r="F16" s="111">
        <v>1535980</v>
      </c>
      <c r="G16" s="111">
        <v>1643084</v>
      </c>
      <c r="H16" s="111">
        <v>1670722</v>
      </c>
      <c r="I16" s="111">
        <v>1740136</v>
      </c>
      <c r="J16" s="259">
        <v>1814346</v>
      </c>
      <c r="K16" s="269">
        <v>1537694</v>
      </c>
      <c r="L16" s="269">
        <v>1497559</v>
      </c>
      <c r="M16" s="269">
        <v>1354528</v>
      </c>
    </row>
    <row r="17" spans="1:13" ht="20.100000000000001" customHeight="1">
      <c r="A17" s="159" t="s">
        <v>22</v>
      </c>
      <c r="B17" s="159"/>
      <c r="C17" s="111">
        <f>131.65*1000</f>
        <v>131650</v>
      </c>
      <c r="D17" s="111">
        <f>129.08*1000</f>
        <v>129080.00000000001</v>
      </c>
      <c r="E17" s="111">
        <f>127.2*1000</f>
        <v>127200</v>
      </c>
      <c r="F17" s="111">
        <f>154*1000</f>
        <v>154000</v>
      </c>
      <c r="G17" s="111">
        <f>167.11*1000</f>
        <v>167110</v>
      </c>
      <c r="H17" s="111">
        <f>160.88*1000</f>
        <v>160880</v>
      </c>
      <c r="I17" s="111">
        <f>172.2*1000</f>
        <v>172200</v>
      </c>
      <c r="J17" s="259">
        <f>194.35*1000</f>
        <v>194350</v>
      </c>
      <c r="K17" s="260">
        <v>173683</v>
      </c>
      <c r="L17" s="260">
        <v>171387</v>
      </c>
      <c r="M17" s="260">
        <v>169341</v>
      </c>
    </row>
    <row r="18" spans="1:13" ht="28.5" customHeight="1">
      <c r="A18" s="154" t="s">
        <v>23</v>
      </c>
      <c r="B18" s="159"/>
      <c r="E18" s="7"/>
      <c r="F18" s="7"/>
      <c r="G18" s="7"/>
      <c r="H18" s="7"/>
      <c r="I18" s="7"/>
      <c r="J18" s="159"/>
      <c r="K18" s="159"/>
    </row>
    <row r="19" spans="1:13" ht="15" customHeight="1">
      <c r="A19" s="153" t="s">
        <v>24</v>
      </c>
      <c r="B19" s="154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3" ht="15" customHeight="1">
      <c r="A20" s="153" t="s">
        <v>25</v>
      </c>
      <c r="B20" s="154"/>
      <c r="C20" s="159"/>
      <c r="D20" s="159"/>
      <c r="E20" s="159"/>
      <c r="F20" s="159"/>
      <c r="G20" s="159"/>
      <c r="H20" s="159"/>
      <c r="I20" s="159"/>
      <c r="J20" s="159"/>
      <c r="K20" s="159"/>
    </row>
    <row r="21" spans="1:13" ht="15" customHeight="1">
      <c r="A21" s="153" t="s">
        <v>26</v>
      </c>
      <c r="B21" s="154"/>
      <c r="C21" s="159"/>
      <c r="D21" s="159"/>
      <c r="E21" s="159"/>
      <c r="F21" s="159"/>
      <c r="G21" s="159"/>
      <c r="H21" s="159"/>
      <c r="I21" s="159"/>
      <c r="J21" s="159"/>
      <c r="K21" s="159"/>
    </row>
    <row r="22" spans="1:13" ht="15" customHeight="1">
      <c r="A22" s="154" t="s">
        <v>27</v>
      </c>
      <c r="B22" s="154"/>
      <c r="C22" s="159"/>
      <c r="D22" s="159"/>
      <c r="E22" s="159"/>
      <c r="F22" s="159"/>
      <c r="G22" s="159"/>
      <c r="H22" s="159"/>
      <c r="I22" s="159"/>
      <c r="J22" s="159"/>
      <c r="K22" s="159"/>
    </row>
    <row r="23" spans="1:13" ht="15" customHeight="1">
      <c r="A23" s="154" t="s">
        <v>28</v>
      </c>
      <c r="B23" s="154"/>
      <c r="E23" s="159"/>
      <c r="F23" s="159"/>
      <c r="G23" s="159"/>
      <c r="H23" s="159"/>
      <c r="I23" s="159"/>
      <c r="J23" s="159"/>
      <c r="K23" s="159"/>
    </row>
    <row r="24" spans="1:13" ht="15" customHeight="1">
      <c r="A24" s="154" t="s">
        <v>29</v>
      </c>
      <c r="B24" s="154"/>
      <c r="E24" s="159"/>
      <c r="F24" s="159"/>
      <c r="G24" s="159"/>
      <c r="H24" s="159"/>
      <c r="I24" s="159"/>
      <c r="J24" s="159"/>
      <c r="K24" s="159"/>
    </row>
    <row r="25" spans="1:13" ht="20.100000000000001" customHeight="1">
      <c r="A25" s="159"/>
      <c r="B25" s="159"/>
      <c r="E25" s="159"/>
      <c r="F25" s="159"/>
      <c r="G25" s="159"/>
      <c r="H25" s="159"/>
      <c r="I25" s="159"/>
      <c r="J25" s="159"/>
      <c r="K25" s="251"/>
      <c r="L25" s="256"/>
      <c r="M25" s="254"/>
    </row>
    <row r="26" spans="1:13" ht="20.100000000000001" customHeight="1">
      <c r="A26" s="159"/>
      <c r="B26" s="159"/>
      <c r="E26" s="159"/>
      <c r="F26" s="159"/>
      <c r="G26" s="159"/>
      <c r="H26" s="159"/>
      <c r="I26" s="159"/>
      <c r="J26" s="159"/>
      <c r="K26" s="159"/>
      <c r="L26" s="255"/>
    </row>
    <row r="27" spans="1:13" ht="20.100000000000001" customHeight="1">
      <c r="A27" s="159"/>
      <c r="B27" s="159"/>
      <c r="E27" s="159"/>
      <c r="F27" s="159"/>
      <c r="G27" s="159"/>
      <c r="H27" s="159"/>
      <c r="I27" s="159"/>
      <c r="J27" s="159"/>
      <c r="K27" s="159"/>
      <c r="L27" s="253"/>
    </row>
  </sheetData>
  <mergeCells count="2">
    <mergeCell ref="A1:M1"/>
    <mergeCell ref="A2:M2"/>
  </mergeCells>
  <phoneticPr fontId="35" type="noConversion"/>
  <printOptions horizontalCentered="1"/>
  <pageMargins left="0.25" right="0.25" top="0.75" bottom="0.75" header="0.3" footer="0.3"/>
  <pageSetup scale="75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53A1-D24D-4CB4-A14B-A6C81A21770E}">
  <sheetPr>
    <tabColor rgb="FFC00000"/>
  </sheetPr>
  <dimension ref="A1:M162"/>
  <sheetViews>
    <sheetView showGridLines="0" tabSelected="1" workbookViewId="0">
      <selection sqref="A1:M1"/>
    </sheetView>
  </sheetViews>
  <sheetFormatPr defaultRowHeight="11.25"/>
  <cols>
    <col min="1" max="1" width="21.5703125" style="94" bestFit="1" customWidth="1"/>
    <col min="2" max="2" width="8.85546875" style="94" bestFit="1" customWidth="1"/>
    <col min="3" max="4" width="7.85546875" style="94" bestFit="1" customWidth="1"/>
    <col min="5" max="11" width="7.85546875" style="95" bestFit="1" customWidth="1"/>
    <col min="12" max="12" width="9.140625" style="95"/>
    <col min="13" max="13" width="9.140625" style="104"/>
    <col min="14" max="16384" width="9.140625" style="94"/>
  </cols>
  <sheetData>
    <row r="1" spans="1:13" ht="15.75" customHeight="1">
      <c r="A1" s="294" t="s">
        <v>372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>
      <c r="A2" s="296" t="s">
        <v>373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5.75" customHeight="1">
      <c r="A3" s="296" t="s">
        <v>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6" spans="1:13">
      <c r="B6" s="226" t="s">
        <v>50</v>
      </c>
      <c r="C6" s="226" t="s">
        <v>2</v>
      </c>
      <c r="D6" s="226" t="s">
        <v>3</v>
      </c>
      <c r="E6" s="227" t="s">
        <v>4</v>
      </c>
      <c r="F6" s="227" t="s">
        <v>5</v>
      </c>
      <c r="G6" s="227" t="s">
        <v>51</v>
      </c>
      <c r="H6" s="227" t="s">
        <v>7</v>
      </c>
      <c r="I6" s="227" t="s">
        <v>8</v>
      </c>
      <c r="J6" s="227" t="s">
        <v>9</v>
      </c>
      <c r="K6" s="227" t="s">
        <v>82</v>
      </c>
      <c r="L6" s="227" t="s">
        <v>11</v>
      </c>
      <c r="M6" s="227" t="s">
        <v>12</v>
      </c>
    </row>
    <row r="7" spans="1:13">
      <c r="M7" s="95"/>
    </row>
    <row r="8" spans="1:13">
      <c r="A8" s="228" t="s">
        <v>374</v>
      </c>
      <c r="B8" s="229">
        <f>SUM(B9:B61)</f>
        <v>900016</v>
      </c>
      <c r="C8" s="229">
        <f t="shared" ref="C8:M8" si="0">SUM(C9:C61)</f>
        <v>1066731</v>
      </c>
      <c r="D8" s="229">
        <f t="shared" si="0"/>
        <v>1033164</v>
      </c>
      <c r="E8" s="229">
        <f t="shared" si="0"/>
        <v>1131949</v>
      </c>
      <c r="F8" s="229">
        <f t="shared" si="0"/>
        <v>1198716</v>
      </c>
      <c r="G8" s="229">
        <f t="shared" si="0"/>
        <v>1251066</v>
      </c>
      <c r="H8" s="229">
        <f t="shared" si="0"/>
        <v>1310339</v>
      </c>
      <c r="I8" s="229">
        <f t="shared" si="0"/>
        <v>1230577</v>
      </c>
      <c r="J8" s="229">
        <f t="shared" si="0"/>
        <v>1192241</v>
      </c>
      <c r="K8" s="229">
        <f t="shared" si="0"/>
        <v>1150426</v>
      </c>
      <c r="L8" s="229">
        <f t="shared" si="0"/>
        <v>1216868.9999999998</v>
      </c>
      <c r="M8" s="229">
        <f t="shared" si="0"/>
        <v>1273436.6466844715</v>
      </c>
    </row>
    <row r="9" spans="1:13">
      <c r="A9" s="324" t="s">
        <v>375</v>
      </c>
      <c r="B9" s="325">
        <v>5139</v>
      </c>
      <c r="C9" s="325">
        <v>5083</v>
      </c>
      <c r="D9" s="325">
        <v>4936</v>
      </c>
      <c r="E9" s="325">
        <v>4060</v>
      </c>
      <c r="F9" s="325">
        <v>3763</v>
      </c>
      <c r="G9" s="325">
        <v>3918</v>
      </c>
      <c r="H9" s="325">
        <v>4581</v>
      </c>
      <c r="I9" s="96">
        <v>5812</v>
      </c>
      <c r="J9" s="102">
        <v>5329</v>
      </c>
      <c r="K9" s="102">
        <v>5420</v>
      </c>
      <c r="L9" s="225">
        <v>6054.81472494025</v>
      </c>
      <c r="M9" s="220">
        <v>12288.613770497557</v>
      </c>
    </row>
    <row r="10" spans="1:13">
      <c r="A10" s="324" t="s">
        <v>376</v>
      </c>
      <c r="B10" s="325">
        <v>1456</v>
      </c>
      <c r="C10" s="325">
        <v>2053</v>
      </c>
      <c r="D10" s="325">
        <v>1822</v>
      </c>
      <c r="E10" s="325">
        <v>1692</v>
      </c>
      <c r="F10" s="325">
        <v>1446</v>
      </c>
      <c r="G10" s="325">
        <v>1783</v>
      </c>
      <c r="H10" s="325">
        <v>1864</v>
      </c>
      <c r="I10" s="96">
        <v>1965</v>
      </c>
      <c r="J10" s="102">
        <v>2058</v>
      </c>
      <c r="K10" s="102">
        <v>1433</v>
      </c>
      <c r="L10" s="225">
        <v>1388.1457347744224</v>
      </c>
      <c r="M10" s="220">
        <v>1436.1077962530092</v>
      </c>
    </row>
    <row r="11" spans="1:13">
      <c r="A11" s="324" t="s">
        <v>377</v>
      </c>
      <c r="B11" s="325">
        <v>8655</v>
      </c>
      <c r="C11" s="325">
        <v>11561</v>
      </c>
      <c r="D11" s="325">
        <v>10558</v>
      </c>
      <c r="E11" s="325">
        <v>10028</v>
      </c>
      <c r="F11" s="325">
        <v>10507</v>
      </c>
      <c r="G11" s="325">
        <v>11211</v>
      </c>
      <c r="H11" s="325">
        <v>11965</v>
      </c>
      <c r="I11" s="96">
        <v>12247</v>
      </c>
      <c r="J11" s="102">
        <v>29996</v>
      </c>
      <c r="K11" s="102">
        <v>11004</v>
      </c>
      <c r="L11" s="225">
        <v>11438.508029212857</v>
      </c>
      <c r="M11" s="220">
        <v>12066.945880911173</v>
      </c>
    </row>
    <row r="12" spans="1:13">
      <c r="A12" s="324" t="s">
        <v>378</v>
      </c>
      <c r="B12" s="325">
        <v>2791</v>
      </c>
      <c r="C12" s="325">
        <v>4413</v>
      </c>
      <c r="D12" s="325">
        <v>3890</v>
      </c>
      <c r="E12" s="325">
        <v>3471</v>
      </c>
      <c r="F12" s="325">
        <v>3303</v>
      </c>
      <c r="G12" s="325">
        <v>2541</v>
      </c>
      <c r="H12" s="325">
        <v>2828</v>
      </c>
      <c r="I12" s="96">
        <v>2936</v>
      </c>
      <c r="J12" s="102">
        <v>3336</v>
      </c>
      <c r="K12" s="102">
        <v>3248</v>
      </c>
      <c r="L12" s="225">
        <v>3249.6005513455202</v>
      </c>
      <c r="M12" s="220">
        <v>3568.0560749730198</v>
      </c>
    </row>
    <row r="13" spans="1:13">
      <c r="A13" s="324" t="s">
        <v>379</v>
      </c>
      <c r="B13" s="325">
        <v>49295</v>
      </c>
      <c r="C13" s="325">
        <v>58899</v>
      </c>
      <c r="D13" s="325">
        <v>57933</v>
      </c>
      <c r="E13" s="325">
        <v>58269</v>
      </c>
      <c r="F13" s="325">
        <v>60496</v>
      </c>
      <c r="G13" s="325">
        <v>67655</v>
      </c>
      <c r="H13" s="325">
        <v>70320</v>
      </c>
      <c r="I13" s="96">
        <v>74403</v>
      </c>
      <c r="J13" s="102">
        <v>65907</v>
      </c>
      <c r="K13" s="102">
        <v>68941</v>
      </c>
      <c r="L13" s="225">
        <v>71601.570984030288</v>
      </c>
      <c r="M13" s="220">
        <v>74000.893926465404</v>
      </c>
    </row>
    <row r="14" spans="1:13">
      <c r="A14" s="324" t="s">
        <v>380</v>
      </c>
      <c r="B14" s="325">
        <v>9213</v>
      </c>
      <c r="C14" s="325">
        <v>11678</v>
      </c>
      <c r="D14" s="325">
        <v>9842</v>
      </c>
      <c r="E14" s="325">
        <v>11275</v>
      </c>
      <c r="F14" s="325">
        <v>12924</v>
      </c>
      <c r="G14" s="325">
        <v>13036</v>
      </c>
      <c r="H14" s="325">
        <v>13814</v>
      </c>
      <c r="I14" s="96">
        <v>13267</v>
      </c>
      <c r="J14" s="102">
        <v>11977</v>
      </c>
      <c r="K14" s="102">
        <v>13145</v>
      </c>
      <c r="L14" s="225">
        <v>13162.372259805526</v>
      </c>
      <c r="M14" s="220">
        <v>13150.181234298212</v>
      </c>
    </row>
    <row r="15" spans="1:13">
      <c r="A15" s="324" t="s">
        <v>381</v>
      </c>
      <c r="B15" s="325">
        <v>21457</v>
      </c>
      <c r="C15" s="325">
        <v>25523</v>
      </c>
      <c r="D15" s="325">
        <v>25293</v>
      </c>
      <c r="E15" s="325">
        <v>29251</v>
      </c>
      <c r="F15" s="325">
        <v>27116</v>
      </c>
      <c r="G15" s="325">
        <v>29818</v>
      </c>
      <c r="H15" s="325">
        <v>33164</v>
      </c>
      <c r="I15" s="96">
        <v>30789</v>
      </c>
      <c r="J15" s="102">
        <v>25025</v>
      </c>
      <c r="K15" s="102">
        <v>25829</v>
      </c>
      <c r="L15" s="225">
        <v>27069.026769139804</v>
      </c>
      <c r="M15" s="220">
        <v>30379.233338010159</v>
      </c>
    </row>
    <row r="16" spans="1:13" s="98" customFormat="1">
      <c r="A16" s="324" t="s">
        <v>382</v>
      </c>
      <c r="B16" s="325">
        <v>3626</v>
      </c>
      <c r="C16" s="325">
        <v>3193</v>
      </c>
      <c r="D16" s="325">
        <v>2713</v>
      </c>
      <c r="E16" s="325">
        <v>4327</v>
      </c>
      <c r="F16" s="325">
        <v>4936</v>
      </c>
      <c r="G16" s="325">
        <v>3433</v>
      </c>
      <c r="H16" s="325">
        <v>3391</v>
      </c>
      <c r="I16" s="97">
        <v>4206</v>
      </c>
      <c r="J16" s="102">
        <v>2997</v>
      </c>
      <c r="K16" s="102">
        <v>4370</v>
      </c>
      <c r="L16" s="225">
        <v>6901.2334529725349</v>
      </c>
      <c r="M16" s="220">
        <v>8597.4625269521694</v>
      </c>
    </row>
    <row r="17" spans="1:13">
      <c r="A17" s="324" t="s">
        <v>383</v>
      </c>
      <c r="B17" s="325">
        <v>96232</v>
      </c>
      <c r="C17" s="325">
        <v>109287</v>
      </c>
      <c r="D17" s="325">
        <v>124254</v>
      </c>
      <c r="E17" s="325">
        <v>128875</v>
      </c>
      <c r="F17" s="325">
        <v>149841</v>
      </c>
      <c r="G17" s="325">
        <v>181221</v>
      </c>
      <c r="H17" s="325">
        <v>196627</v>
      </c>
      <c r="I17" s="96">
        <v>190424</v>
      </c>
      <c r="J17" s="102">
        <v>178195</v>
      </c>
      <c r="K17" s="102">
        <v>185446</v>
      </c>
      <c r="L17" s="225">
        <v>188029.47792991481</v>
      </c>
      <c r="M17" s="220">
        <v>203599.02087400714</v>
      </c>
    </row>
    <row r="18" spans="1:13">
      <c r="A18" s="324" t="s">
        <v>384</v>
      </c>
      <c r="B18" s="325">
        <v>29926</v>
      </c>
      <c r="C18" s="325">
        <v>37065</v>
      </c>
      <c r="D18" s="325">
        <v>34371</v>
      </c>
      <c r="E18" s="325">
        <v>33173</v>
      </c>
      <c r="F18" s="325">
        <v>34186</v>
      </c>
      <c r="G18" s="325">
        <v>40498</v>
      </c>
      <c r="H18" s="325">
        <v>43444</v>
      </c>
      <c r="I18" s="96">
        <v>43574</v>
      </c>
      <c r="J18" s="102">
        <v>47602</v>
      </c>
      <c r="K18" s="102">
        <v>49492</v>
      </c>
      <c r="L18" s="225">
        <v>52133.996431466927</v>
      </c>
      <c r="M18" s="220">
        <v>59798.169100311512</v>
      </c>
    </row>
    <row r="19" spans="1:13">
      <c r="A19" s="324" t="s">
        <v>385</v>
      </c>
      <c r="B19" s="325">
        <v>682</v>
      </c>
      <c r="C19" s="325">
        <v>1273</v>
      </c>
      <c r="D19" s="325">
        <v>855</v>
      </c>
      <c r="E19" s="325">
        <v>815</v>
      </c>
      <c r="F19" s="325">
        <v>924</v>
      </c>
      <c r="G19" s="325">
        <v>723</v>
      </c>
      <c r="H19" s="325">
        <v>965</v>
      </c>
      <c r="I19" s="96">
        <v>1245</v>
      </c>
      <c r="J19" s="102">
        <v>2311</v>
      </c>
      <c r="K19" s="102">
        <v>1103</v>
      </c>
      <c r="L19" s="225">
        <v>801.98317220566264</v>
      </c>
      <c r="M19" s="220">
        <v>864.00908414816195</v>
      </c>
    </row>
    <row r="20" spans="1:13">
      <c r="A20" s="324" t="s">
        <v>386</v>
      </c>
      <c r="B20" s="325">
        <v>819</v>
      </c>
      <c r="C20" s="325">
        <v>1087</v>
      </c>
      <c r="D20" s="325">
        <v>1229</v>
      </c>
      <c r="E20" s="325">
        <v>1182</v>
      </c>
      <c r="F20" s="325">
        <v>1884</v>
      </c>
      <c r="G20" s="325">
        <v>1647</v>
      </c>
      <c r="H20" s="325">
        <v>1484</v>
      </c>
      <c r="I20" s="96">
        <v>1515</v>
      </c>
      <c r="J20" s="102">
        <v>1870</v>
      </c>
      <c r="K20" s="102">
        <v>1314</v>
      </c>
      <c r="L20" s="225">
        <v>1186.549518439874</v>
      </c>
      <c r="M20" s="220">
        <v>1759.2487969644872</v>
      </c>
    </row>
    <row r="21" spans="1:13">
      <c r="A21" s="324" t="s">
        <v>387</v>
      </c>
      <c r="B21" s="325">
        <v>52637</v>
      </c>
      <c r="C21" s="325">
        <v>62952</v>
      </c>
      <c r="D21" s="325">
        <v>56241</v>
      </c>
      <c r="E21" s="325">
        <v>50820</v>
      </c>
      <c r="F21" s="325">
        <v>50865</v>
      </c>
      <c r="G21" s="325">
        <v>49181</v>
      </c>
      <c r="H21" s="325">
        <v>52959</v>
      </c>
      <c r="I21" s="96">
        <v>52821</v>
      </c>
      <c r="J21" s="102">
        <v>55602</v>
      </c>
      <c r="K21" s="102">
        <v>55734</v>
      </c>
      <c r="L21" s="225">
        <v>59137.292601721187</v>
      </c>
      <c r="M21" s="220">
        <v>60370.032212486323</v>
      </c>
    </row>
    <row r="22" spans="1:13">
      <c r="A22" s="324" t="s">
        <v>388</v>
      </c>
      <c r="B22" s="325">
        <v>9590</v>
      </c>
      <c r="C22" s="325">
        <v>9094</v>
      </c>
      <c r="D22" s="325">
        <v>9966</v>
      </c>
      <c r="E22" s="325">
        <v>11571</v>
      </c>
      <c r="F22" s="325">
        <v>8700</v>
      </c>
      <c r="G22" s="325">
        <v>9318</v>
      </c>
      <c r="H22" s="325">
        <v>10523</v>
      </c>
      <c r="I22" s="96">
        <v>10837</v>
      </c>
      <c r="J22" s="102">
        <v>9694</v>
      </c>
      <c r="K22" s="102">
        <v>8940</v>
      </c>
      <c r="L22" s="225">
        <v>8926.6234987031276</v>
      </c>
      <c r="M22" s="220">
        <v>10662.263407499808</v>
      </c>
    </row>
    <row r="23" spans="1:13">
      <c r="A23" s="324" t="s">
        <v>389</v>
      </c>
      <c r="B23" s="325">
        <v>2563</v>
      </c>
      <c r="C23" s="325">
        <v>2996</v>
      </c>
      <c r="D23" s="325">
        <v>2530</v>
      </c>
      <c r="E23" s="325">
        <v>2684</v>
      </c>
      <c r="F23" s="325">
        <v>2929</v>
      </c>
      <c r="G23" s="325">
        <v>2971</v>
      </c>
      <c r="H23" s="325">
        <v>2905</v>
      </c>
      <c r="I23" s="96">
        <v>2649</v>
      </c>
      <c r="J23" s="102">
        <v>7631</v>
      </c>
      <c r="K23" s="102">
        <v>3101</v>
      </c>
      <c r="L23" s="225">
        <v>3216.398286739071</v>
      </c>
      <c r="M23" s="220">
        <v>3555.7942155345022</v>
      </c>
    </row>
    <row r="24" spans="1:13">
      <c r="A24" s="324" t="s">
        <v>390</v>
      </c>
      <c r="B24" s="325">
        <v>3404</v>
      </c>
      <c r="C24" s="325">
        <v>4567</v>
      </c>
      <c r="D24" s="325">
        <v>3910</v>
      </c>
      <c r="E24" s="325">
        <v>3171</v>
      </c>
      <c r="F24" s="325">
        <v>3621</v>
      </c>
      <c r="G24" s="325">
        <v>3032</v>
      </c>
      <c r="H24" s="325">
        <v>2982</v>
      </c>
      <c r="I24" s="96">
        <v>3027</v>
      </c>
      <c r="J24" s="102">
        <v>3000</v>
      </c>
      <c r="K24" s="102">
        <v>3053</v>
      </c>
      <c r="L24" s="225">
        <v>3333.1525388526834</v>
      </c>
      <c r="M24" s="220">
        <v>3638.2202250703167</v>
      </c>
    </row>
    <row r="25" spans="1:13">
      <c r="A25" s="324" t="s">
        <v>391</v>
      </c>
      <c r="B25" s="325">
        <v>5268</v>
      </c>
      <c r="C25" s="325">
        <v>4703</v>
      </c>
      <c r="D25" s="325">
        <v>4791</v>
      </c>
      <c r="E25" s="325">
        <v>6907</v>
      </c>
      <c r="F25" s="325">
        <v>5844</v>
      </c>
      <c r="G25" s="325">
        <v>5603</v>
      </c>
      <c r="H25" s="325">
        <v>5517</v>
      </c>
      <c r="I25" s="96">
        <v>5941</v>
      </c>
      <c r="J25" s="102">
        <v>5209</v>
      </c>
      <c r="K25" s="102">
        <v>4494</v>
      </c>
      <c r="L25" s="225">
        <v>4660.5800373538777</v>
      </c>
      <c r="M25" s="220">
        <v>5055.4872563549397</v>
      </c>
    </row>
    <row r="26" spans="1:13">
      <c r="A26" s="324" t="s">
        <v>392</v>
      </c>
      <c r="B26" s="325">
        <v>3659</v>
      </c>
      <c r="C26" s="325">
        <v>4379</v>
      </c>
      <c r="D26" s="325">
        <v>4894</v>
      </c>
      <c r="E26" s="325">
        <v>4532</v>
      </c>
      <c r="F26" s="325">
        <v>4661</v>
      </c>
      <c r="G26" s="325">
        <v>4145</v>
      </c>
      <c r="H26" s="325">
        <v>4080</v>
      </c>
      <c r="I26" s="96">
        <v>4554</v>
      </c>
      <c r="J26" s="102">
        <v>4598</v>
      </c>
      <c r="K26" s="102">
        <v>4939</v>
      </c>
      <c r="L26" s="225">
        <v>5510.5941092500898</v>
      </c>
      <c r="M26" s="220">
        <v>4942.0830769221302</v>
      </c>
    </row>
    <row r="27" spans="1:13">
      <c r="A27" s="324" t="s">
        <v>393</v>
      </c>
      <c r="B27" s="325">
        <v>1947</v>
      </c>
      <c r="C27" s="325">
        <v>2229</v>
      </c>
      <c r="D27" s="325">
        <v>2274</v>
      </c>
      <c r="E27" s="325">
        <v>4031</v>
      </c>
      <c r="F27" s="325">
        <v>3258</v>
      </c>
      <c r="G27" s="325">
        <v>2668</v>
      </c>
      <c r="H27" s="325">
        <v>2772</v>
      </c>
      <c r="I27" s="96">
        <v>3093</v>
      </c>
      <c r="J27" s="102">
        <v>6098</v>
      </c>
      <c r="K27" s="102">
        <v>4605</v>
      </c>
      <c r="L27" s="225">
        <v>4881.8373235940626</v>
      </c>
      <c r="M27" s="220">
        <v>5129.1165515261901</v>
      </c>
    </row>
    <row r="28" spans="1:13">
      <c r="A28" s="324" t="s">
        <v>394</v>
      </c>
      <c r="B28" s="325">
        <v>16062</v>
      </c>
      <c r="C28" s="325">
        <v>19188</v>
      </c>
      <c r="D28" s="325">
        <v>17909</v>
      </c>
      <c r="E28" s="325">
        <v>18811</v>
      </c>
      <c r="F28" s="325">
        <v>19656</v>
      </c>
      <c r="G28" s="325">
        <v>19746</v>
      </c>
      <c r="H28" s="325">
        <v>21504</v>
      </c>
      <c r="I28" s="96">
        <v>22274</v>
      </c>
      <c r="J28" s="102">
        <v>25507</v>
      </c>
      <c r="K28" s="102">
        <v>23023</v>
      </c>
      <c r="L28" s="225">
        <v>23670.41816104186</v>
      </c>
      <c r="M28" s="220">
        <v>26141.59776095744</v>
      </c>
    </row>
    <row r="29" spans="1:13">
      <c r="A29" s="324" t="s">
        <v>395</v>
      </c>
      <c r="B29" s="325">
        <v>30908</v>
      </c>
      <c r="C29" s="325">
        <v>43231</v>
      </c>
      <c r="D29" s="325">
        <v>36052</v>
      </c>
      <c r="E29" s="325">
        <v>38111</v>
      </c>
      <c r="F29" s="325">
        <v>43979</v>
      </c>
      <c r="G29" s="325">
        <v>43563</v>
      </c>
      <c r="H29" s="325">
        <v>45431</v>
      </c>
      <c r="I29" s="96">
        <v>45367</v>
      </c>
      <c r="J29" s="102">
        <v>40110</v>
      </c>
      <c r="K29" s="102">
        <v>38349</v>
      </c>
      <c r="L29" s="225">
        <v>40840.852165673859</v>
      </c>
      <c r="M29" s="220">
        <v>42062.706896660478</v>
      </c>
    </row>
    <row r="30" spans="1:13">
      <c r="A30" s="324" t="s">
        <v>396</v>
      </c>
      <c r="B30" s="325">
        <v>11748</v>
      </c>
      <c r="C30" s="325">
        <v>16733</v>
      </c>
      <c r="D30" s="325">
        <v>15442</v>
      </c>
      <c r="E30" s="325">
        <v>17330</v>
      </c>
      <c r="F30" s="325">
        <v>20950</v>
      </c>
      <c r="G30" s="325">
        <v>17339</v>
      </c>
      <c r="H30" s="325">
        <v>18050</v>
      </c>
      <c r="I30" s="96">
        <v>16544</v>
      </c>
      <c r="J30" s="102">
        <v>16267</v>
      </c>
      <c r="K30" s="102">
        <v>14145</v>
      </c>
      <c r="L30" s="225">
        <v>15531.268482972706</v>
      </c>
      <c r="M30" s="220">
        <v>16556.693514077015</v>
      </c>
    </row>
    <row r="31" spans="1:13">
      <c r="A31" s="324" t="s">
        <v>397</v>
      </c>
      <c r="B31" s="325">
        <v>9173</v>
      </c>
      <c r="C31" s="325">
        <v>10853</v>
      </c>
      <c r="D31" s="325">
        <v>10358</v>
      </c>
      <c r="E31" s="325">
        <v>11509</v>
      </c>
      <c r="F31" s="325">
        <v>11050</v>
      </c>
      <c r="G31" s="325">
        <v>11937</v>
      </c>
      <c r="H31" s="325">
        <v>11419</v>
      </c>
      <c r="I31" s="96">
        <v>12262</v>
      </c>
      <c r="J31" s="102">
        <v>12157</v>
      </c>
      <c r="K31" s="102">
        <v>11379</v>
      </c>
      <c r="L31" s="225">
        <v>12030.384199523165</v>
      </c>
      <c r="M31" s="220">
        <v>14077.964877936847</v>
      </c>
    </row>
    <row r="32" spans="1:13">
      <c r="A32" s="324" t="s">
        <v>398</v>
      </c>
      <c r="B32" s="325">
        <v>2269</v>
      </c>
      <c r="C32" s="325">
        <v>2170</v>
      </c>
      <c r="D32" s="325">
        <v>1746</v>
      </c>
      <c r="E32" s="325">
        <v>2464</v>
      </c>
      <c r="F32" s="325">
        <v>2025</v>
      </c>
      <c r="G32" s="325">
        <v>2003</v>
      </c>
      <c r="H32" s="325">
        <v>1904</v>
      </c>
      <c r="I32" s="96">
        <v>2312</v>
      </c>
      <c r="J32" s="102">
        <v>2718</v>
      </c>
      <c r="K32" s="102">
        <v>2397</v>
      </c>
      <c r="L32" s="225">
        <v>2455.7727812166809</v>
      </c>
      <c r="M32" s="220">
        <v>2506.0310816695846</v>
      </c>
    </row>
    <row r="33" spans="1:13">
      <c r="A33" s="324" t="s">
        <v>399</v>
      </c>
      <c r="B33" s="325">
        <v>8110</v>
      </c>
      <c r="C33" s="325">
        <v>12213</v>
      </c>
      <c r="D33" s="325">
        <v>9789</v>
      </c>
      <c r="E33" s="325">
        <v>11173</v>
      </c>
      <c r="F33" s="325">
        <v>10537</v>
      </c>
      <c r="G33" s="325">
        <v>10757</v>
      </c>
      <c r="H33" s="325">
        <v>10306</v>
      </c>
      <c r="I33" s="96">
        <v>9269</v>
      </c>
      <c r="J33" s="102">
        <v>9138</v>
      </c>
      <c r="K33" s="102">
        <v>8359</v>
      </c>
      <c r="L33" s="225">
        <v>9081.348132906609</v>
      </c>
      <c r="M33" s="220">
        <v>9644.6264679427004</v>
      </c>
    </row>
    <row r="34" spans="1:13">
      <c r="A34" s="324" t="s">
        <v>400</v>
      </c>
      <c r="B34" s="325">
        <v>1603</v>
      </c>
      <c r="C34" s="325">
        <v>1951</v>
      </c>
      <c r="D34" s="325">
        <v>2403</v>
      </c>
      <c r="E34" s="325">
        <v>1214</v>
      </c>
      <c r="F34" s="325">
        <v>1329</v>
      </c>
      <c r="G34" s="325">
        <v>1299</v>
      </c>
      <c r="H34" s="325">
        <v>1567</v>
      </c>
      <c r="I34" s="96">
        <v>1720</v>
      </c>
      <c r="J34" s="102">
        <v>2582</v>
      </c>
      <c r="K34" s="102">
        <v>1802</v>
      </c>
      <c r="L34" s="225">
        <v>2173.8854390370898</v>
      </c>
      <c r="M34" s="220">
        <v>1826.3175757469655</v>
      </c>
    </row>
    <row r="35" spans="1:13">
      <c r="A35" s="324" t="s">
        <v>401</v>
      </c>
      <c r="B35" s="325">
        <v>6730</v>
      </c>
      <c r="C35" s="325">
        <v>6647</v>
      </c>
      <c r="D35" s="325">
        <v>8629</v>
      </c>
      <c r="E35" s="325">
        <v>5211</v>
      </c>
      <c r="F35" s="325">
        <v>5336</v>
      </c>
      <c r="G35" s="325">
        <v>4201</v>
      </c>
      <c r="H35" s="325">
        <v>2910</v>
      </c>
      <c r="I35" s="96">
        <v>2539</v>
      </c>
      <c r="J35" s="102">
        <v>8115</v>
      </c>
      <c r="K35" s="102">
        <v>2094</v>
      </c>
      <c r="L35" s="225">
        <v>2062.5971895244843</v>
      </c>
      <c r="M35" s="220">
        <v>2272.7544416651144</v>
      </c>
    </row>
    <row r="36" spans="1:13">
      <c r="A36" s="324" t="s">
        <v>402</v>
      </c>
      <c r="B36" s="325">
        <v>2395</v>
      </c>
      <c r="C36" s="325">
        <v>3229</v>
      </c>
      <c r="D36" s="325">
        <v>4246</v>
      </c>
      <c r="E36" s="325">
        <v>7718</v>
      </c>
      <c r="F36" s="325">
        <v>7451</v>
      </c>
      <c r="G36" s="325">
        <v>7454</v>
      </c>
      <c r="H36" s="325">
        <v>6216</v>
      </c>
      <c r="I36" s="96">
        <v>3806</v>
      </c>
      <c r="J36" s="102">
        <v>3945</v>
      </c>
      <c r="K36" s="102">
        <v>4351</v>
      </c>
      <c r="L36" s="225">
        <v>5041.0584834798328</v>
      </c>
      <c r="M36" s="220">
        <v>6367.9036297547964</v>
      </c>
    </row>
    <row r="37" spans="1:13">
      <c r="A37" s="324" t="s">
        <v>403</v>
      </c>
      <c r="B37" s="325">
        <v>3314</v>
      </c>
      <c r="C37" s="325">
        <v>6266</v>
      </c>
      <c r="D37" s="325">
        <v>5369</v>
      </c>
      <c r="E37" s="325">
        <v>5921</v>
      </c>
      <c r="F37" s="325">
        <v>6944</v>
      </c>
      <c r="G37" s="325">
        <v>5218</v>
      </c>
      <c r="H37" s="325">
        <v>4956</v>
      </c>
      <c r="I37" s="96">
        <v>4351</v>
      </c>
      <c r="J37" s="102">
        <v>3869</v>
      </c>
      <c r="K37" s="102">
        <v>4474</v>
      </c>
      <c r="L37" s="225">
        <v>5000.5654076960045</v>
      </c>
      <c r="M37" s="220">
        <v>5984.7182822566929</v>
      </c>
    </row>
    <row r="38" spans="1:13">
      <c r="A38" s="324" t="s">
        <v>404</v>
      </c>
      <c r="B38" s="325">
        <v>110368</v>
      </c>
      <c r="C38" s="325">
        <v>126692</v>
      </c>
      <c r="D38" s="325">
        <v>129172</v>
      </c>
      <c r="E38" s="325">
        <v>145515</v>
      </c>
      <c r="F38" s="325">
        <v>136204</v>
      </c>
      <c r="G38" s="325">
        <v>152265</v>
      </c>
      <c r="H38" s="325">
        <v>158631</v>
      </c>
      <c r="I38" s="96">
        <v>135743</v>
      </c>
      <c r="J38" s="102">
        <v>129331</v>
      </c>
      <c r="K38" s="102">
        <v>112875</v>
      </c>
      <c r="L38" s="225">
        <v>118087.13199481853</v>
      </c>
      <c r="M38" s="220">
        <v>112581.22549098733</v>
      </c>
    </row>
    <row r="39" spans="1:13">
      <c r="A39" s="324" t="s">
        <v>405</v>
      </c>
      <c r="B39" s="325">
        <v>1854</v>
      </c>
      <c r="C39" s="325">
        <v>3503</v>
      </c>
      <c r="D39" s="325">
        <v>2579</v>
      </c>
      <c r="E39" s="325">
        <v>2994</v>
      </c>
      <c r="F39" s="325">
        <v>4031</v>
      </c>
      <c r="G39" s="325">
        <v>2661</v>
      </c>
      <c r="H39" s="325">
        <v>3414</v>
      </c>
      <c r="I39" s="96">
        <v>3458</v>
      </c>
      <c r="J39" s="102">
        <v>2220</v>
      </c>
      <c r="K39" s="102">
        <v>2389</v>
      </c>
      <c r="L39" s="225">
        <v>2637.6085648413036</v>
      </c>
      <c r="M39" s="220">
        <v>3771.7235992278474</v>
      </c>
    </row>
    <row r="40" spans="1:13">
      <c r="A40" s="324" t="s">
        <v>406</v>
      </c>
      <c r="B40" s="325">
        <v>162907</v>
      </c>
      <c r="C40" s="325">
        <v>195972</v>
      </c>
      <c r="D40" s="325">
        <v>178491</v>
      </c>
      <c r="E40" s="325">
        <v>211854</v>
      </c>
      <c r="F40" s="325">
        <v>227633</v>
      </c>
      <c r="G40" s="325">
        <v>239853</v>
      </c>
      <c r="H40" s="325">
        <v>255654</v>
      </c>
      <c r="I40" s="96">
        <v>230062</v>
      </c>
      <c r="J40" s="102">
        <v>195142</v>
      </c>
      <c r="K40" s="102">
        <v>198895</v>
      </c>
      <c r="L40" s="225">
        <v>203264.31446181907</v>
      </c>
      <c r="M40" s="220">
        <v>206996.53616135317</v>
      </c>
    </row>
    <row r="41" spans="1:13">
      <c r="A41" s="324" t="s">
        <v>407</v>
      </c>
      <c r="B41" s="325">
        <v>13697</v>
      </c>
      <c r="C41" s="325">
        <v>18411</v>
      </c>
      <c r="D41" s="325">
        <v>16187</v>
      </c>
      <c r="E41" s="325">
        <v>18693</v>
      </c>
      <c r="F41" s="325">
        <v>14769</v>
      </c>
      <c r="G41" s="325">
        <v>16462</v>
      </c>
      <c r="H41" s="325">
        <v>16859</v>
      </c>
      <c r="I41" s="96">
        <v>19060</v>
      </c>
      <c r="J41" s="102">
        <v>16685</v>
      </c>
      <c r="K41" s="102">
        <v>17792</v>
      </c>
      <c r="L41" s="225">
        <v>18057.745582866944</v>
      </c>
      <c r="M41" s="220">
        <v>19334.503582211099</v>
      </c>
    </row>
    <row r="42" spans="1:13">
      <c r="A42" s="324" t="s">
        <v>408</v>
      </c>
      <c r="B42" s="325">
        <v>865</v>
      </c>
      <c r="C42" s="325">
        <v>2651</v>
      </c>
      <c r="D42" s="325">
        <v>2006</v>
      </c>
      <c r="E42" s="325">
        <v>939</v>
      </c>
      <c r="F42" s="325">
        <v>2119</v>
      </c>
      <c r="G42" s="325">
        <v>978</v>
      </c>
      <c r="H42" s="325">
        <v>1061</v>
      </c>
      <c r="I42" s="96">
        <v>930</v>
      </c>
      <c r="J42" s="102">
        <v>1194</v>
      </c>
      <c r="K42" s="102">
        <v>699</v>
      </c>
      <c r="L42" s="225">
        <v>537.8931447607074</v>
      </c>
      <c r="M42" s="220">
        <v>708.61906801139276</v>
      </c>
    </row>
    <row r="43" spans="1:13">
      <c r="A43" s="324" t="s">
        <v>409</v>
      </c>
      <c r="B43" s="325">
        <v>21163</v>
      </c>
      <c r="C43" s="325">
        <v>27744</v>
      </c>
      <c r="D43" s="325">
        <v>22093</v>
      </c>
      <c r="E43" s="325">
        <v>22468</v>
      </c>
      <c r="F43" s="325">
        <v>18464</v>
      </c>
      <c r="G43" s="325">
        <v>19548</v>
      </c>
      <c r="H43" s="325">
        <v>21319</v>
      </c>
      <c r="I43" s="96">
        <v>20874</v>
      </c>
      <c r="J43" s="102">
        <v>19977</v>
      </c>
      <c r="K43" s="102">
        <v>19238</v>
      </c>
      <c r="L43" s="225">
        <v>20442.716149401916</v>
      </c>
      <c r="M43" s="220">
        <v>21446.818661465386</v>
      </c>
    </row>
    <row r="44" spans="1:13">
      <c r="A44" s="324" t="s">
        <v>410</v>
      </c>
      <c r="B44" s="325">
        <v>2524</v>
      </c>
      <c r="C44" s="325">
        <v>3915</v>
      </c>
      <c r="D44" s="325">
        <v>3839</v>
      </c>
      <c r="E44" s="325">
        <v>3063</v>
      </c>
      <c r="F44" s="325">
        <v>3011</v>
      </c>
      <c r="G44" s="325">
        <v>3129</v>
      </c>
      <c r="H44" s="325">
        <v>3188</v>
      </c>
      <c r="I44" s="96">
        <v>4265</v>
      </c>
      <c r="J44" s="102">
        <v>3558</v>
      </c>
      <c r="K44" s="102">
        <v>4238</v>
      </c>
      <c r="L44" s="225">
        <v>4216.6454547935227</v>
      </c>
      <c r="M44" s="220">
        <v>4881.6853560296977</v>
      </c>
    </row>
    <row r="45" spans="1:13">
      <c r="A45" s="324" t="s">
        <v>411</v>
      </c>
      <c r="B45" s="325">
        <v>5385</v>
      </c>
      <c r="C45" s="325">
        <v>5174</v>
      </c>
      <c r="D45" s="325">
        <v>4995</v>
      </c>
      <c r="E45" s="325">
        <v>4126</v>
      </c>
      <c r="F45" s="325">
        <v>4191</v>
      </c>
      <c r="G45" s="325">
        <v>3967</v>
      </c>
      <c r="H45" s="325">
        <v>4185</v>
      </c>
      <c r="I45" s="96">
        <v>4813</v>
      </c>
      <c r="J45" s="102">
        <v>6182</v>
      </c>
      <c r="K45" s="102">
        <v>4786</v>
      </c>
      <c r="L45" s="225">
        <v>4741.5594236546694</v>
      </c>
      <c r="M45" s="220">
        <v>4918.7444181355013</v>
      </c>
    </row>
    <row r="46" spans="1:13">
      <c r="A46" s="324" t="s">
        <v>412</v>
      </c>
      <c r="B46" s="325">
        <v>38730</v>
      </c>
      <c r="C46" s="325">
        <v>40568</v>
      </c>
      <c r="D46" s="325">
        <v>37819</v>
      </c>
      <c r="E46" s="325">
        <v>40990</v>
      </c>
      <c r="F46" s="325">
        <v>37877</v>
      </c>
      <c r="G46" s="325">
        <v>46106</v>
      </c>
      <c r="H46" s="325">
        <v>47435</v>
      </c>
      <c r="I46" s="96">
        <v>45273</v>
      </c>
      <c r="J46" s="102">
        <v>39555</v>
      </c>
      <c r="K46" s="102">
        <v>42844</v>
      </c>
      <c r="L46" s="225">
        <v>44100.828892582431</v>
      </c>
      <c r="M46" s="220">
        <v>47919.273615422942</v>
      </c>
    </row>
    <row r="47" spans="1:13">
      <c r="A47" s="324" t="s">
        <v>413</v>
      </c>
      <c r="B47" s="325">
        <v>3675</v>
      </c>
      <c r="C47" s="325">
        <v>5015</v>
      </c>
      <c r="D47" s="325">
        <v>4275</v>
      </c>
      <c r="E47" s="325">
        <v>3807</v>
      </c>
      <c r="F47" s="325">
        <v>3910</v>
      </c>
      <c r="G47" s="325">
        <v>4248</v>
      </c>
      <c r="H47" s="325">
        <v>4272</v>
      </c>
      <c r="I47" s="96">
        <v>3623</v>
      </c>
      <c r="J47" s="102">
        <v>8883</v>
      </c>
      <c r="K47" s="102">
        <v>3056</v>
      </c>
      <c r="L47" s="225">
        <v>3471.6238939036912</v>
      </c>
      <c r="M47" s="220">
        <v>3401.2699764359104</v>
      </c>
    </row>
    <row r="48" spans="1:13">
      <c r="A48" s="324" t="s">
        <v>414</v>
      </c>
      <c r="B48" s="325">
        <v>5022</v>
      </c>
      <c r="C48" s="325">
        <v>5932</v>
      </c>
      <c r="D48" s="325">
        <v>6459</v>
      </c>
      <c r="E48" s="325">
        <v>5830</v>
      </c>
      <c r="F48" s="325">
        <v>8159</v>
      </c>
      <c r="G48" s="325">
        <v>8994</v>
      </c>
      <c r="H48" s="325">
        <v>9732</v>
      </c>
      <c r="I48" s="96">
        <v>7657</v>
      </c>
      <c r="J48" s="102">
        <v>6747</v>
      </c>
      <c r="K48" s="102">
        <v>5974</v>
      </c>
      <c r="L48" s="225">
        <v>6020.9849061784789</v>
      </c>
      <c r="M48" s="220">
        <v>6522.6016371596088</v>
      </c>
    </row>
    <row r="49" spans="1:13">
      <c r="A49" s="324" t="s">
        <v>415</v>
      </c>
      <c r="B49" s="325">
        <v>421</v>
      </c>
      <c r="C49" s="325">
        <v>556</v>
      </c>
      <c r="D49" s="325">
        <v>695</v>
      </c>
      <c r="E49" s="325">
        <v>815</v>
      </c>
      <c r="F49" s="325">
        <v>733</v>
      </c>
      <c r="G49" s="325">
        <v>551</v>
      </c>
      <c r="H49" s="325">
        <v>625</v>
      </c>
      <c r="I49" s="96">
        <v>819</v>
      </c>
      <c r="J49" s="102">
        <v>2085</v>
      </c>
      <c r="K49" s="102">
        <v>657</v>
      </c>
      <c r="L49" s="225">
        <v>551.0150162373825</v>
      </c>
      <c r="M49" s="220">
        <v>615.49388640510426</v>
      </c>
    </row>
    <row r="50" spans="1:13">
      <c r="A50" s="324" t="s">
        <v>416</v>
      </c>
      <c r="B50" s="325">
        <v>9740</v>
      </c>
      <c r="C50" s="325">
        <v>14344</v>
      </c>
      <c r="D50" s="325">
        <v>16387</v>
      </c>
      <c r="E50" s="325">
        <v>13276</v>
      </c>
      <c r="F50" s="325">
        <v>20461</v>
      </c>
      <c r="G50" s="325">
        <v>14133</v>
      </c>
      <c r="H50" s="325">
        <v>13137</v>
      </c>
      <c r="I50" s="96">
        <v>13700</v>
      </c>
      <c r="J50" s="102">
        <v>11074</v>
      </c>
      <c r="K50" s="102">
        <v>10547</v>
      </c>
      <c r="L50" s="225">
        <v>10833.092755671263</v>
      </c>
      <c r="M50" s="220">
        <v>12868.262815901771</v>
      </c>
    </row>
    <row r="51" spans="1:13">
      <c r="A51" s="324" t="s">
        <v>417</v>
      </c>
      <c r="B51" s="325">
        <v>50994</v>
      </c>
      <c r="C51" s="325">
        <v>55011</v>
      </c>
      <c r="D51" s="325">
        <v>51138</v>
      </c>
      <c r="E51" s="325">
        <v>65662</v>
      </c>
      <c r="F51" s="325">
        <v>75969</v>
      </c>
      <c r="G51" s="325">
        <v>72565</v>
      </c>
      <c r="H51" s="325">
        <v>68149</v>
      </c>
      <c r="I51" s="96">
        <v>60947</v>
      </c>
      <c r="J51" s="102">
        <v>66787</v>
      </c>
      <c r="K51" s="102">
        <v>60004</v>
      </c>
      <c r="L51" s="225">
        <v>63491.559085149092</v>
      </c>
      <c r="M51" s="220">
        <v>71302.109433713122</v>
      </c>
    </row>
    <row r="52" spans="1:13">
      <c r="A52" s="324" t="s">
        <v>418</v>
      </c>
      <c r="B52" s="325">
        <v>2364</v>
      </c>
      <c r="C52" s="325">
        <v>2913</v>
      </c>
      <c r="D52" s="325">
        <v>2802</v>
      </c>
      <c r="E52" s="325">
        <v>2780</v>
      </c>
      <c r="F52" s="325">
        <v>3514</v>
      </c>
      <c r="G52" s="325">
        <v>3492</v>
      </c>
      <c r="H52" s="325">
        <v>3837</v>
      </c>
      <c r="I52" s="96">
        <v>4827</v>
      </c>
      <c r="J52" s="102">
        <v>5675</v>
      </c>
      <c r="K52" s="102">
        <v>4711</v>
      </c>
      <c r="L52" s="225">
        <v>4469.6163965717496</v>
      </c>
      <c r="M52" s="220">
        <v>5117.2492050995488</v>
      </c>
    </row>
    <row r="53" spans="1:13">
      <c r="A53" s="324" t="s">
        <v>419</v>
      </c>
      <c r="B53" s="325">
        <v>1814</v>
      </c>
      <c r="C53" s="325">
        <v>2170</v>
      </c>
      <c r="D53" s="325">
        <v>1280</v>
      </c>
      <c r="E53" s="325">
        <v>1967</v>
      </c>
      <c r="F53" s="325">
        <v>2743</v>
      </c>
      <c r="G53" s="325">
        <v>2721</v>
      </c>
      <c r="H53" s="325">
        <v>2873</v>
      </c>
      <c r="I53" s="96">
        <v>2587</v>
      </c>
      <c r="J53" s="102">
        <v>2903</v>
      </c>
      <c r="K53" s="102">
        <v>2580</v>
      </c>
      <c r="L53" s="225">
        <v>2602.1569180322535</v>
      </c>
      <c r="M53" s="220">
        <v>2619.4246069741921</v>
      </c>
    </row>
    <row r="54" spans="1:13">
      <c r="A54" s="324" t="s">
        <v>420</v>
      </c>
      <c r="B54" s="325">
        <v>21067</v>
      </c>
      <c r="C54" s="325">
        <v>24705</v>
      </c>
      <c r="D54" s="325">
        <v>24368</v>
      </c>
      <c r="E54" s="325">
        <v>26155</v>
      </c>
      <c r="F54" s="325">
        <v>24139</v>
      </c>
      <c r="G54" s="325">
        <v>24661</v>
      </c>
      <c r="H54" s="325">
        <v>26828</v>
      </c>
      <c r="I54" s="96">
        <v>27128</v>
      </c>
      <c r="J54" s="102">
        <v>24534</v>
      </c>
      <c r="K54" s="102">
        <v>26282</v>
      </c>
      <c r="L54" s="225">
        <v>29136.666169416934</v>
      </c>
      <c r="M54" s="220">
        <v>30217.591958202524</v>
      </c>
    </row>
    <row r="55" spans="1:13">
      <c r="A55" s="324" t="s">
        <v>421</v>
      </c>
      <c r="B55" s="325">
        <v>6194</v>
      </c>
      <c r="C55" s="325">
        <v>9122</v>
      </c>
      <c r="D55" s="325">
        <v>13116</v>
      </c>
      <c r="E55" s="325">
        <v>15823</v>
      </c>
      <c r="F55" s="325">
        <v>22427</v>
      </c>
      <c r="G55" s="325">
        <v>22534</v>
      </c>
      <c r="H55" s="325">
        <v>25862</v>
      </c>
      <c r="I55" s="96">
        <v>20029</v>
      </c>
      <c r="J55" s="102">
        <v>21065</v>
      </c>
      <c r="K55" s="102">
        <v>22019</v>
      </c>
      <c r="L55" s="225">
        <v>23103.386166575303</v>
      </c>
      <c r="M55" s="220">
        <v>19656.032214978626</v>
      </c>
    </row>
    <row r="56" spans="1:13">
      <c r="A56" s="324" t="s">
        <v>422</v>
      </c>
      <c r="B56" s="325">
        <v>11391</v>
      </c>
      <c r="C56" s="325">
        <v>12191</v>
      </c>
      <c r="D56" s="325">
        <v>11490</v>
      </c>
      <c r="E56" s="325">
        <v>20188</v>
      </c>
      <c r="F56" s="325">
        <v>43664</v>
      </c>
      <c r="G56" s="325">
        <v>33009</v>
      </c>
      <c r="H56" s="325">
        <v>27119</v>
      </c>
      <c r="I56" s="96">
        <v>20487</v>
      </c>
      <c r="J56" s="102">
        <v>17048</v>
      </c>
      <c r="K56" s="102">
        <v>14343</v>
      </c>
      <c r="L56" s="225">
        <v>15005.361846015836</v>
      </c>
      <c r="M56" s="220">
        <v>17390.087309065922</v>
      </c>
    </row>
    <row r="57" spans="1:13">
      <c r="A57" s="324" t="s">
        <v>423</v>
      </c>
      <c r="B57" s="325">
        <v>1259</v>
      </c>
      <c r="C57" s="325">
        <v>1492</v>
      </c>
      <c r="D57" s="325">
        <v>1330</v>
      </c>
      <c r="E57" s="325">
        <v>1510</v>
      </c>
      <c r="F57" s="325">
        <v>1339</v>
      </c>
      <c r="G57" s="325">
        <v>2097</v>
      </c>
      <c r="H57" s="325">
        <v>2056</v>
      </c>
      <c r="I57" s="96">
        <v>2245</v>
      </c>
      <c r="J57" s="102">
        <v>2495</v>
      </c>
      <c r="K57" s="102">
        <v>1806</v>
      </c>
      <c r="L57" s="225">
        <v>1846.3138552134367</v>
      </c>
      <c r="M57" s="220">
        <v>2162.0355523200128</v>
      </c>
    </row>
    <row r="58" spans="1:13">
      <c r="A58" s="324" t="s">
        <v>424</v>
      </c>
      <c r="B58" s="325">
        <v>7638</v>
      </c>
      <c r="C58" s="325">
        <v>9489</v>
      </c>
      <c r="D58" s="325">
        <v>9560</v>
      </c>
      <c r="E58" s="325">
        <v>11673</v>
      </c>
      <c r="F58" s="325">
        <v>11868</v>
      </c>
      <c r="G58" s="325">
        <v>10593</v>
      </c>
      <c r="H58" s="325">
        <v>11215</v>
      </c>
      <c r="I58" s="96">
        <v>10874</v>
      </c>
      <c r="J58" s="102">
        <v>11355</v>
      </c>
      <c r="K58" s="102">
        <v>11054</v>
      </c>
      <c r="L58" s="225">
        <v>11108.383781810166</v>
      </c>
      <c r="M58" s="220">
        <v>12286.776481436702</v>
      </c>
    </row>
    <row r="59" spans="1:13">
      <c r="A59" s="324" t="s">
        <v>425</v>
      </c>
      <c r="B59" s="325">
        <v>716</v>
      </c>
      <c r="C59" s="325">
        <v>491</v>
      </c>
      <c r="D59" s="325">
        <v>440</v>
      </c>
      <c r="E59" s="325">
        <v>626</v>
      </c>
      <c r="F59" s="325">
        <v>642</v>
      </c>
      <c r="G59" s="325">
        <v>574</v>
      </c>
      <c r="H59" s="325">
        <v>704</v>
      </c>
      <c r="I59" s="96">
        <v>840</v>
      </c>
      <c r="J59" s="102">
        <v>608</v>
      </c>
      <c r="K59" s="102">
        <v>555</v>
      </c>
      <c r="L59" s="225">
        <v>571.07176325092814</v>
      </c>
      <c r="M59" s="220">
        <v>544.44769064253421</v>
      </c>
    </row>
    <row r="60" spans="1:13">
      <c r="A60" s="324" t="s">
        <v>426</v>
      </c>
      <c r="B60" s="325">
        <v>19281</v>
      </c>
      <c r="C60" s="325">
        <v>13957</v>
      </c>
      <c r="D60" s="325">
        <v>18289</v>
      </c>
      <c r="E60" s="325">
        <v>21449</v>
      </c>
      <c r="F60" s="325">
        <v>7364</v>
      </c>
      <c r="G60" s="325">
        <v>7854</v>
      </c>
      <c r="H60" s="325">
        <v>11691</v>
      </c>
      <c r="I60" s="325">
        <v>4559</v>
      </c>
      <c r="J60" s="103">
        <v>4277</v>
      </c>
      <c r="K60" s="103">
        <v>3389</v>
      </c>
      <c r="L60" s="225">
        <v>24099.86603773585</v>
      </c>
      <c r="M60" s="225">
        <v>15130.214285714286</v>
      </c>
    </row>
    <row r="61" spans="1:13">
      <c r="A61" s="324" t="s">
        <v>427</v>
      </c>
      <c r="B61" s="325">
        <v>276</v>
      </c>
      <c r="C61" s="325">
        <v>197</v>
      </c>
      <c r="D61" s="325">
        <v>109</v>
      </c>
      <c r="E61" s="325">
        <v>150</v>
      </c>
      <c r="F61" s="325">
        <v>3024</v>
      </c>
      <c r="G61" s="325">
        <v>152</v>
      </c>
      <c r="H61" s="325">
        <v>45</v>
      </c>
      <c r="I61" s="325">
        <v>28</v>
      </c>
      <c r="J61" s="104">
        <v>18</v>
      </c>
      <c r="K61" s="103">
        <v>13709</v>
      </c>
      <c r="L61" s="225">
        <v>13899.549341163694</v>
      </c>
      <c r="M61" s="225">
        <v>8741.6657997229759</v>
      </c>
    </row>
    <row r="62" spans="1:13">
      <c r="A62" s="324"/>
      <c r="B62" s="99"/>
      <c r="C62" s="99"/>
      <c r="D62" s="99"/>
      <c r="E62" s="99"/>
      <c r="F62" s="99"/>
      <c r="G62" s="99"/>
      <c r="H62" s="99"/>
      <c r="I62" s="99"/>
    </row>
    <row r="63" spans="1:13">
      <c r="A63" s="230" t="s">
        <v>428</v>
      </c>
      <c r="B63" s="231">
        <v>10413</v>
      </c>
      <c r="C63" s="231">
        <v>15064</v>
      </c>
      <c r="D63" s="231">
        <v>12530</v>
      </c>
      <c r="E63" s="231">
        <v>12238</v>
      </c>
      <c r="F63" s="231">
        <v>18783</v>
      </c>
      <c r="G63" s="231">
        <v>21220</v>
      </c>
      <c r="H63" s="231">
        <v>17500</v>
      </c>
      <c r="I63" s="231">
        <v>15664</v>
      </c>
      <c r="J63" s="326">
        <v>16690</v>
      </c>
      <c r="K63" s="326">
        <v>15012</v>
      </c>
      <c r="L63" s="326">
        <v>19632</v>
      </c>
      <c r="M63" s="326">
        <v>21978</v>
      </c>
    </row>
    <row r="64" spans="1:13">
      <c r="A64" s="100"/>
      <c r="B64" s="101"/>
      <c r="C64" s="101"/>
      <c r="D64" s="101"/>
      <c r="E64" s="101"/>
      <c r="F64" s="101"/>
      <c r="G64" s="101"/>
      <c r="H64" s="101"/>
      <c r="I64" s="101"/>
      <c r="J64" s="327"/>
      <c r="K64" s="327"/>
      <c r="L64" s="327"/>
      <c r="M64" s="221"/>
    </row>
    <row r="65" spans="1:13">
      <c r="A65" s="230" t="s">
        <v>429</v>
      </c>
      <c r="B65" s="231">
        <v>11352</v>
      </c>
      <c r="C65" s="231">
        <v>13740</v>
      </c>
      <c r="D65" s="231">
        <v>12049</v>
      </c>
      <c r="E65" s="231">
        <v>12113</v>
      </c>
      <c r="F65" s="231">
        <v>9940</v>
      </c>
      <c r="G65" s="231">
        <v>12529</v>
      </c>
      <c r="H65" s="231">
        <v>11335</v>
      </c>
      <c r="I65" s="231">
        <v>11243</v>
      </c>
      <c r="J65" s="326">
        <v>10856</v>
      </c>
      <c r="K65" s="326">
        <v>8388</v>
      </c>
      <c r="L65" s="326">
        <v>8195</v>
      </c>
      <c r="M65" s="326">
        <v>8171</v>
      </c>
    </row>
    <row r="66" spans="1:13">
      <c r="A66" s="100"/>
      <c r="B66" s="101"/>
      <c r="C66" s="101"/>
      <c r="D66" s="101"/>
      <c r="E66" s="101"/>
      <c r="F66" s="101"/>
      <c r="G66" s="101"/>
      <c r="H66" s="101"/>
      <c r="I66" s="101"/>
      <c r="J66" s="327"/>
      <c r="K66" s="327"/>
      <c r="L66" s="327"/>
      <c r="M66" s="222"/>
    </row>
    <row r="67" spans="1:13">
      <c r="A67" s="230" t="s">
        <v>430</v>
      </c>
      <c r="B67" s="231">
        <f>SUM(B68:B75)</f>
        <v>9286</v>
      </c>
      <c r="C67" s="231">
        <f t="shared" ref="C67:M67" si="1">SUM(C68:C75)</f>
        <v>7938</v>
      </c>
      <c r="D67" s="231">
        <f t="shared" si="1"/>
        <v>4552</v>
      </c>
      <c r="E67" s="231">
        <f t="shared" si="1"/>
        <v>4350</v>
      </c>
      <c r="F67" s="231">
        <f t="shared" si="1"/>
        <v>3969</v>
      </c>
      <c r="G67" s="231">
        <f t="shared" si="1"/>
        <v>4199</v>
      </c>
      <c r="H67" s="231">
        <f t="shared" si="1"/>
        <v>4391</v>
      </c>
      <c r="I67" s="231">
        <f t="shared" si="1"/>
        <v>3756</v>
      </c>
      <c r="J67" s="231">
        <f t="shared" si="1"/>
        <v>3935</v>
      </c>
      <c r="K67" s="231">
        <f t="shared" si="1"/>
        <v>3243</v>
      </c>
      <c r="L67" s="231">
        <f t="shared" si="1"/>
        <v>3272</v>
      </c>
      <c r="M67" s="231">
        <f t="shared" si="1"/>
        <v>3588</v>
      </c>
    </row>
    <row r="68" spans="1:13">
      <c r="A68" s="324" t="s">
        <v>431</v>
      </c>
      <c r="B68" s="325">
        <v>23</v>
      </c>
      <c r="C68" s="325">
        <v>90</v>
      </c>
      <c r="D68" s="325">
        <v>70</v>
      </c>
      <c r="E68" s="325">
        <v>146</v>
      </c>
      <c r="F68" s="325">
        <v>117</v>
      </c>
      <c r="G68" s="325">
        <v>120</v>
      </c>
      <c r="H68" s="325">
        <v>162</v>
      </c>
      <c r="I68" s="325">
        <v>101</v>
      </c>
      <c r="J68" s="105">
        <v>23</v>
      </c>
      <c r="K68" s="105">
        <v>19</v>
      </c>
      <c r="L68" s="225">
        <v>38</v>
      </c>
      <c r="M68" s="225">
        <v>51</v>
      </c>
    </row>
    <row r="69" spans="1:13">
      <c r="A69" s="324" t="s">
        <v>432</v>
      </c>
      <c r="B69" s="325">
        <v>4653</v>
      </c>
      <c r="C69" s="325">
        <v>4323</v>
      </c>
      <c r="D69" s="325">
        <v>1079</v>
      </c>
      <c r="E69" s="325">
        <v>1326</v>
      </c>
      <c r="F69" s="325">
        <v>1297</v>
      </c>
      <c r="G69" s="325">
        <v>1259</v>
      </c>
      <c r="H69" s="325">
        <v>1259</v>
      </c>
      <c r="I69" s="325">
        <v>1232</v>
      </c>
      <c r="J69" s="105">
        <v>1142</v>
      </c>
      <c r="K69" s="105">
        <v>690</v>
      </c>
      <c r="L69" s="225">
        <v>785</v>
      </c>
      <c r="M69" s="225">
        <v>809</v>
      </c>
    </row>
    <row r="70" spans="1:13">
      <c r="A70" s="324" t="s">
        <v>433</v>
      </c>
      <c r="B70" s="325">
        <v>90</v>
      </c>
      <c r="C70" s="325">
        <v>103</v>
      </c>
      <c r="D70" s="325">
        <v>214</v>
      </c>
      <c r="E70" s="325">
        <v>183</v>
      </c>
      <c r="F70" s="325">
        <v>176</v>
      </c>
      <c r="G70" s="325">
        <v>243</v>
      </c>
      <c r="H70" s="325">
        <v>263</v>
      </c>
      <c r="I70" s="325">
        <v>164</v>
      </c>
      <c r="J70" s="105">
        <v>125</v>
      </c>
      <c r="K70" s="105">
        <v>98</v>
      </c>
      <c r="L70" s="225">
        <v>113</v>
      </c>
      <c r="M70" s="225">
        <v>162</v>
      </c>
    </row>
    <row r="71" spans="1:13">
      <c r="A71" s="324" t="s">
        <v>434</v>
      </c>
      <c r="B71" s="325">
        <v>213</v>
      </c>
      <c r="C71" s="325">
        <v>300</v>
      </c>
      <c r="D71" s="325">
        <v>323</v>
      </c>
      <c r="E71" s="325">
        <v>361</v>
      </c>
      <c r="F71" s="325">
        <v>351</v>
      </c>
      <c r="G71" s="325">
        <v>401</v>
      </c>
      <c r="H71" s="325">
        <v>377</v>
      </c>
      <c r="I71" s="325">
        <v>393</v>
      </c>
      <c r="J71" s="105">
        <v>374</v>
      </c>
      <c r="K71" s="105">
        <v>422</v>
      </c>
      <c r="L71" s="225">
        <v>443</v>
      </c>
      <c r="M71" s="225">
        <v>543</v>
      </c>
    </row>
    <row r="72" spans="1:13">
      <c r="A72" s="324" t="s">
        <v>435</v>
      </c>
      <c r="B72" s="325">
        <v>141</v>
      </c>
      <c r="C72" s="325">
        <v>178</v>
      </c>
      <c r="D72" s="325">
        <v>121</v>
      </c>
      <c r="E72" s="325">
        <v>99</v>
      </c>
      <c r="F72" s="325">
        <v>135</v>
      </c>
      <c r="G72" s="325">
        <v>115</v>
      </c>
      <c r="H72" s="325">
        <v>140</v>
      </c>
      <c r="I72" s="325">
        <v>104</v>
      </c>
      <c r="J72" s="105">
        <v>94</v>
      </c>
      <c r="K72" s="105">
        <v>91</v>
      </c>
      <c r="L72" s="225">
        <v>142</v>
      </c>
      <c r="M72" s="225">
        <v>144</v>
      </c>
    </row>
    <row r="73" spans="1:13">
      <c r="A73" s="324" t="s">
        <v>436</v>
      </c>
      <c r="B73" s="325">
        <v>87</v>
      </c>
      <c r="C73" s="325">
        <v>86</v>
      </c>
      <c r="D73" s="325">
        <v>89</v>
      </c>
      <c r="E73" s="325">
        <v>113</v>
      </c>
      <c r="F73" s="325">
        <v>130</v>
      </c>
      <c r="G73" s="325">
        <v>145</v>
      </c>
      <c r="H73" s="325">
        <v>163</v>
      </c>
      <c r="I73" s="325">
        <v>114</v>
      </c>
      <c r="J73" s="105">
        <v>91</v>
      </c>
      <c r="K73" s="105">
        <v>49</v>
      </c>
      <c r="L73" s="225">
        <v>45</v>
      </c>
      <c r="M73" s="225">
        <v>68</v>
      </c>
    </row>
    <row r="74" spans="1:13">
      <c r="A74" s="324" t="s">
        <v>437</v>
      </c>
      <c r="B74" s="325">
        <v>752</v>
      </c>
      <c r="C74" s="325">
        <v>683</v>
      </c>
      <c r="D74" s="325">
        <v>774</v>
      </c>
      <c r="E74" s="325">
        <v>755</v>
      </c>
      <c r="F74" s="325">
        <v>784</v>
      </c>
      <c r="G74" s="325">
        <v>1008</v>
      </c>
      <c r="H74" s="325">
        <v>1017</v>
      </c>
      <c r="I74" s="325">
        <v>930</v>
      </c>
      <c r="J74" s="105">
        <v>853</v>
      </c>
      <c r="K74" s="105">
        <v>788</v>
      </c>
      <c r="L74" s="225">
        <v>766</v>
      </c>
      <c r="M74" s="225">
        <v>886</v>
      </c>
    </row>
    <row r="75" spans="1:13">
      <c r="A75" s="324" t="s">
        <v>438</v>
      </c>
      <c r="B75" s="325">
        <v>3327</v>
      </c>
      <c r="C75" s="325">
        <v>2175</v>
      </c>
      <c r="D75" s="325">
        <v>1882</v>
      </c>
      <c r="E75" s="325">
        <v>1367</v>
      </c>
      <c r="F75" s="325">
        <v>979</v>
      </c>
      <c r="G75" s="325">
        <v>908</v>
      </c>
      <c r="H75" s="325">
        <v>1010</v>
      </c>
      <c r="I75" s="325">
        <v>718</v>
      </c>
      <c r="J75" s="105">
        <v>1233</v>
      </c>
      <c r="K75" s="105">
        <v>1086</v>
      </c>
      <c r="L75" s="225">
        <v>940</v>
      </c>
      <c r="M75" s="225">
        <v>925</v>
      </c>
    </row>
    <row r="76" spans="1:13">
      <c r="A76" s="324"/>
      <c r="B76" s="325"/>
      <c r="C76" s="325"/>
      <c r="D76" s="325"/>
      <c r="E76" s="325"/>
      <c r="F76" s="325"/>
      <c r="G76" s="325"/>
      <c r="H76" s="325"/>
      <c r="I76" s="325"/>
    </row>
    <row r="77" spans="1:13">
      <c r="A77" s="230" t="s">
        <v>439</v>
      </c>
      <c r="B77" s="231">
        <f>SUM(B78:B91)</f>
        <v>13644</v>
      </c>
      <c r="C77" s="231">
        <f t="shared" ref="C77:M77" si="2">SUM(C78:C91)</f>
        <v>20255</v>
      </c>
      <c r="D77" s="231">
        <f t="shared" si="2"/>
        <v>18972</v>
      </c>
      <c r="E77" s="231">
        <f t="shared" si="2"/>
        <v>17947</v>
      </c>
      <c r="F77" s="231">
        <f t="shared" si="2"/>
        <v>14769</v>
      </c>
      <c r="G77" s="231">
        <f t="shared" si="2"/>
        <v>17029</v>
      </c>
      <c r="H77" s="231">
        <f t="shared" si="2"/>
        <v>14926</v>
      </c>
      <c r="I77" s="231">
        <f t="shared" si="2"/>
        <v>12274</v>
      </c>
      <c r="J77" s="231">
        <f t="shared" si="2"/>
        <v>12646</v>
      </c>
      <c r="K77" s="231">
        <f t="shared" si="2"/>
        <v>11173</v>
      </c>
      <c r="L77" s="231">
        <f t="shared" si="2"/>
        <v>11249</v>
      </c>
      <c r="M77" s="231">
        <f t="shared" si="2"/>
        <v>12240</v>
      </c>
    </row>
    <row r="78" spans="1:13">
      <c r="A78" s="324" t="s">
        <v>440</v>
      </c>
      <c r="B78" s="325">
        <v>2766</v>
      </c>
      <c r="C78" s="325">
        <v>4013</v>
      </c>
      <c r="D78" s="325">
        <v>2470</v>
      </c>
      <c r="E78" s="325">
        <v>2444</v>
      </c>
      <c r="F78" s="325">
        <v>1736</v>
      </c>
      <c r="G78" s="325">
        <v>2032</v>
      </c>
      <c r="H78" s="325">
        <v>1496</v>
      </c>
      <c r="I78" s="325">
        <v>1742</v>
      </c>
      <c r="J78" s="105">
        <v>1870</v>
      </c>
      <c r="K78" s="105">
        <v>1961</v>
      </c>
      <c r="L78" s="225">
        <v>2230</v>
      </c>
      <c r="M78" s="225">
        <v>2065</v>
      </c>
    </row>
    <row r="79" spans="1:13">
      <c r="A79" s="324" t="s">
        <v>441</v>
      </c>
      <c r="B79" s="325">
        <v>85</v>
      </c>
      <c r="C79" s="325">
        <v>112</v>
      </c>
      <c r="D79" s="325">
        <v>183</v>
      </c>
      <c r="E79" s="325">
        <v>271</v>
      </c>
      <c r="F79" s="325">
        <v>151</v>
      </c>
      <c r="G79" s="325">
        <v>108</v>
      </c>
      <c r="H79" s="325">
        <v>116</v>
      </c>
      <c r="I79" s="325">
        <v>241</v>
      </c>
      <c r="J79" s="105">
        <v>396</v>
      </c>
      <c r="K79" s="105">
        <v>450</v>
      </c>
      <c r="L79" s="225">
        <v>463</v>
      </c>
      <c r="M79" s="225">
        <v>463</v>
      </c>
    </row>
    <row r="80" spans="1:13">
      <c r="A80" s="324" t="s">
        <v>442</v>
      </c>
      <c r="B80" s="325">
        <v>1120</v>
      </c>
      <c r="C80" s="325">
        <v>1851</v>
      </c>
      <c r="D80" s="325">
        <v>1671</v>
      </c>
      <c r="E80" s="325">
        <v>1662</v>
      </c>
      <c r="F80" s="325">
        <v>1635</v>
      </c>
      <c r="G80" s="325">
        <v>1873</v>
      </c>
      <c r="H80" s="325">
        <v>1636</v>
      </c>
      <c r="I80" s="325">
        <v>1572</v>
      </c>
      <c r="J80" s="105">
        <v>2024</v>
      </c>
      <c r="K80" s="105">
        <v>1882</v>
      </c>
      <c r="L80" s="225">
        <v>1916</v>
      </c>
      <c r="M80" s="225">
        <v>2316</v>
      </c>
    </row>
    <row r="81" spans="1:13">
      <c r="A81" s="324" t="s">
        <v>443</v>
      </c>
      <c r="B81" s="325">
        <v>551</v>
      </c>
      <c r="C81" s="325">
        <v>701</v>
      </c>
      <c r="D81" s="325">
        <v>920</v>
      </c>
      <c r="E81" s="325">
        <v>1525</v>
      </c>
      <c r="F81" s="325">
        <v>1367</v>
      </c>
      <c r="G81" s="325">
        <v>912</v>
      </c>
      <c r="H81" s="325">
        <v>778</v>
      </c>
      <c r="I81" s="325">
        <v>720</v>
      </c>
      <c r="J81" s="105">
        <v>846</v>
      </c>
      <c r="K81" s="105">
        <v>650</v>
      </c>
      <c r="L81" s="225">
        <v>637</v>
      </c>
      <c r="M81" s="225">
        <v>661</v>
      </c>
    </row>
    <row r="82" spans="1:13">
      <c r="A82" s="324" t="s">
        <v>444</v>
      </c>
      <c r="B82" s="325">
        <v>2280</v>
      </c>
      <c r="C82" s="325">
        <v>2658</v>
      </c>
      <c r="D82" s="325">
        <v>2645</v>
      </c>
      <c r="E82" s="325">
        <v>3230</v>
      </c>
      <c r="F82" s="325">
        <v>3131</v>
      </c>
      <c r="G82" s="325">
        <v>3377</v>
      </c>
      <c r="H82" s="325">
        <v>2795</v>
      </c>
      <c r="I82" s="325">
        <v>2815</v>
      </c>
      <c r="J82" s="105">
        <v>1996</v>
      </c>
      <c r="K82" s="105">
        <v>2023</v>
      </c>
      <c r="L82" s="225">
        <v>2123</v>
      </c>
      <c r="M82" s="225">
        <v>2495</v>
      </c>
    </row>
    <row r="83" spans="1:13">
      <c r="A83" s="324" t="s">
        <v>445</v>
      </c>
      <c r="B83" s="325">
        <v>172</v>
      </c>
      <c r="C83" s="325">
        <v>161</v>
      </c>
      <c r="D83" s="325">
        <v>276</v>
      </c>
      <c r="E83" s="325">
        <v>341</v>
      </c>
      <c r="F83" s="325">
        <v>221</v>
      </c>
      <c r="G83" s="325">
        <v>398</v>
      </c>
      <c r="H83" s="325">
        <v>250</v>
      </c>
      <c r="I83" s="325">
        <v>225</v>
      </c>
      <c r="J83" s="105">
        <v>199</v>
      </c>
      <c r="K83" s="105">
        <v>186</v>
      </c>
      <c r="L83" s="225">
        <v>159</v>
      </c>
      <c r="M83" s="225">
        <v>167</v>
      </c>
    </row>
    <row r="84" spans="1:13">
      <c r="A84" s="324" t="s">
        <v>446</v>
      </c>
      <c r="B84" s="328">
        <v>4</v>
      </c>
      <c r="C84" s="328">
        <v>5</v>
      </c>
      <c r="D84" s="328">
        <v>16</v>
      </c>
      <c r="E84" s="328">
        <v>5</v>
      </c>
      <c r="F84" s="328">
        <v>11</v>
      </c>
      <c r="G84" s="328">
        <v>22</v>
      </c>
      <c r="H84" s="328">
        <v>17</v>
      </c>
      <c r="I84" s="325">
        <v>18</v>
      </c>
      <c r="J84" s="105">
        <v>15</v>
      </c>
      <c r="K84" s="105">
        <v>5</v>
      </c>
      <c r="L84" s="225">
        <v>3</v>
      </c>
      <c r="M84" s="225">
        <v>21</v>
      </c>
    </row>
    <row r="85" spans="1:13">
      <c r="A85" s="324" t="s">
        <v>447</v>
      </c>
      <c r="B85" s="328">
        <v>9</v>
      </c>
      <c r="C85" s="328">
        <v>26</v>
      </c>
      <c r="D85" s="328">
        <v>28</v>
      </c>
      <c r="E85" s="328">
        <v>11</v>
      </c>
      <c r="F85" s="328">
        <v>4</v>
      </c>
      <c r="G85" s="328">
        <v>8</v>
      </c>
      <c r="H85" s="328">
        <v>6</v>
      </c>
      <c r="I85" s="325">
        <v>15</v>
      </c>
      <c r="J85" s="105">
        <v>9</v>
      </c>
      <c r="K85" s="105">
        <v>15</v>
      </c>
      <c r="L85" s="225">
        <v>17</v>
      </c>
      <c r="M85" s="225">
        <v>24</v>
      </c>
    </row>
    <row r="86" spans="1:13">
      <c r="A86" s="324" t="s">
        <v>448</v>
      </c>
      <c r="B86" s="328">
        <v>78</v>
      </c>
      <c r="C86" s="328">
        <v>34</v>
      </c>
      <c r="D86" s="328">
        <v>54</v>
      </c>
      <c r="E86" s="328">
        <v>33</v>
      </c>
      <c r="F86" s="328">
        <v>16</v>
      </c>
      <c r="G86" s="328">
        <v>26</v>
      </c>
      <c r="H86" s="328">
        <v>34</v>
      </c>
      <c r="I86" s="325">
        <v>34</v>
      </c>
      <c r="J86" s="105">
        <v>41</v>
      </c>
      <c r="K86" s="105">
        <v>27</v>
      </c>
      <c r="L86" s="225">
        <v>64</v>
      </c>
      <c r="M86" s="225">
        <v>51</v>
      </c>
    </row>
    <row r="87" spans="1:13">
      <c r="A87" s="324" t="s">
        <v>449</v>
      </c>
      <c r="B87" s="325">
        <v>599</v>
      </c>
      <c r="C87" s="325">
        <v>635</v>
      </c>
      <c r="D87" s="325">
        <v>760</v>
      </c>
      <c r="E87" s="325">
        <v>594</v>
      </c>
      <c r="F87" s="325">
        <v>716</v>
      </c>
      <c r="G87" s="325">
        <v>884</v>
      </c>
      <c r="H87" s="325">
        <v>641</v>
      </c>
      <c r="I87" s="325">
        <v>517</v>
      </c>
      <c r="J87" s="105">
        <v>451</v>
      </c>
      <c r="K87" s="105">
        <v>335</v>
      </c>
      <c r="L87" s="225">
        <v>380</v>
      </c>
      <c r="M87" s="225">
        <v>438</v>
      </c>
    </row>
    <row r="88" spans="1:13">
      <c r="A88" s="324" t="s">
        <v>450</v>
      </c>
      <c r="B88" s="328">
        <v>0</v>
      </c>
      <c r="C88" s="328">
        <v>23</v>
      </c>
      <c r="D88" s="328">
        <v>19</v>
      </c>
      <c r="E88" s="328">
        <v>12</v>
      </c>
      <c r="F88" s="328">
        <v>7</v>
      </c>
      <c r="G88" s="328">
        <v>14</v>
      </c>
      <c r="H88" s="328">
        <v>5</v>
      </c>
      <c r="I88" s="325">
        <v>23</v>
      </c>
      <c r="J88" s="105">
        <v>14</v>
      </c>
      <c r="K88" s="105">
        <v>20</v>
      </c>
      <c r="L88" s="225">
        <v>30</v>
      </c>
      <c r="M88" s="225">
        <v>19</v>
      </c>
    </row>
    <row r="89" spans="1:13">
      <c r="A89" s="324" t="s">
        <v>451</v>
      </c>
      <c r="B89" s="325">
        <v>267</v>
      </c>
      <c r="C89" s="325">
        <v>237</v>
      </c>
      <c r="D89" s="325">
        <v>115</v>
      </c>
      <c r="E89" s="325">
        <v>243</v>
      </c>
      <c r="F89" s="325">
        <v>65</v>
      </c>
      <c r="G89" s="325">
        <v>125</v>
      </c>
      <c r="H89" s="325">
        <v>98</v>
      </c>
      <c r="I89" s="325">
        <v>177</v>
      </c>
      <c r="J89" s="105">
        <v>218</v>
      </c>
      <c r="K89" s="105">
        <v>142</v>
      </c>
      <c r="L89" s="225">
        <v>193</v>
      </c>
      <c r="M89" s="225">
        <v>162</v>
      </c>
    </row>
    <row r="90" spans="1:13">
      <c r="A90" s="324" t="s">
        <v>452</v>
      </c>
      <c r="B90" s="325">
        <v>3024</v>
      </c>
      <c r="C90" s="325">
        <v>6088</v>
      </c>
      <c r="D90" s="325">
        <v>5785</v>
      </c>
      <c r="E90" s="325">
        <v>4568</v>
      </c>
      <c r="F90" s="325">
        <v>3616</v>
      </c>
      <c r="G90" s="325">
        <v>4451</v>
      </c>
      <c r="H90" s="325">
        <v>3449</v>
      </c>
      <c r="I90" s="325">
        <v>2962</v>
      </c>
      <c r="J90" s="105">
        <v>3083</v>
      </c>
      <c r="K90" s="105">
        <v>2465</v>
      </c>
      <c r="L90" s="225">
        <v>2403</v>
      </c>
      <c r="M90" s="225">
        <v>2911</v>
      </c>
    </row>
    <row r="91" spans="1:13">
      <c r="A91" s="324" t="s">
        <v>438</v>
      </c>
      <c r="B91" s="325">
        <v>2689</v>
      </c>
      <c r="C91" s="325">
        <v>3711</v>
      </c>
      <c r="D91" s="325">
        <v>4030</v>
      </c>
      <c r="E91" s="325">
        <v>3008</v>
      </c>
      <c r="F91" s="325">
        <v>2093</v>
      </c>
      <c r="G91" s="325">
        <v>2799</v>
      </c>
      <c r="H91" s="325">
        <v>3605</v>
      </c>
      <c r="I91" s="325">
        <v>1213</v>
      </c>
      <c r="J91" s="105">
        <v>1484</v>
      </c>
      <c r="K91" s="105">
        <v>1012</v>
      </c>
      <c r="L91" s="225">
        <v>631</v>
      </c>
      <c r="M91" s="225">
        <v>447</v>
      </c>
    </row>
    <row r="92" spans="1:13">
      <c r="A92" s="324"/>
      <c r="B92" s="325"/>
      <c r="C92" s="325"/>
      <c r="D92" s="325"/>
      <c r="E92" s="325"/>
      <c r="F92" s="325"/>
      <c r="G92" s="325"/>
      <c r="H92" s="325"/>
      <c r="I92" s="325"/>
    </row>
    <row r="93" spans="1:13">
      <c r="A93" s="230" t="s">
        <v>453</v>
      </c>
      <c r="B93" s="231">
        <f>SUM(B94:B97)</f>
        <v>44426</v>
      </c>
      <c r="C93" s="231">
        <f t="shared" ref="C93:M93" si="3">SUM(C94:C97)</f>
        <v>44263</v>
      </c>
      <c r="D93" s="231">
        <f t="shared" si="3"/>
        <v>42232</v>
      </c>
      <c r="E93" s="231">
        <f t="shared" si="3"/>
        <v>40769</v>
      </c>
      <c r="F93" s="231">
        <f t="shared" si="3"/>
        <v>49254</v>
      </c>
      <c r="G93" s="231">
        <f t="shared" si="3"/>
        <v>53471</v>
      </c>
      <c r="H93" s="231">
        <f t="shared" si="3"/>
        <v>51543</v>
      </c>
      <c r="I93" s="231">
        <f t="shared" si="3"/>
        <v>42148</v>
      </c>
      <c r="J93" s="231">
        <f t="shared" si="3"/>
        <v>36531</v>
      </c>
      <c r="K93" s="231">
        <f t="shared" si="3"/>
        <v>30714</v>
      </c>
      <c r="L93" s="231">
        <f t="shared" si="3"/>
        <v>30275</v>
      </c>
      <c r="M93" s="231">
        <f t="shared" si="3"/>
        <v>30921</v>
      </c>
    </row>
    <row r="94" spans="1:13">
      <c r="A94" s="324" t="s">
        <v>454</v>
      </c>
      <c r="B94" s="325">
        <v>27</v>
      </c>
      <c r="C94" s="325">
        <v>195</v>
      </c>
      <c r="D94" s="325">
        <v>124</v>
      </c>
      <c r="E94" s="325">
        <v>231</v>
      </c>
      <c r="F94" s="325">
        <v>239</v>
      </c>
      <c r="G94" s="325">
        <v>231</v>
      </c>
      <c r="H94" s="325">
        <v>291</v>
      </c>
      <c r="I94" s="325">
        <v>191</v>
      </c>
      <c r="J94" s="105">
        <v>42</v>
      </c>
      <c r="K94" s="105">
        <v>25</v>
      </c>
      <c r="L94" s="225">
        <v>30</v>
      </c>
      <c r="M94" s="225">
        <v>50</v>
      </c>
    </row>
    <row r="95" spans="1:13">
      <c r="A95" s="324" t="s">
        <v>455</v>
      </c>
      <c r="B95" s="325">
        <v>5698</v>
      </c>
      <c r="C95" s="325">
        <v>6459</v>
      </c>
      <c r="D95" s="325">
        <v>6490</v>
      </c>
      <c r="E95" s="325">
        <v>7631</v>
      </c>
      <c r="F95" s="325">
        <v>7759</v>
      </c>
      <c r="G95" s="325">
        <v>9833</v>
      </c>
      <c r="H95" s="325">
        <v>7747</v>
      </c>
      <c r="I95" s="325">
        <v>6952</v>
      </c>
      <c r="J95" s="105">
        <v>6129</v>
      </c>
      <c r="K95" s="105">
        <v>5948</v>
      </c>
      <c r="L95" s="225">
        <v>6056</v>
      </c>
      <c r="M95" s="225">
        <v>6151</v>
      </c>
    </row>
    <row r="96" spans="1:13">
      <c r="A96" s="324" t="s">
        <v>456</v>
      </c>
      <c r="B96" s="325">
        <v>18187</v>
      </c>
      <c r="C96" s="325">
        <v>18037</v>
      </c>
      <c r="D96" s="325">
        <v>17201</v>
      </c>
      <c r="E96" s="325">
        <v>15902</v>
      </c>
      <c r="F96" s="325">
        <v>19441</v>
      </c>
      <c r="G96" s="325">
        <v>22092</v>
      </c>
      <c r="H96" s="325">
        <v>22291</v>
      </c>
      <c r="I96" s="325">
        <v>18225</v>
      </c>
      <c r="J96" s="105">
        <v>15461</v>
      </c>
      <c r="K96" s="105">
        <v>12923</v>
      </c>
      <c r="L96" s="232">
        <v>12433</v>
      </c>
      <c r="M96" s="232">
        <v>12676</v>
      </c>
    </row>
    <row r="97" spans="1:13">
      <c r="A97" s="324" t="s">
        <v>457</v>
      </c>
      <c r="B97" s="325">
        <v>20514</v>
      </c>
      <c r="C97" s="325">
        <v>19572</v>
      </c>
      <c r="D97" s="325">
        <v>18417</v>
      </c>
      <c r="E97" s="325">
        <v>17005</v>
      </c>
      <c r="F97" s="325">
        <v>21815</v>
      </c>
      <c r="G97" s="325">
        <v>21315</v>
      </c>
      <c r="H97" s="325">
        <v>21214</v>
      </c>
      <c r="I97" s="325">
        <v>16780</v>
      </c>
      <c r="J97" s="105">
        <v>14899</v>
      </c>
      <c r="K97" s="105">
        <v>11818</v>
      </c>
      <c r="L97" s="95">
        <v>11756</v>
      </c>
      <c r="M97" s="104">
        <v>12044</v>
      </c>
    </row>
    <row r="98" spans="1:13">
      <c r="A98" s="100"/>
      <c r="B98" s="99"/>
      <c r="C98" s="99"/>
      <c r="D98" s="99"/>
      <c r="E98" s="99"/>
      <c r="F98" s="99"/>
      <c r="G98" s="99"/>
      <c r="H98" s="99"/>
      <c r="I98" s="99"/>
    </row>
    <row r="99" spans="1:13">
      <c r="A99" s="230" t="s">
        <v>458</v>
      </c>
      <c r="B99" s="231">
        <f>SUM(B100:B128)+SUM(B134:B137)</f>
        <v>26095</v>
      </c>
      <c r="C99" s="231">
        <f t="shared" ref="C99:M99" si="4">SUM(C100:C128)+SUM(C134:C137)</f>
        <v>35516</v>
      </c>
      <c r="D99" s="231">
        <f t="shared" si="4"/>
        <v>31961</v>
      </c>
      <c r="E99" s="231">
        <f t="shared" si="4"/>
        <v>27103</v>
      </c>
      <c r="F99" s="231">
        <f t="shared" si="4"/>
        <v>30045</v>
      </c>
      <c r="G99" s="231">
        <f t="shared" si="4"/>
        <v>44296</v>
      </c>
      <c r="H99" s="231">
        <f t="shared" si="4"/>
        <v>42413</v>
      </c>
      <c r="I99" s="231">
        <f t="shared" si="4"/>
        <v>37580</v>
      </c>
      <c r="J99" s="231">
        <f t="shared" si="4"/>
        <v>29571</v>
      </c>
      <c r="K99" s="231">
        <f t="shared" si="4"/>
        <v>29641</v>
      </c>
      <c r="L99" s="231">
        <f t="shared" si="4"/>
        <v>23960</v>
      </c>
      <c r="M99" s="231">
        <f t="shared" si="4"/>
        <v>25023</v>
      </c>
    </row>
    <row r="100" spans="1:13" s="98" customFormat="1">
      <c r="A100" s="324" t="s">
        <v>459</v>
      </c>
      <c r="B100" s="101"/>
      <c r="C100" s="101"/>
      <c r="D100" s="101"/>
      <c r="E100" s="101"/>
      <c r="F100" s="101"/>
      <c r="G100" s="101"/>
      <c r="H100" s="101"/>
      <c r="I100" s="101"/>
      <c r="J100" s="102">
        <v>0</v>
      </c>
      <c r="K100" s="102">
        <v>38</v>
      </c>
      <c r="L100" s="225">
        <v>53</v>
      </c>
      <c r="M100" s="225">
        <v>63</v>
      </c>
    </row>
    <row r="101" spans="1:13">
      <c r="A101" s="324" t="s">
        <v>460</v>
      </c>
      <c r="B101" s="325">
        <v>241</v>
      </c>
      <c r="C101" s="325">
        <v>418</v>
      </c>
      <c r="D101" s="325">
        <v>515</v>
      </c>
      <c r="E101" s="325">
        <v>546</v>
      </c>
      <c r="F101" s="325">
        <v>259</v>
      </c>
      <c r="G101" s="325">
        <v>321</v>
      </c>
      <c r="H101" s="325">
        <v>471</v>
      </c>
      <c r="I101" s="325">
        <v>301</v>
      </c>
      <c r="J101" s="102">
        <v>328</v>
      </c>
      <c r="K101" s="102">
        <v>215</v>
      </c>
      <c r="L101" s="225">
        <v>265</v>
      </c>
      <c r="M101" s="225">
        <v>324</v>
      </c>
    </row>
    <row r="102" spans="1:13">
      <c r="A102" s="324" t="s">
        <v>461</v>
      </c>
      <c r="B102" s="325">
        <v>421</v>
      </c>
      <c r="C102" s="325">
        <v>484</v>
      </c>
      <c r="D102" s="325">
        <v>453</v>
      </c>
      <c r="E102" s="325">
        <v>486</v>
      </c>
      <c r="F102" s="325">
        <v>451</v>
      </c>
      <c r="G102" s="325">
        <v>450</v>
      </c>
      <c r="H102" s="325">
        <v>493</v>
      </c>
      <c r="I102" s="325">
        <v>590</v>
      </c>
      <c r="J102" s="102">
        <v>585</v>
      </c>
      <c r="K102" s="102">
        <v>479</v>
      </c>
      <c r="L102" s="225">
        <v>636</v>
      </c>
      <c r="M102" s="225">
        <v>575</v>
      </c>
    </row>
    <row r="103" spans="1:13">
      <c r="A103" s="324" t="s">
        <v>462</v>
      </c>
      <c r="B103" s="329">
        <v>22</v>
      </c>
      <c r="C103" s="329">
        <v>21</v>
      </c>
      <c r="D103" s="329">
        <v>33</v>
      </c>
      <c r="E103" s="329">
        <v>23</v>
      </c>
      <c r="F103" s="329">
        <v>32</v>
      </c>
      <c r="G103" s="329">
        <v>52</v>
      </c>
      <c r="H103" s="329">
        <v>18</v>
      </c>
      <c r="I103" s="249">
        <v>24</v>
      </c>
      <c r="J103" s="102">
        <v>27</v>
      </c>
      <c r="K103" s="102">
        <v>16</v>
      </c>
      <c r="L103" s="225">
        <v>28</v>
      </c>
      <c r="M103" s="225">
        <v>63</v>
      </c>
    </row>
    <row r="104" spans="1:13">
      <c r="A104" s="324" t="s">
        <v>463</v>
      </c>
      <c r="B104" s="329">
        <v>51</v>
      </c>
      <c r="C104" s="329">
        <v>17</v>
      </c>
      <c r="D104" s="329">
        <v>34</v>
      </c>
      <c r="E104" s="329">
        <v>66</v>
      </c>
      <c r="F104" s="329">
        <v>85</v>
      </c>
      <c r="G104" s="329">
        <v>91</v>
      </c>
      <c r="H104" s="329">
        <v>84</v>
      </c>
      <c r="I104" s="249">
        <v>22</v>
      </c>
      <c r="J104" s="102">
        <v>61</v>
      </c>
      <c r="K104" s="102">
        <v>82</v>
      </c>
      <c r="L104" s="225">
        <v>78</v>
      </c>
      <c r="M104" s="225">
        <v>100</v>
      </c>
    </row>
    <row r="105" spans="1:13">
      <c r="A105" s="324" t="s">
        <v>464</v>
      </c>
      <c r="B105" s="325">
        <v>255</v>
      </c>
      <c r="C105" s="325">
        <v>272</v>
      </c>
      <c r="D105" s="325">
        <v>840</v>
      </c>
      <c r="E105" s="325">
        <v>211</v>
      </c>
      <c r="F105" s="325">
        <v>416</v>
      </c>
      <c r="G105" s="325">
        <v>494</v>
      </c>
      <c r="H105" s="325">
        <v>528</v>
      </c>
      <c r="I105" s="249">
        <v>598</v>
      </c>
      <c r="J105" s="102">
        <v>547</v>
      </c>
      <c r="K105" s="102">
        <v>656</v>
      </c>
      <c r="L105" s="225">
        <v>612</v>
      </c>
      <c r="M105" s="225">
        <v>590</v>
      </c>
    </row>
    <row r="106" spans="1:13">
      <c r="A106" s="324" t="s">
        <v>465</v>
      </c>
      <c r="B106" s="325">
        <v>104</v>
      </c>
      <c r="C106" s="325">
        <v>117</v>
      </c>
      <c r="D106" s="325">
        <v>112</v>
      </c>
      <c r="E106" s="325">
        <v>291</v>
      </c>
      <c r="F106" s="325">
        <v>238</v>
      </c>
      <c r="G106" s="325">
        <v>501</v>
      </c>
      <c r="H106" s="325">
        <v>174</v>
      </c>
      <c r="I106" s="249">
        <v>387</v>
      </c>
      <c r="J106" s="102">
        <v>207</v>
      </c>
      <c r="K106" s="102">
        <v>241</v>
      </c>
      <c r="L106" s="225">
        <v>369</v>
      </c>
      <c r="M106" s="225">
        <v>349</v>
      </c>
    </row>
    <row r="107" spans="1:13">
      <c r="A107" s="324" t="s">
        <v>466</v>
      </c>
      <c r="B107" s="325">
        <v>1498</v>
      </c>
      <c r="C107" s="325">
        <v>1551</v>
      </c>
      <c r="D107" s="325">
        <v>1957</v>
      </c>
      <c r="E107" s="325">
        <v>1775</v>
      </c>
      <c r="F107" s="325">
        <v>2009</v>
      </c>
      <c r="G107" s="325">
        <v>2705</v>
      </c>
      <c r="H107" s="325">
        <v>1859</v>
      </c>
      <c r="I107" s="249">
        <v>1424</v>
      </c>
      <c r="J107" s="102">
        <v>1243</v>
      </c>
      <c r="K107" s="102">
        <v>1499</v>
      </c>
      <c r="L107" s="225">
        <v>1521</v>
      </c>
      <c r="M107" s="225">
        <v>1889</v>
      </c>
    </row>
    <row r="108" spans="1:13">
      <c r="A108" s="324" t="s">
        <v>467</v>
      </c>
      <c r="B108" s="325">
        <v>4256</v>
      </c>
      <c r="C108" s="325">
        <v>2947</v>
      </c>
      <c r="D108" s="325">
        <v>3371</v>
      </c>
      <c r="E108" s="325">
        <v>2858</v>
      </c>
      <c r="F108" s="325">
        <v>3038</v>
      </c>
      <c r="G108" s="325">
        <v>4395</v>
      </c>
      <c r="H108" s="325">
        <v>2578</v>
      </c>
      <c r="I108" s="249">
        <v>2758</v>
      </c>
      <c r="J108" s="102">
        <v>2582</v>
      </c>
      <c r="K108" s="102">
        <v>2676</v>
      </c>
      <c r="L108" s="225">
        <v>2932</v>
      </c>
      <c r="M108" s="225">
        <v>3520</v>
      </c>
    </row>
    <row r="109" spans="1:13">
      <c r="A109" s="324" t="s">
        <v>468</v>
      </c>
      <c r="B109" s="329">
        <v>28</v>
      </c>
      <c r="C109" s="329">
        <v>1</v>
      </c>
      <c r="D109" s="329">
        <v>0</v>
      </c>
      <c r="E109" s="329">
        <v>12</v>
      </c>
      <c r="F109" s="329">
        <v>10</v>
      </c>
      <c r="G109" s="329">
        <v>11</v>
      </c>
      <c r="H109" s="329">
        <v>9</v>
      </c>
      <c r="I109" s="249">
        <v>25</v>
      </c>
      <c r="J109" s="102">
        <v>6</v>
      </c>
      <c r="K109" s="102">
        <v>33</v>
      </c>
      <c r="L109" s="225">
        <v>3</v>
      </c>
      <c r="M109" s="225">
        <v>4</v>
      </c>
    </row>
    <row r="110" spans="1:13">
      <c r="A110" s="324" t="s">
        <v>469</v>
      </c>
      <c r="B110" s="325">
        <v>64</v>
      </c>
      <c r="C110" s="325">
        <v>95</v>
      </c>
      <c r="D110" s="325">
        <v>173</v>
      </c>
      <c r="E110" s="325">
        <v>120</v>
      </c>
      <c r="F110" s="325">
        <v>141</v>
      </c>
      <c r="G110" s="325">
        <v>82</v>
      </c>
      <c r="H110" s="325">
        <v>91</v>
      </c>
      <c r="I110" s="249">
        <v>138</v>
      </c>
      <c r="J110" s="102">
        <v>156</v>
      </c>
      <c r="K110" s="102">
        <v>437</v>
      </c>
      <c r="L110" s="225">
        <v>442</v>
      </c>
      <c r="M110" s="225">
        <v>410</v>
      </c>
    </row>
    <row r="111" spans="1:13">
      <c r="A111" s="324" t="s">
        <v>470</v>
      </c>
      <c r="B111" s="329">
        <v>43</v>
      </c>
      <c r="C111" s="329">
        <v>39</v>
      </c>
      <c r="D111" s="329">
        <v>65</v>
      </c>
      <c r="E111" s="329">
        <v>46</v>
      </c>
      <c r="F111" s="329">
        <v>90</v>
      </c>
      <c r="G111" s="329">
        <v>116</v>
      </c>
      <c r="H111" s="329">
        <v>59</v>
      </c>
      <c r="I111" s="249">
        <v>71</v>
      </c>
      <c r="J111" s="102">
        <v>84</v>
      </c>
      <c r="K111" s="102">
        <v>46</v>
      </c>
      <c r="L111" s="225">
        <v>48</v>
      </c>
      <c r="M111" s="225">
        <v>88</v>
      </c>
    </row>
    <row r="112" spans="1:13">
      <c r="A112" s="324" t="s">
        <v>471</v>
      </c>
      <c r="B112" s="329">
        <v>41</v>
      </c>
      <c r="C112" s="329">
        <v>9</v>
      </c>
      <c r="D112" s="329">
        <v>30</v>
      </c>
      <c r="E112" s="329">
        <v>31</v>
      </c>
      <c r="F112" s="329">
        <v>40</v>
      </c>
      <c r="G112" s="329">
        <v>28</v>
      </c>
      <c r="H112" s="329">
        <v>25</v>
      </c>
      <c r="I112" s="249">
        <v>7</v>
      </c>
      <c r="J112" s="102">
        <v>25</v>
      </c>
      <c r="K112" s="102">
        <v>11</v>
      </c>
      <c r="L112" s="225">
        <v>33</v>
      </c>
      <c r="M112" s="225">
        <v>30</v>
      </c>
    </row>
    <row r="113" spans="1:13">
      <c r="A113" s="324" t="s">
        <v>472</v>
      </c>
      <c r="B113" s="325">
        <v>209</v>
      </c>
      <c r="C113" s="325">
        <v>180</v>
      </c>
      <c r="D113" s="325">
        <v>205</v>
      </c>
      <c r="E113" s="325">
        <v>171</v>
      </c>
      <c r="F113" s="325">
        <v>332</v>
      </c>
      <c r="G113" s="325">
        <v>540</v>
      </c>
      <c r="H113" s="325">
        <v>263</v>
      </c>
      <c r="I113" s="249">
        <v>268</v>
      </c>
      <c r="J113" s="102">
        <v>382</v>
      </c>
      <c r="K113" s="102">
        <v>313</v>
      </c>
      <c r="L113" s="225">
        <v>346</v>
      </c>
      <c r="M113" s="225">
        <v>384</v>
      </c>
    </row>
    <row r="114" spans="1:13">
      <c r="A114" s="324" t="s">
        <v>473</v>
      </c>
      <c r="B114" s="325">
        <v>1387</v>
      </c>
      <c r="C114" s="325">
        <v>1713</v>
      </c>
      <c r="D114" s="325">
        <v>1679</v>
      </c>
      <c r="E114" s="325">
        <v>1827</v>
      </c>
      <c r="F114" s="325">
        <v>2358</v>
      </c>
      <c r="G114" s="325">
        <v>2709</v>
      </c>
      <c r="H114" s="325">
        <v>1686</v>
      </c>
      <c r="I114" s="249">
        <v>1530</v>
      </c>
      <c r="J114" s="102">
        <v>1371</v>
      </c>
      <c r="K114" s="102">
        <v>1413</v>
      </c>
      <c r="L114" s="225">
        <v>1306</v>
      </c>
      <c r="M114" s="225">
        <v>1412</v>
      </c>
    </row>
    <row r="115" spans="1:13">
      <c r="A115" s="324" t="s">
        <v>474</v>
      </c>
      <c r="B115" s="325">
        <v>49</v>
      </c>
      <c r="C115" s="325">
        <v>40</v>
      </c>
      <c r="D115" s="325">
        <v>21</v>
      </c>
      <c r="E115" s="325">
        <v>19</v>
      </c>
      <c r="F115" s="325">
        <v>9</v>
      </c>
      <c r="G115" s="325">
        <v>13</v>
      </c>
      <c r="H115" s="325">
        <v>14</v>
      </c>
      <c r="I115" s="249">
        <v>15</v>
      </c>
      <c r="J115" s="102">
        <v>22</v>
      </c>
      <c r="K115" s="102">
        <v>25</v>
      </c>
      <c r="L115" s="225">
        <v>29</v>
      </c>
      <c r="M115" s="225">
        <v>41</v>
      </c>
    </row>
    <row r="116" spans="1:13">
      <c r="A116" s="324" t="s">
        <v>475</v>
      </c>
      <c r="B116" s="329">
        <v>14</v>
      </c>
      <c r="C116" s="329">
        <v>25</v>
      </c>
      <c r="D116" s="329">
        <v>18</v>
      </c>
      <c r="E116" s="329">
        <v>12</v>
      </c>
      <c r="F116" s="329">
        <v>15</v>
      </c>
      <c r="G116" s="329">
        <v>10</v>
      </c>
      <c r="H116" s="329">
        <v>21</v>
      </c>
      <c r="I116" s="249">
        <v>29</v>
      </c>
      <c r="J116" s="102">
        <v>22</v>
      </c>
      <c r="K116" s="102">
        <v>16</v>
      </c>
      <c r="L116" s="225">
        <v>14</v>
      </c>
      <c r="M116" s="225">
        <v>8</v>
      </c>
    </row>
    <row r="117" spans="1:13">
      <c r="A117" s="324" t="s">
        <v>476</v>
      </c>
      <c r="B117" s="325">
        <v>1541</v>
      </c>
      <c r="C117" s="325">
        <v>1430</v>
      </c>
      <c r="D117" s="325">
        <v>1152</v>
      </c>
      <c r="E117" s="325">
        <v>916</v>
      </c>
      <c r="F117" s="325">
        <v>934</v>
      </c>
      <c r="G117" s="325">
        <v>774</v>
      </c>
      <c r="H117" s="325">
        <v>740</v>
      </c>
      <c r="I117" s="249">
        <v>837</v>
      </c>
      <c r="J117" s="102">
        <v>808</v>
      </c>
      <c r="K117" s="102">
        <v>784</v>
      </c>
      <c r="L117" s="225">
        <v>808</v>
      </c>
      <c r="M117" s="225">
        <v>790</v>
      </c>
    </row>
    <row r="118" spans="1:13">
      <c r="A118" s="324" t="s">
        <v>477</v>
      </c>
      <c r="B118" s="325">
        <v>306</v>
      </c>
      <c r="C118" s="325">
        <v>400</v>
      </c>
      <c r="D118" s="325">
        <v>272</v>
      </c>
      <c r="E118" s="325">
        <v>225</v>
      </c>
      <c r="F118" s="325">
        <v>305</v>
      </c>
      <c r="G118" s="325">
        <v>315</v>
      </c>
      <c r="H118" s="325">
        <v>303</v>
      </c>
      <c r="I118" s="249">
        <v>390</v>
      </c>
      <c r="J118" s="102">
        <v>406</v>
      </c>
      <c r="K118" s="102">
        <v>301</v>
      </c>
      <c r="L118" s="225">
        <v>358</v>
      </c>
      <c r="M118" s="225">
        <v>306</v>
      </c>
    </row>
    <row r="119" spans="1:13">
      <c r="A119" s="324" t="s">
        <v>478</v>
      </c>
      <c r="B119" s="329">
        <v>42</v>
      </c>
      <c r="C119" s="329">
        <v>54</v>
      </c>
      <c r="D119" s="329">
        <v>43</v>
      </c>
      <c r="E119" s="329">
        <v>65</v>
      </c>
      <c r="F119" s="329">
        <v>64</v>
      </c>
      <c r="G119" s="329">
        <v>78</v>
      </c>
      <c r="H119" s="329">
        <v>47</v>
      </c>
      <c r="I119" s="249">
        <v>27</v>
      </c>
      <c r="J119" s="102">
        <v>60</v>
      </c>
      <c r="K119" s="102">
        <v>161</v>
      </c>
      <c r="L119" s="225">
        <v>82</v>
      </c>
      <c r="M119" s="225">
        <v>132</v>
      </c>
    </row>
    <row r="120" spans="1:13">
      <c r="A120" s="324" t="s">
        <v>479</v>
      </c>
      <c r="B120" s="325">
        <v>191</v>
      </c>
      <c r="C120" s="325">
        <v>277</v>
      </c>
      <c r="D120" s="325">
        <v>233</v>
      </c>
      <c r="E120" s="325">
        <v>268</v>
      </c>
      <c r="F120" s="325">
        <v>375</v>
      </c>
      <c r="G120" s="325">
        <v>302</v>
      </c>
      <c r="H120" s="325">
        <v>264</v>
      </c>
      <c r="I120" s="249">
        <v>220</v>
      </c>
      <c r="J120" s="102">
        <v>146</v>
      </c>
      <c r="K120" s="102">
        <v>296</v>
      </c>
      <c r="L120" s="225">
        <v>146</v>
      </c>
      <c r="M120" s="225">
        <v>197</v>
      </c>
    </row>
    <row r="121" spans="1:13">
      <c r="A121" s="324" t="s">
        <v>480</v>
      </c>
      <c r="B121" s="329">
        <v>28</v>
      </c>
      <c r="C121" s="329">
        <v>55</v>
      </c>
      <c r="D121" s="329">
        <v>36</v>
      </c>
      <c r="E121" s="329">
        <v>43</v>
      </c>
      <c r="F121" s="329">
        <v>72</v>
      </c>
      <c r="G121" s="329">
        <v>58</v>
      </c>
      <c r="H121" s="329">
        <v>44</v>
      </c>
      <c r="I121" s="249">
        <v>35</v>
      </c>
      <c r="J121" s="102">
        <v>43</v>
      </c>
      <c r="K121" s="102">
        <v>40</v>
      </c>
      <c r="L121" s="225">
        <v>33</v>
      </c>
      <c r="M121" s="225">
        <v>42</v>
      </c>
    </row>
    <row r="122" spans="1:13">
      <c r="A122" s="324" t="s">
        <v>481</v>
      </c>
      <c r="B122" s="329">
        <v>4</v>
      </c>
      <c r="C122" s="329">
        <v>6</v>
      </c>
      <c r="D122" s="329">
        <v>2</v>
      </c>
      <c r="E122" s="329">
        <v>18</v>
      </c>
      <c r="F122" s="329">
        <v>15</v>
      </c>
      <c r="G122" s="329">
        <v>0</v>
      </c>
      <c r="H122" s="329">
        <v>3</v>
      </c>
      <c r="I122" s="249">
        <v>3</v>
      </c>
      <c r="J122" s="102">
        <v>4</v>
      </c>
      <c r="K122" s="102">
        <v>12</v>
      </c>
      <c r="L122" s="225">
        <v>6</v>
      </c>
      <c r="M122" s="225">
        <v>3</v>
      </c>
    </row>
    <row r="123" spans="1:13">
      <c r="A123" s="324" t="s">
        <v>482</v>
      </c>
      <c r="B123" s="329"/>
      <c r="C123" s="329"/>
      <c r="D123" s="329"/>
      <c r="E123" s="329"/>
      <c r="F123" s="329"/>
      <c r="G123" s="329"/>
      <c r="H123" s="329"/>
      <c r="I123" s="249"/>
      <c r="J123" s="102">
        <v>0</v>
      </c>
      <c r="K123" s="102">
        <v>0</v>
      </c>
      <c r="L123" s="225">
        <v>27</v>
      </c>
      <c r="M123" s="225">
        <v>10</v>
      </c>
    </row>
    <row r="124" spans="1:13">
      <c r="A124" s="324" t="s">
        <v>483</v>
      </c>
      <c r="B124" s="325">
        <v>5412</v>
      </c>
      <c r="C124" s="325">
        <v>5335</v>
      </c>
      <c r="D124" s="325">
        <v>6816</v>
      </c>
      <c r="E124" s="325">
        <v>7696</v>
      </c>
      <c r="F124" s="325">
        <v>7825</v>
      </c>
      <c r="G124" s="325">
        <v>11001</v>
      </c>
      <c r="H124" s="325">
        <v>10631</v>
      </c>
      <c r="I124" s="249">
        <v>8992</v>
      </c>
      <c r="J124" s="102">
        <v>7267</v>
      </c>
      <c r="K124" s="102">
        <v>6754</v>
      </c>
      <c r="L124" s="225">
        <v>4739</v>
      </c>
      <c r="M124" s="225">
        <v>4604</v>
      </c>
    </row>
    <row r="125" spans="1:13">
      <c r="A125" s="324" t="s">
        <v>484</v>
      </c>
      <c r="B125" s="325">
        <v>434</v>
      </c>
      <c r="C125" s="325">
        <v>523</v>
      </c>
      <c r="D125" s="325">
        <v>478</v>
      </c>
      <c r="E125" s="325">
        <v>640</v>
      </c>
      <c r="F125" s="325">
        <v>739</v>
      </c>
      <c r="G125" s="325">
        <v>685</v>
      </c>
      <c r="H125" s="325">
        <v>617</v>
      </c>
      <c r="I125" s="249">
        <v>650</v>
      </c>
      <c r="J125" s="102">
        <v>789</v>
      </c>
      <c r="K125" s="102">
        <v>677</v>
      </c>
      <c r="L125" s="225">
        <v>762</v>
      </c>
      <c r="M125" s="225">
        <v>783</v>
      </c>
    </row>
    <row r="126" spans="1:13">
      <c r="A126" s="324" t="s">
        <v>485</v>
      </c>
      <c r="B126" s="325">
        <v>945</v>
      </c>
      <c r="C126" s="325">
        <v>795</v>
      </c>
      <c r="D126" s="325">
        <v>693</v>
      </c>
      <c r="E126" s="325">
        <v>717</v>
      </c>
      <c r="F126" s="325">
        <v>1001</v>
      </c>
      <c r="G126" s="325">
        <v>1170</v>
      </c>
      <c r="H126" s="325">
        <v>905</v>
      </c>
      <c r="I126" s="249">
        <v>903</v>
      </c>
      <c r="J126" s="102">
        <v>707</v>
      </c>
      <c r="K126" s="102">
        <v>575</v>
      </c>
      <c r="L126" s="225">
        <v>547</v>
      </c>
      <c r="M126" s="225">
        <v>673</v>
      </c>
    </row>
    <row r="127" spans="1:13">
      <c r="A127" s="324" t="s">
        <v>486</v>
      </c>
      <c r="B127" s="329">
        <v>125</v>
      </c>
      <c r="C127" s="329">
        <v>86</v>
      </c>
      <c r="D127" s="329">
        <v>118</v>
      </c>
      <c r="E127" s="329">
        <v>68</v>
      </c>
      <c r="F127" s="329">
        <v>97</v>
      </c>
      <c r="G127" s="329">
        <v>120</v>
      </c>
      <c r="H127" s="329">
        <v>60</v>
      </c>
      <c r="I127" s="249">
        <v>88</v>
      </c>
      <c r="J127" s="102">
        <v>63</v>
      </c>
      <c r="K127" s="102">
        <v>104</v>
      </c>
      <c r="L127" s="225">
        <v>76</v>
      </c>
      <c r="M127" s="225">
        <v>85</v>
      </c>
    </row>
    <row r="128" spans="1:13">
      <c r="A128" s="233" t="s">
        <v>487</v>
      </c>
      <c r="B128" s="234">
        <f>SUM(B129:B133)</f>
        <v>4673</v>
      </c>
      <c r="C128" s="234">
        <f t="shared" ref="C128:M128" si="5">SUM(C129:C133)</f>
        <v>6123</v>
      </c>
      <c r="D128" s="234">
        <f t="shared" si="5"/>
        <v>5521</v>
      </c>
      <c r="E128" s="234">
        <f t="shared" si="5"/>
        <v>5703</v>
      </c>
      <c r="F128" s="234">
        <f t="shared" si="5"/>
        <v>5732</v>
      </c>
      <c r="G128" s="234">
        <f t="shared" si="5"/>
        <v>5224</v>
      </c>
      <c r="H128" s="234">
        <f t="shared" si="5"/>
        <v>7358</v>
      </c>
      <c r="I128" s="234">
        <f t="shared" si="5"/>
        <v>6207</v>
      </c>
      <c r="J128" s="234">
        <f t="shared" si="5"/>
        <v>4258</v>
      </c>
      <c r="K128" s="234">
        <f t="shared" si="5"/>
        <v>2888</v>
      </c>
      <c r="L128" s="234">
        <f t="shared" si="5"/>
        <v>3535</v>
      </c>
      <c r="M128" s="234">
        <f t="shared" si="5"/>
        <v>3507</v>
      </c>
    </row>
    <row r="129" spans="1:13">
      <c r="A129" s="324" t="s">
        <v>488</v>
      </c>
      <c r="B129" s="325">
        <v>1308</v>
      </c>
      <c r="C129" s="325">
        <v>1037</v>
      </c>
      <c r="D129" s="325">
        <v>1287</v>
      </c>
      <c r="E129" s="325">
        <v>1083</v>
      </c>
      <c r="F129" s="325">
        <v>1404</v>
      </c>
      <c r="G129" s="325">
        <v>1166</v>
      </c>
      <c r="H129" s="325">
        <v>890</v>
      </c>
      <c r="I129" s="325">
        <v>791</v>
      </c>
      <c r="J129" s="105">
        <v>622</v>
      </c>
      <c r="K129" s="105">
        <v>482</v>
      </c>
      <c r="L129" s="225">
        <v>447</v>
      </c>
      <c r="M129" s="225">
        <v>387</v>
      </c>
    </row>
    <row r="130" spans="1:13">
      <c r="A130" s="324" t="s">
        <v>489</v>
      </c>
      <c r="B130" s="329">
        <v>14</v>
      </c>
      <c r="C130" s="329">
        <v>26</v>
      </c>
      <c r="D130" s="329">
        <v>70</v>
      </c>
      <c r="E130" s="329">
        <v>28</v>
      </c>
      <c r="F130" s="329">
        <v>72</v>
      </c>
      <c r="G130" s="329">
        <v>33</v>
      </c>
      <c r="H130" s="329">
        <v>40</v>
      </c>
      <c r="I130" s="249">
        <v>35</v>
      </c>
      <c r="J130" s="105">
        <v>16</v>
      </c>
      <c r="K130" s="105">
        <v>21</v>
      </c>
      <c r="L130" s="225">
        <v>5</v>
      </c>
      <c r="M130" s="225">
        <v>32</v>
      </c>
    </row>
    <row r="131" spans="1:13">
      <c r="A131" s="324" t="s">
        <v>490</v>
      </c>
      <c r="B131" s="325">
        <v>41</v>
      </c>
      <c r="C131" s="325">
        <v>61</v>
      </c>
      <c r="D131" s="325">
        <v>83</v>
      </c>
      <c r="E131" s="325">
        <v>52</v>
      </c>
      <c r="F131" s="325">
        <v>87</v>
      </c>
      <c r="G131" s="325">
        <v>39</v>
      </c>
      <c r="H131" s="325">
        <v>38</v>
      </c>
      <c r="I131" s="249">
        <v>40</v>
      </c>
      <c r="J131" s="105">
        <v>48</v>
      </c>
      <c r="K131" s="105">
        <v>19</v>
      </c>
      <c r="L131" s="225">
        <v>19</v>
      </c>
      <c r="M131" s="225">
        <v>26</v>
      </c>
    </row>
    <row r="132" spans="1:13">
      <c r="A132" s="324" t="s">
        <v>491</v>
      </c>
      <c r="B132" s="329">
        <v>3</v>
      </c>
      <c r="C132" s="329">
        <v>1</v>
      </c>
      <c r="D132" s="329">
        <v>5</v>
      </c>
      <c r="E132" s="329">
        <v>0</v>
      </c>
      <c r="F132" s="329">
        <v>2</v>
      </c>
      <c r="G132" s="329">
        <v>0</v>
      </c>
      <c r="H132" s="329">
        <v>7</v>
      </c>
      <c r="I132" s="249">
        <v>21</v>
      </c>
      <c r="J132" s="105">
        <v>4</v>
      </c>
      <c r="K132" s="105">
        <v>2</v>
      </c>
      <c r="L132" s="225">
        <v>2</v>
      </c>
      <c r="M132" s="225">
        <v>0</v>
      </c>
    </row>
    <row r="133" spans="1:13">
      <c r="A133" s="324" t="s">
        <v>492</v>
      </c>
      <c r="B133" s="329">
        <v>3307</v>
      </c>
      <c r="C133" s="329">
        <v>4998</v>
      </c>
      <c r="D133" s="329">
        <v>4076</v>
      </c>
      <c r="E133" s="329">
        <v>4540</v>
      </c>
      <c r="F133" s="329">
        <v>4167</v>
      </c>
      <c r="G133" s="329">
        <v>3986</v>
      </c>
      <c r="H133" s="329">
        <v>6383</v>
      </c>
      <c r="I133" s="249">
        <v>5320</v>
      </c>
      <c r="J133" s="105">
        <v>3568</v>
      </c>
      <c r="K133" s="105">
        <v>2364</v>
      </c>
      <c r="L133" s="225">
        <v>3062</v>
      </c>
      <c r="M133" s="225">
        <v>3062</v>
      </c>
    </row>
    <row r="134" spans="1:13">
      <c r="A134" s="324" t="s">
        <v>493</v>
      </c>
      <c r="B134" s="329">
        <v>112</v>
      </c>
      <c r="C134" s="329">
        <v>146</v>
      </c>
      <c r="D134" s="329">
        <v>141</v>
      </c>
      <c r="E134" s="329">
        <v>168</v>
      </c>
      <c r="F134" s="329">
        <v>191</v>
      </c>
      <c r="G134" s="329">
        <v>166</v>
      </c>
      <c r="H134" s="329">
        <v>132</v>
      </c>
      <c r="I134" s="249">
        <v>525</v>
      </c>
      <c r="J134" s="105">
        <v>799</v>
      </c>
      <c r="K134" s="104">
        <v>879</v>
      </c>
      <c r="L134" s="225">
        <v>746</v>
      </c>
      <c r="M134" s="225">
        <v>783</v>
      </c>
    </row>
    <row r="135" spans="1:13">
      <c r="A135" s="324" t="s">
        <v>494</v>
      </c>
      <c r="B135" s="329">
        <v>1</v>
      </c>
      <c r="C135" s="329">
        <v>16</v>
      </c>
      <c r="D135" s="329">
        <v>17</v>
      </c>
      <c r="E135" s="329">
        <v>8</v>
      </c>
      <c r="F135" s="329">
        <v>25</v>
      </c>
      <c r="G135" s="329">
        <v>35</v>
      </c>
      <c r="H135" s="329">
        <v>25</v>
      </c>
      <c r="I135" s="249">
        <v>65</v>
      </c>
      <c r="J135" s="104">
        <v>72</v>
      </c>
      <c r="K135" s="104">
        <v>82</v>
      </c>
      <c r="L135" s="232">
        <v>263</v>
      </c>
      <c r="M135" s="232">
        <v>194</v>
      </c>
    </row>
    <row r="136" spans="1:13">
      <c r="A136" s="324" t="s">
        <v>495</v>
      </c>
      <c r="B136" s="329"/>
      <c r="C136" s="329"/>
      <c r="D136" s="329"/>
      <c r="E136" s="329"/>
      <c r="F136" s="329"/>
      <c r="G136" s="329"/>
      <c r="H136" s="329"/>
      <c r="I136" s="328"/>
      <c r="J136" s="104">
        <v>0</v>
      </c>
      <c r="K136" s="104">
        <v>207</v>
      </c>
      <c r="L136" s="95">
        <v>59</v>
      </c>
      <c r="M136" s="104">
        <v>82</v>
      </c>
    </row>
    <row r="137" spans="1:13">
      <c r="A137" s="324" t="s">
        <v>496</v>
      </c>
      <c r="B137" s="325">
        <v>3598</v>
      </c>
      <c r="C137" s="325">
        <v>12341</v>
      </c>
      <c r="D137" s="325">
        <v>6933</v>
      </c>
      <c r="E137" s="325">
        <v>2074</v>
      </c>
      <c r="F137" s="325">
        <v>3147</v>
      </c>
      <c r="G137" s="325">
        <v>11850</v>
      </c>
      <c r="H137" s="325">
        <v>12911</v>
      </c>
      <c r="I137" s="325">
        <v>10451</v>
      </c>
      <c r="J137" s="103">
        <v>6501</v>
      </c>
      <c r="K137" s="103">
        <v>7685</v>
      </c>
      <c r="L137" s="95">
        <v>3058</v>
      </c>
      <c r="M137" s="104">
        <v>2982</v>
      </c>
    </row>
    <row r="138" spans="1:13">
      <c r="A138" s="324"/>
      <c r="B138" s="325"/>
      <c r="C138" s="325"/>
      <c r="D138" s="325"/>
      <c r="E138" s="325"/>
      <c r="F138" s="325"/>
      <c r="G138" s="325"/>
      <c r="H138" s="325"/>
      <c r="I138" s="325"/>
      <c r="K138" s="95" t="s">
        <v>135</v>
      </c>
    </row>
    <row r="139" spans="1:13">
      <c r="A139" s="230" t="s">
        <v>497</v>
      </c>
      <c r="B139" s="231">
        <f>SUM(B140:B147)</f>
        <v>1683</v>
      </c>
      <c r="C139" s="231">
        <f t="shared" ref="C139:M139" si="6">SUM(C140:C147)</f>
        <v>3020</v>
      </c>
      <c r="D139" s="231">
        <f t="shared" si="6"/>
        <v>1989</v>
      </c>
      <c r="E139" s="231">
        <f t="shared" si="6"/>
        <v>2184</v>
      </c>
      <c r="F139" s="231">
        <f t="shared" si="6"/>
        <v>2263</v>
      </c>
      <c r="G139" s="231">
        <f t="shared" si="6"/>
        <v>2809</v>
      </c>
      <c r="H139" s="231">
        <f t="shared" si="6"/>
        <v>2543</v>
      </c>
      <c r="I139" s="231">
        <f t="shared" si="6"/>
        <v>2627</v>
      </c>
      <c r="J139" s="231">
        <f t="shared" si="6"/>
        <v>2421</v>
      </c>
      <c r="K139" s="231">
        <f t="shared" si="6"/>
        <v>2346</v>
      </c>
      <c r="L139" s="231">
        <f t="shared" si="6"/>
        <v>2618</v>
      </c>
      <c r="M139" s="231">
        <f t="shared" si="6"/>
        <v>3021</v>
      </c>
    </row>
    <row r="140" spans="1:13">
      <c r="A140" s="324" t="s">
        <v>498</v>
      </c>
      <c r="B140" s="328">
        <v>116</v>
      </c>
      <c r="C140" s="328">
        <v>252</v>
      </c>
      <c r="D140" s="328">
        <v>193</v>
      </c>
      <c r="E140" s="328">
        <v>278</v>
      </c>
      <c r="F140" s="328">
        <v>188</v>
      </c>
      <c r="G140" s="328">
        <v>146</v>
      </c>
      <c r="H140" s="328">
        <v>235</v>
      </c>
      <c r="I140" s="249">
        <v>133</v>
      </c>
      <c r="J140" s="105">
        <v>429</v>
      </c>
      <c r="K140" s="105">
        <v>448</v>
      </c>
      <c r="L140" s="225">
        <v>514</v>
      </c>
      <c r="M140" s="225">
        <v>641</v>
      </c>
    </row>
    <row r="141" spans="1:13">
      <c r="A141" s="324" t="s">
        <v>499</v>
      </c>
      <c r="B141" s="328">
        <v>64</v>
      </c>
      <c r="C141" s="328">
        <v>89</v>
      </c>
      <c r="D141" s="328">
        <v>43</v>
      </c>
      <c r="E141" s="328">
        <v>80</v>
      </c>
      <c r="F141" s="328">
        <v>133</v>
      </c>
      <c r="G141" s="328">
        <v>124</v>
      </c>
      <c r="H141" s="328">
        <v>309</v>
      </c>
      <c r="I141" s="249">
        <v>300</v>
      </c>
      <c r="J141" s="105">
        <v>139</v>
      </c>
      <c r="K141" s="105">
        <v>86</v>
      </c>
      <c r="L141" s="225">
        <v>81</v>
      </c>
      <c r="M141" s="225">
        <v>95</v>
      </c>
    </row>
    <row r="142" spans="1:13">
      <c r="A142" s="324" t="s">
        <v>500</v>
      </c>
      <c r="B142" s="328"/>
      <c r="C142" s="328"/>
      <c r="D142" s="328"/>
      <c r="E142" s="328"/>
      <c r="F142" s="328"/>
      <c r="G142" s="328"/>
      <c r="H142" s="328"/>
      <c r="I142" s="249"/>
      <c r="J142" s="105">
        <v>57</v>
      </c>
      <c r="K142" s="105">
        <v>210</v>
      </c>
      <c r="L142" s="225">
        <v>167</v>
      </c>
      <c r="M142" s="225">
        <v>327</v>
      </c>
    </row>
    <row r="143" spans="1:13">
      <c r="A143" s="324" t="s">
        <v>501</v>
      </c>
      <c r="B143" s="325">
        <v>709</v>
      </c>
      <c r="C143" s="325">
        <v>961</v>
      </c>
      <c r="D143" s="325">
        <v>875</v>
      </c>
      <c r="E143" s="325">
        <v>697</v>
      </c>
      <c r="F143" s="325">
        <v>743</v>
      </c>
      <c r="G143" s="325">
        <v>967</v>
      </c>
      <c r="H143" s="325">
        <v>833</v>
      </c>
      <c r="I143" s="249">
        <v>757</v>
      </c>
      <c r="J143" s="105">
        <v>638</v>
      </c>
      <c r="K143" s="105">
        <v>642</v>
      </c>
      <c r="L143" s="225">
        <v>625</v>
      </c>
      <c r="M143" s="225">
        <v>785</v>
      </c>
    </row>
    <row r="144" spans="1:13">
      <c r="A144" s="324" t="s">
        <v>502</v>
      </c>
      <c r="B144" s="328">
        <v>176</v>
      </c>
      <c r="C144" s="328">
        <v>260</v>
      </c>
      <c r="D144" s="328">
        <v>269</v>
      </c>
      <c r="E144" s="328">
        <v>232</v>
      </c>
      <c r="F144" s="328">
        <v>366</v>
      </c>
      <c r="G144" s="328">
        <v>289</v>
      </c>
      <c r="H144" s="328">
        <v>320</v>
      </c>
      <c r="I144" s="249">
        <v>333</v>
      </c>
      <c r="J144" s="105">
        <v>256</v>
      </c>
      <c r="K144" s="105">
        <v>113</v>
      </c>
      <c r="L144" s="225">
        <v>153</v>
      </c>
      <c r="M144" s="225">
        <v>208</v>
      </c>
    </row>
    <row r="145" spans="1:13">
      <c r="A145" s="324" t="s">
        <v>503</v>
      </c>
      <c r="B145" s="328">
        <v>71</v>
      </c>
      <c r="C145" s="328">
        <v>35</v>
      </c>
      <c r="D145" s="328">
        <v>44</v>
      </c>
      <c r="E145" s="328">
        <v>36</v>
      </c>
      <c r="F145" s="328">
        <v>35</v>
      </c>
      <c r="G145" s="328">
        <v>22</v>
      </c>
      <c r="H145" s="328">
        <v>19</v>
      </c>
      <c r="I145" s="328">
        <v>22</v>
      </c>
      <c r="J145" s="105">
        <v>25</v>
      </c>
      <c r="K145" s="105">
        <v>18</v>
      </c>
      <c r="L145" s="225">
        <v>20</v>
      </c>
      <c r="M145" s="225">
        <v>56</v>
      </c>
    </row>
    <row r="146" spans="1:13">
      <c r="A146" s="324" t="s">
        <v>504</v>
      </c>
      <c r="B146" s="328">
        <v>8</v>
      </c>
      <c r="C146" s="328">
        <v>33</v>
      </c>
      <c r="D146" s="328">
        <v>29</v>
      </c>
      <c r="E146" s="328">
        <v>70</v>
      </c>
      <c r="F146" s="328">
        <v>87</v>
      </c>
      <c r="G146" s="328">
        <v>31</v>
      </c>
      <c r="H146" s="328">
        <v>52</v>
      </c>
      <c r="I146" s="328">
        <v>26</v>
      </c>
      <c r="J146" s="105">
        <v>76</v>
      </c>
      <c r="K146" s="105">
        <v>86</v>
      </c>
      <c r="L146" s="225">
        <v>9</v>
      </c>
      <c r="M146" s="225">
        <v>23</v>
      </c>
    </row>
    <row r="147" spans="1:13">
      <c r="A147" s="324" t="s">
        <v>496</v>
      </c>
      <c r="B147" s="325">
        <v>539</v>
      </c>
      <c r="C147" s="325">
        <v>1390</v>
      </c>
      <c r="D147" s="325">
        <v>536</v>
      </c>
      <c r="E147" s="325">
        <v>791</v>
      </c>
      <c r="F147" s="325">
        <v>711</v>
      </c>
      <c r="G147" s="325">
        <v>1230</v>
      </c>
      <c r="H147" s="325">
        <v>775</v>
      </c>
      <c r="I147" s="325">
        <v>1056</v>
      </c>
      <c r="J147" s="105">
        <v>801</v>
      </c>
      <c r="K147" s="105">
        <v>743</v>
      </c>
      <c r="L147" s="225">
        <v>1049</v>
      </c>
      <c r="M147" s="225">
        <v>886</v>
      </c>
    </row>
    <row r="148" spans="1:13">
      <c r="A148" s="100"/>
      <c r="B148" s="99"/>
      <c r="C148" s="99"/>
      <c r="D148" s="99"/>
      <c r="E148" s="99"/>
      <c r="F148" s="99"/>
      <c r="G148" s="99"/>
      <c r="H148" s="99"/>
      <c r="I148" s="99"/>
    </row>
    <row r="149" spans="1:13">
      <c r="A149" s="230" t="s">
        <v>505</v>
      </c>
      <c r="B149" s="231">
        <v>50337</v>
      </c>
      <c r="C149" s="231">
        <v>8746</v>
      </c>
      <c r="D149" s="231">
        <v>3127</v>
      </c>
      <c r="E149" s="231">
        <v>4076</v>
      </c>
      <c r="F149" s="231">
        <v>3658</v>
      </c>
      <c r="G149" s="231">
        <v>3173</v>
      </c>
      <c r="H149" s="231">
        <v>3067</v>
      </c>
      <c r="I149" s="231">
        <v>3208</v>
      </c>
      <c r="J149" s="326">
        <v>3326</v>
      </c>
      <c r="K149" s="326">
        <v>2994</v>
      </c>
      <c r="L149" s="326">
        <v>3048</v>
      </c>
      <c r="M149" s="235">
        <v>3416</v>
      </c>
    </row>
    <row r="150" spans="1:13">
      <c r="A150" s="100"/>
      <c r="B150" s="101"/>
      <c r="C150" s="101"/>
      <c r="D150" s="101"/>
      <c r="E150" s="101"/>
      <c r="F150" s="101"/>
      <c r="G150" s="101"/>
      <c r="H150" s="101"/>
      <c r="I150" s="101"/>
      <c r="M150" s="223"/>
    </row>
    <row r="151" spans="1:13">
      <c r="A151" s="230" t="s">
        <v>506</v>
      </c>
      <c r="B151" s="231">
        <v>18412</v>
      </c>
      <c r="C151" s="231">
        <v>12672</v>
      </c>
      <c r="D151" s="231">
        <v>20487</v>
      </c>
      <c r="E151" s="231">
        <v>20418</v>
      </c>
      <c r="F151" s="231">
        <v>9163</v>
      </c>
      <c r="G151" s="231">
        <v>11832</v>
      </c>
      <c r="H151" s="231">
        <v>16304</v>
      </c>
      <c r="I151" s="231">
        <v>22735</v>
      </c>
      <c r="J151" s="326">
        <v>22327</v>
      </c>
      <c r="K151" s="326">
        <v>22688</v>
      </c>
      <c r="L151" s="326">
        <v>24966</v>
      </c>
      <c r="M151" s="326">
        <v>23647</v>
      </c>
    </row>
    <row r="152" spans="1:13">
      <c r="A152" s="100"/>
      <c r="B152" s="101"/>
      <c r="C152" s="101"/>
      <c r="D152" s="101"/>
      <c r="E152" s="101"/>
      <c r="F152" s="101"/>
      <c r="G152" s="101"/>
      <c r="H152" s="101"/>
      <c r="I152" s="101"/>
      <c r="M152" s="223"/>
    </row>
    <row r="153" spans="1:13">
      <c r="A153" s="230" t="s">
        <v>507</v>
      </c>
      <c r="B153" s="231">
        <v>17248</v>
      </c>
      <c r="C153" s="231">
        <v>22515</v>
      </c>
      <c r="D153" s="231">
        <v>22769</v>
      </c>
      <c r="E153" s="231">
        <v>31463</v>
      </c>
      <c r="F153" s="231">
        <v>30443</v>
      </c>
      <c r="G153" s="231">
        <v>18384</v>
      </c>
      <c r="H153" s="231">
        <v>21917</v>
      </c>
      <c r="I153" s="231">
        <v>5885</v>
      </c>
      <c r="J153" s="326">
        <v>4778</v>
      </c>
      <c r="K153" s="326">
        <v>4312</v>
      </c>
      <c r="L153" s="326">
        <v>5365</v>
      </c>
      <c r="M153" s="326">
        <v>3094</v>
      </c>
    </row>
    <row r="154" spans="1:13">
      <c r="A154" s="100"/>
      <c r="B154" s="101"/>
      <c r="C154" s="101"/>
      <c r="D154" s="101"/>
      <c r="E154" s="101"/>
      <c r="F154" s="101"/>
      <c r="G154" s="101"/>
      <c r="H154" s="101"/>
      <c r="I154" s="101"/>
      <c r="M154" s="223"/>
    </row>
    <row r="155" spans="1:13">
      <c r="A155" s="230" t="s">
        <v>508</v>
      </c>
      <c r="B155" s="231">
        <v>571180</v>
      </c>
      <c r="C155" s="231">
        <v>585917</v>
      </c>
      <c r="D155" s="231">
        <v>617442</v>
      </c>
      <c r="E155" s="231">
        <v>660353</v>
      </c>
      <c r="F155" s="231">
        <v>637727</v>
      </c>
      <c r="G155" s="231">
        <v>657598</v>
      </c>
      <c r="H155" s="231">
        <v>664177</v>
      </c>
      <c r="I155" s="231">
        <v>656400</v>
      </c>
      <c r="J155" s="326">
        <v>661568</v>
      </c>
      <c r="K155" s="326">
        <v>655723</v>
      </c>
      <c r="L155" s="326">
        <v>681492</v>
      </c>
      <c r="M155" s="326">
        <v>712145</v>
      </c>
    </row>
    <row r="156" spans="1:13">
      <c r="A156" s="100"/>
      <c r="B156" s="101"/>
      <c r="C156" s="101"/>
      <c r="D156" s="101"/>
      <c r="E156" s="101"/>
      <c r="F156" s="101"/>
      <c r="G156" s="101"/>
      <c r="H156" s="101"/>
      <c r="I156" s="101"/>
      <c r="M156" s="223"/>
    </row>
    <row r="157" spans="1:13">
      <c r="A157" s="236" t="s">
        <v>509</v>
      </c>
      <c r="B157" s="237">
        <f>B8+B63+B65+B67+B77+B93+B99+B139+B149+B151+B153</f>
        <v>1102912</v>
      </c>
      <c r="C157" s="237">
        <f t="shared" ref="C157:M157" si="7">C8+C63+C65+C67+C77+C93+C99+C139+C149+C151+C153</f>
        <v>1250460</v>
      </c>
      <c r="D157" s="237">
        <f t="shared" si="7"/>
        <v>1203832</v>
      </c>
      <c r="E157" s="237">
        <f t="shared" si="7"/>
        <v>1304610</v>
      </c>
      <c r="F157" s="237">
        <f t="shared" si="7"/>
        <v>1371003</v>
      </c>
      <c r="G157" s="237">
        <f t="shared" si="7"/>
        <v>1440008</v>
      </c>
      <c r="H157" s="237">
        <f t="shared" si="7"/>
        <v>1496278</v>
      </c>
      <c r="I157" s="237">
        <f t="shared" si="7"/>
        <v>1387697</v>
      </c>
      <c r="J157" s="237">
        <f t="shared" si="7"/>
        <v>1335322</v>
      </c>
      <c r="K157" s="237">
        <f t="shared" si="7"/>
        <v>1280937</v>
      </c>
      <c r="L157" s="237">
        <f t="shared" si="7"/>
        <v>1349448.9999999998</v>
      </c>
      <c r="M157" s="237">
        <f t="shared" si="7"/>
        <v>1408535.6466844715</v>
      </c>
    </row>
    <row r="158" spans="1:13">
      <c r="A158" s="236" t="s">
        <v>510</v>
      </c>
      <c r="B158" s="231">
        <f>B155</f>
        <v>571180</v>
      </c>
      <c r="C158" s="231">
        <f t="shared" ref="C158:M158" si="8">C155</f>
        <v>585917</v>
      </c>
      <c r="D158" s="231">
        <f t="shared" si="8"/>
        <v>617442</v>
      </c>
      <c r="E158" s="231">
        <f t="shared" si="8"/>
        <v>660353</v>
      </c>
      <c r="F158" s="231">
        <f t="shared" si="8"/>
        <v>637727</v>
      </c>
      <c r="G158" s="231">
        <f t="shared" si="8"/>
        <v>657598</v>
      </c>
      <c r="H158" s="231">
        <f t="shared" si="8"/>
        <v>664177</v>
      </c>
      <c r="I158" s="231">
        <f t="shared" si="8"/>
        <v>656400</v>
      </c>
      <c r="J158" s="231">
        <f t="shared" si="8"/>
        <v>661568</v>
      </c>
      <c r="K158" s="231">
        <f t="shared" si="8"/>
        <v>655723</v>
      </c>
      <c r="L158" s="231">
        <f t="shared" si="8"/>
        <v>681492</v>
      </c>
      <c r="M158" s="231">
        <f t="shared" si="8"/>
        <v>712145</v>
      </c>
    </row>
    <row r="159" spans="1:13">
      <c r="A159" s="238" t="s">
        <v>511</v>
      </c>
      <c r="B159" s="237">
        <f>B8+B63+B65+B67+B77+B93+B99+B139+B149+B151+B153+B155</f>
        <v>1674092</v>
      </c>
      <c r="C159" s="237">
        <f t="shared" ref="C159:M159" si="9">C8+C63+C65+C67+C77+C93+C99+C139+C149+C151+C153+C155</f>
        <v>1836377</v>
      </c>
      <c r="D159" s="237">
        <f t="shared" si="9"/>
        <v>1821274</v>
      </c>
      <c r="E159" s="237">
        <f t="shared" si="9"/>
        <v>1964963</v>
      </c>
      <c r="F159" s="237">
        <f t="shared" si="9"/>
        <v>2008730</v>
      </c>
      <c r="G159" s="237">
        <f t="shared" si="9"/>
        <v>2097606</v>
      </c>
      <c r="H159" s="237">
        <f t="shared" si="9"/>
        <v>2160455</v>
      </c>
      <c r="I159" s="237">
        <f t="shared" si="9"/>
        <v>2044097</v>
      </c>
      <c r="J159" s="237">
        <f t="shared" si="9"/>
        <v>1996890</v>
      </c>
      <c r="K159" s="237">
        <f t="shared" si="9"/>
        <v>1936660</v>
      </c>
      <c r="L159" s="237">
        <f t="shared" si="9"/>
        <v>2030940.9999999998</v>
      </c>
      <c r="M159" s="237">
        <f t="shared" si="9"/>
        <v>2120680.6466844715</v>
      </c>
    </row>
    <row r="161" spans="1:13" s="154" customFormat="1" ht="15" customHeight="1">
      <c r="A161" s="152" t="s">
        <v>27</v>
      </c>
      <c r="B161" s="250"/>
      <c r="M161" s="224"/>
    </row>
    <row r="162" spans="1:13" s="154" customFormat="1" ht="15" customHeight="1">
      <c r="A162" s="152" t="s">
        <v>28</v>
      </c>
      <c r="M162" s="224"/>
    </row>
  </sheetData>
  <autoFilter ref="A8:M61" xr:uid="{B5B3E4C2-4B9C-42FC-A658-1BFE49FD3130}"/>
  <mergeCells count="3">
    <mergeCell ref="A1:M1"/>
    <mergeCell ref="A2:M2"/>
    <mergeCell ref="A3:M3"/>
  </mergeCells>
  <phoneticPr fontId="35" type="noConversion"/>
  <pageMargins left="0.7" right="0.7" top="0.75" bottom="0.75" header="0.3" footer="0.3"/>
  <pageSetup scale="91" orientation="landscape" r:id="rId1"/>
  <colBreaks count="1" manualBreakCount="1">
    <brk id="11" max="1048575" man="1"/>
  </colBreaks>
  <ignoredErrors>
    <ignoredError sqref="B128:M128 B99:M9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225B-4834-48BB-A0C3-A2DAF459E0EA}">
  <sheetPr>
    <tabColor rgb="FFC00000"/>
  </sheetPr>
  <dimension ref="A1:E201"/>
  <sheetViews>
    <sheetView showGridLines="0" zoomScaleSheetLayoutView="100" workbookViewId="0"/>
  </sheetViews>
  <sheetFormatPr defaultRowHeight="15"/>
  <cols>
    <col min="1" max="2" width="13.28515625" customWidth="1"/>
    <col min="3" max="3" width="13.140625" customWidth="1"/>
    <col min="4" max="4" width="14" customWidth="1"/>
    <col min="5" max="5" width="15.140625" customWidth="1"/>
  </cols>
  <sheetData>
    <row r="1" spans="1:5" ht="15.75" thickTop="1">
      <c r="A1" s="172" t="s">
        <v>512</v>
      </c>
      <c r="B1" s="212"/>
      <c r="C1" s="212"/>
      <c r="D1" s="212"/>
      <c r="E1" s="213"/>
    </row>
    <row r="2" spans="1:5">
      <c r="A2" s="175" t="s">
        <v>513</v>
      </c>
      <c r="B2" s="176"/>
      <c r="C2" s="176"/>
      <c r="D2" s="176"/>
      <c r="E2" s="177"/>
    </row>
    <row r="3" spans="1:5" ht="15.75" thickBot="1">
      <c r="A3" s="178" t="s">
        <v>31</v>
      </c>
      <c r="B3" s="179"/>
      <c r="C3" s="179"/>
      <c r="D3" s="179"/>
      <c r="E3" s="180"/>
    </row>
    <row r="4" spans="1:5" ht="15.75" thickTop="1">
      <c r="A4" s="79"/>
      <c r="B4" s="79"/>
      <c r="C4" s="79"/>
      <c r="D4" s="79"/>
      <c r="E4" s="79"/>
    </row>
    <row r="5" spans="1:5" ht="25.5">
      <c r="A5" s="79"/>
      <c r="B5" s="181" t="s">
        <v>514</v>
      </c>
      <c r="C5" s="210" t="s">
        <v>515</v>
      </c>
      <c r="D5" s="181" t="s">
        <v>358</v>
      </c>
      <c r="E5" s="211" t="s">
        <v>516</v>
      </c>
    </row>
    <row r="6" spans="1:5">
      <c r="A6" s="79"/>
      <c r="B6" s="79"/>
      <c r="C6" s="79"/>
      <c r="D6" s="79"/>
      <c r="E6" s="79"/>
    </row>
    <row r="7" spans="1:5">
      <c r="A7" s="204" t="s">
        <v>50</v>
      </c>
      <c r="B7" s="214">
        <f>SUM(B8:B21)</f>
        <v>1674092</v>
      </c>
      <c r="C7" s="214">
        <f>SUM(C8:C21)</f>
        <v>1102912</v>
      </c>
      <c r="D7" s="214">
        <f>SUM(D8:D21)</f>
        <v>571180</v>
      </c>
      <c r="E7" s="207">
        <v>0.70698075008243288</v>
      </c>
    </row>
    <row r="8" spans="1:5">
      <c r="A8" s="46" t="s">
        <v>517</v>
      </c>
      <c r="B8" s="44">
        <f t="shared" ref="B8:B13" si="0">D8+C8</f>
        <v>176434</v>
      </c>
      <c r="C8" s="47">
        <v>91915</v>
      </c>
      <c r="D8" s="38">
        <v>84519</v>
      </c>
      <c r="E8" s="48">
        <v>0.83436930271884169</v>
      </c>
    </row>
    <row r="9" spans="1:5">
      <c r="A9" s="46" t="s">
        <v>518</v>
      </c>
      <c r="B9" s="44">
        <f t="shared" si="0"/>
        <v>136344</v>
      </c>
      <c r="C9" s="47">
        <v>85239</v>
      </c>
      <c r="D9" s="38">
        <v>51105</v>
      </c>
      <c r="E9" s="48">
        <v>0.70791445866691805</v>
      </c>
    </row>
    <row r="10" spans="1:5">
      <c r="A10" s="46" t="s">
        <v>519</v>
      </c>
      <c r="B10" s="44">
        <f t="shared" si="0"/>
        <v>104617</v>
      </c>
      <c r="C10" s="47">
        <v>60704</v>
      </c>
      <c r="D10" s="38">
        <v>43913</v>
      </c>
      <c r="E10" s="48">
        <v>0.57299999999999995</v>
      </c>
    </row>
    <row r="11" spans="1:5">
      <c r="A11" s="46" t="s">
        <v>520</v>
      </c>
      <c r="B11" s="44">
        <f t="shared" si="0"/>
        <v>116172</v>
      </c>
      <c r="C11" s="47">
        <v>72200</v>
      </c>
      <c r="D11" s="38">
        <v>43972</v>
      </c>
      <c r="E11" s="48">
        <v>0.63008248520591159</v>
      </c>
    </row>
    <row r="12" spans="1:5">
      <c r="A12" s="46" t="s">
        <v>521</v>
      </c>
      <c r="B12" s="44">
        <f t="shared" si="0"/>
        <v>125838</v>
      </c>
      <c r="C12" s="47">
        <v>86419</v>
      </c>
      <c r="D12" s="38">
        <v>39419</v>
      </c>
      <c r="E12" s="48">
        <v>0.70178267582825782</v>
      </c>
    </row>
    <row r="13" spans="1:5">
      <c r="A13" s="46" t="s">
        <v>522</v>
      </c>
      <c r="B13" s="44">
        <f t="shared" si="0"/>
        <v>123021</v>
      </c>
      <c r="C13" s="47">
        <v>83256</v>
      </c>
      <c r="D13" s="38">
        <v>39765</v>
      </c>
      <c r="E13" s="48">
        <v>0.62390376711432238</v>
      </c>
    </row>
    <row r="14" spans="1:5">
      <c r="A14" s="46"/>
      <c r="B14" s="44"/>
      <c r="C14" s="47"/>
      <c r="D14" s="38"/>
      <c r="E14" s="48"/>
    </row>
    <row r="15" spans="1:5">
      <c r="A15" s="204">
        <v>2000</v>
      </c>
      <c r="B15" s="44"/>
      <c r="C15" s="47"/>
      <c r="D15" s="38"/>
      <c r="E15" s="48"/>
    </row>
    <row r="16" spans="1:5">
      <c r="A16" s="46" t="s">
        <v>523</v>
      </c>
      <c r="B16" s="44">
        <f t="shared" ref="B16:B21" si="1">D16+C16</f>
        <v>136881</v>
      </c>
      <c r="C16" s="47">
        <v>98933</v>
      </c>
      <c r="D16" s="38">
        <v>37948</v>
      </c>
      <c r="E16" s="48">
        <v>0.70002528461191327</v>
      </c>
    </row>
    <row r="17" spans="1:5">
      <c r="A17" s="46" t="s">
        <v>524</v>
      </c>
      <c r="B17" s="44">
        <f t="shared" si="1"/>
        <v>147009</v>
      </c>
      <c r="C17" s="47">
        <v>112468</v>
      </c>
      <c r="D17" s="38">
        <v>34541</v>
      </c>
      <c r="E17" s="48">
        <v>0.78200000000000003</v>
      </c>
    </row>
    <row r="18" spans="1:5">
      <c r="A18" s="46" t="s">
        <v>525</v>
      </c>
      <c r="B18" s="44">
        <f t="shared" si="1"/>
        <v>154722</v>
      </c>
      <c r="C18" s="47">
        <v>117275</v>
      </c>
      <c r="D18" s="38">
        <v>37447</v>
      </c>
      <c r="E18" s="48">
        <v>0.751</v>
      </c>
    </row>
    <row r="19" spans="1:5">
      <c r="A19" s="46" t="s">
        <v>526</v>
      </c>
      <c r="B19" s="44">
        <f t="shared" si="1"/>
        <v>157345</v>
      </c>
      <c r="C19" s="47">
        <v>112745</v>
      </c>
      <c r="D19" s="38">
        <v>44600</v>
      </c>
      <c r="E19" s="48">
        <v>0.747</v>
      </c>
    </row>
    <row r="20" spans="1:5">
      <c r="A20" s="46" t="s">
        <v>527</v>
      </c>
      <c r="B20" s="44">
        <f t="shared" si="1"/>
        <v>143398</v>
      </c>
      <c r="C20" s="47">
        <v>96233</v>
      </c>
      <c r="D20" s="38">
        <v>47165</v>
      </c>
      <c r="E20" s="48">
        <v>0.70799999999999996</v>
      </c>
    </row>
    <row r="21" spans="1:5">
      <c r="A21" s="46" t="s">
        <v>528</v>
      </c>
      <c r="B21" s="44">
        <f t="shared" si="1"/>
        <v>152311</v>
      </c>
      <c r="C21" s="47">
        <v>85525</v>
      </c>
      <c r="D21" s="38">
        <v>66786</v>
      </c>
      <c r="E21" s="48">
        <v>0.71299999999999997</v>
      </c>
    </row>
    <row r="22" spans="1:5">
      <c r="A22" s="49"/>
      <c r="B22" s="36"/>
      <c r="C22" s="36"/>
      <c r="D22" s="36"/>
      <c r="E22" s="50"/>
    </row>
    <row r="23" spans="1:5">
      <c r="A23" s="204" t="s">
        <v>2</v>
      </c>
      <c r="B23" s="209">
        <v>1836792</v>
      </c>
      <c r="C23" s="209">
        <v>1250522</v>
      </c>
      <c r="D23" s="209">
        <v>586270</v>
      </c>
      <c r="E23" s="207">
        <v>0.66697931187095061</v>
      </c>
    </row>
    <row r="24" spans="1:5">
      <c r="A24" s="46" t="s">
        <v>517</v>
      </c>
      <c r="B24" s="135">
        <v>179368</v>
      </c>
      <c r="C24" s="135">
        <v>97074</v>
      </c>
      <c r="D24" s="135">
        <v>82294</v>
      </c>
      <c r="E24" s="136">
        <v>0.75483165187796275</v>
      </c>
    </row>
    <row r="25" spans="1:5">
      <c r="A25" s="46" t="s">
        <v>518</v>
      </c>
      <c r="B25" s="135">
        <v>148075</v>
      </c>
      <c r="C25" s="135">
        <v>98400</v>
      </c>
      <c r="D25" s="135">
        <v>49675</v>
      </c>
      <c r="E25" s="136">
        <v>0.63539907789952699</v>
      </c>
    </row>
    <row r="26" spans="1:5">
      <c r="A26" s="46" t="s">
        <v>519</v>
      </c>
      <c r="B26" s="135">
        <v>114191</v>
      </c>
      <c r="C26" s="135">
        <v>68817</v>
      </c>
      <c r="D26" s="135">
        <v>45374</v>
      </c>
      <c r="E26" s="136">
        <v>0.5298731242676612</v>
      </c>
    </row>
    <row r="27" spans="1:5">
      <c r="A27" s="46" t="s">
        <v>520</v>
      </c>
      <c r="B27" s="135">
        <v>119638</v>
      </c>
      <c r="C27" s="135">
        <v>82343</v>
      </c>
      <c r="D27" s="135">
        <v>37295</v>
      </c>
      <c r="E27" s="136">
        <v>0.57083302407283698</v>
      </c>
    </row>
    <row r="28" spans="1:5">
      <c r="A28" s="46" t="s">
        <v>521</v>
      </c>
      <c r="B28" s="135">
        <v>144873</v>
      </c>
      <c r="C28" s="135">
        <v>101515</v>
      </c>
      <c r="D28" s="135">
        <v>43358</v>
      </c>
      <c r="E28" s="136">
        <v>0.66502213709690017</v>
      </c>
    </row>
    <row r="29" spans="1:5">
      <c r="A29" s="46" t="s">
        <v>522</v>
      </c>
      <c r="B29" s="135">
        <v>150780</v>
      </c>
      <c r="C29" s="135">
        <v>107601</v>
      </c>
      <c r="D29" s="135">
        <v>43179</v>
      </c>
      <c r="E29" s="136">
        <v>0.64308920005379799</v>
      </c>
    </row>
    <row r="30" spans="1:5">
      <c r="A30" s="49"/>
      <c r="B30" s="44"/>
      <c r="C30" s="47"/>
      <c r="D30" s="38"/>
      <c r="E30" s="48"/>
    </row>
    <row r="31" spans="1:5">
      <c r="A31" s="204">
        <v>2001</v>
      </c>
      <c r="B31" s="44"/>
      <c r="C31" s="47"/>
      <c r="D31" s="38"/>
      <c r="E31" s="48"/>
    </row>
    <row r="32" spans="1:5">
      <c r="A32" s="46" t="s">
        <v>523</v>
      </c>
      <c r="B32" s="135">
        <v>154780</v>
      </c>
      <c r="C32" s="135">
        <v>114236</v>
      </c>
      <c r="D32" s="135">
        <v>40544</v>
      </c>
      <c r="E32" s="136">
        <v>0.66578646453453416</v>
      </c>
    </row>
    <row r="33" spans="1:5">
      <c r="A33" s="46" t="s">
        <v>524</v>
      </c>
      <c r="B33" s="135">
        <v>145855</v>
      </c>
      <c r="C33" s="135">
        <v>113658</v>
      </c>
      <c r="D33" s="135">
        <v>32197</v>
      </c>
      <c r="E33" s="136">
        <v>0.72210983938178874</v>
      </c>
    </row>
    <row r="34" spans="1:5">
      <c r="A34" s="46" t="s">
        <v>525</v>
      </c>
      <c r="B34" s="135">
        <v>181783</v>
      </c>
      <c r="C34" s="135">
        <v>140800</v>
      </c>
      <c r="D34" s="135">
        <v>40983</v>
      </c>
      <c r="E34" s="136">
        <v>0.74212720269647892</v>
      </c>
    </row>
    <row r="35" spans="1:5">
      <c r="A35" s="46" t="s">
        <v>526</v>
      </c>
      <c r="B35" s="135">
        <v>170886</v>
      </c>
      <c r="C35" s="135">
        <v>123173</v>
      </c>
      <c r="D35" s="135">
        <v>47713</v>
      </c>
      <c r="E35" s="136">
        <v>0.73892722214798523</v>
      </c>
    </row>
    <row r="36" spans="1:5">
      <c r="A36" s="46" t="s">
        <v>527</v>
      </c>
      <c r="B36" s="135">
        <v>156168</v>
      </c>
      <c r="C36" s="135">
        <v>106747</v>
      </c>
      <c r="D36" s="135">
        <v>49421</v>
      </c>
      <c r="E36" s="136">
        <v>0.65157542966263526</v>
      </c>
    </row>
    <row r="37" spans="1:5">
      <c r="A37" s="46" t="s">
        <v>528</v>
      </c>
      <c r="B37" s="135">
        <v>170395</v>
      </c>
      <c r="C37" s="135">
        <v>96158</v>
      </c>
      <c r="D37" s="135">
        <v>74237</v>
      </c>
      <c r="E37" s="136">
        <v>0.68033603612662596</v>
      </c>
    </row>
    <row r="38" spans="1:5">
      <c r="A38" s="46"/>
      <c r="B38" s="44"/>
      <c r="C38" s="44"/>
      <c r="D38" s="44"/>
      <c r="E38" s="48"/>
    </row>
    <row r="39" spans="1:5">
      <c r="A39" s="204" t="s">
        <v>3</v>
      </c>
      <c r="B39" s="214">
        <f>SUM(B40:B53)</f>
        <v>1821274</v>
      </c>
      <c r="C39" s="214">
        <f>SUM(C40:C53)</f>
        <v>1203832</v>
      </c>
      <c r="D39" s="214">
        <f>SUM(D40:D53)</f>
        <v>617442</v>
      </c>
      <c r="E39" s="208">
        <v>0.61799999999999999</v>
      </c>
    </row>
    <row r="40" spans="1:5">
      <c r="A40" s="46" t="s">
        <v>517</v>
      </c>
      <c r="B40" s="44">
        <f t="shared" ref="B40:B45" si="2">D40+C40</f>
        <v>187574</v>
      </c>
      <c r="C40" s="47">
        <v>101925</v>
      </c>
      <c r="D40" s="38">
        <v>85649</v>
      </c>
      <c r="E40" s="48">
        <v>0.73410141786593752</v>
      </c>
    </row>
    <row r="41" spans="1:5">
      <c r="A41" s="46" t="s">
        <v>518</v>
      </c>
      <c r="B41" s="44">
        <f t="shared" si="2"/>
        <v>150438</v>
      </c>
      <c r="C41" s="47">
        <v>100747</v>
      </c>
      <c r="D41" s="38">
        <v>49691</v>
      </c>
      <c r="E41" s="48">
        <v>0.61606774734156944</v>
      </c>
    </row>
    <row r="42" spans="1:5">
      <c r="A42" s="46" t="s">
        <v>519</v>
      </c>
      <c r="B42" s="44">
        <f t="shared" si="2"/>
        <v>95734</v>
      </c>
      <c r="C42" s="47">
        <v>54745</v>
      </c>
      <c r="D42" s="38">
        <v>40989</v>
      </c>
      <c r="E42" s="48">
        <v>0.41458582138309735</v>
      </c>
    </row>
    <row r="43" spans="1:5">
      <c r="A43" s="46" t="s">
        <v>520</v>
      </c>
      <c r="B43" s="44">
        <f t="shared" si="2"/>
        <v>115729</v>
      </c>
      <c r="C43" s="47">
        <v>69703</v>
      </c>
      <c r="D43" s="38">
        <v>46026</v>
      </c>
      <c r="E43" s="48">
        <v>0.48745458469729125</v>
      </c>
    </row>
    <row r="44" spans="1:5">
      <c r="A44" s="46" t="s">
        <v>521</v>
      </c>
      <c r="B44" s="44">
        <f t="shared" si="2"/>
        <v>135768</v>
      </c>
      <c r="C44" s="47">
        <v>88716</v>
      </c>
      <c r="D44" s="38">
        <v>47052</v>
      </c>
      <c r="E44" s="48">
        <v>0.57482177329867601</v>
      </c>
    </row>
    <row r="45" spans="1:5">
      <c r="A45" s="46" t="s">
        <v>522</v>
      </c>
      <c r="B45" s="44">
        <f t="shared" si="2"/>
        <v>145463</v>
      </c>
      <c r="C45" s="47">
        <v>103100</v>
      </c>
      <c r="D45" s="38">
        <v>42363</v>
      </c>
      <c r="E45" s="48">
        <v>0.57661964179210246</v>
      </c>
    </row>
    <row r="46" spans="1:5">
      <c r="A46" s="49"/>
      <c r="B46" s="44"/>
      <c r="C46" s="47"/>
      <c r="D46" s="38"/>
      <c r="E46" s="48"/>
    </row>
    <row r="47" spans="1:5">
      <c r="A47" s="204">
        <v>2002</v>
      </c>
      <c r="B47" s="44"/>
      <c r="C47" s="47"/>
      <c r="D47" s="38"/>
      <c r="E47" s="48"/>
    </row>
    <row r="48" spans="1:5">
      <c r="A48" s="46" t="s">
        <v>523</v>
      </c>
      <c r="B48" s="44">
        <f t="shared" ref="B48:B53" si="3">D48+C48</f>
        <v>143328</v>
      </c>
      <c r="C48" s="47">
        <v>105638</v>
      </c>
      <c r="D48" s="38">
        <v>37690</v>
      </c>
      <c r="E48" s="48">
        <v>0.6138671051894814</v>
      </c>
    </row>
    <row r="49" spans="1:5">
      <c r="A49" s="46" t="s">
        <v>524</v>
      </c>
      <c r="B49" s="44">
        <f t="shared" si="3"/>
        <v>150686</v>
      </c>
      <c r="C49" s="47">
        <v>113371</v>
      </c>
      <c r="D49" s="38">
        <v>37315</v>
      </c>
      <c r="E49" s="48">
        <v>0.68425452709950152</v>
      </c>
    </row>
    <row r="50" spans="1:5">
      <c r="A50" s="46" t="s">
        <v>525</v>
      </c>
      <c r="B50" s="44">
        <f t="shared" si="3"/>
        <v>181052</v>
      </c>
      <c r="C50" s="47">
        <v>132651</v>
      </c>
      <c r="D50" s="38">
        <v>48401</v>
      </c>
      <c r="E50" s="48">
        <v>0.70785079164673281</v>
      </c>
    </row>
    <row r="51" spans="1:5">
      <c r="A51" s="46" t="s">
        <v>526</v>
      </c>
      <c r="B51" s="44">
        <f t="shared" si="3"/>
        <v>170530</v>
      </c>
      <c r="C51" s="47">
        <v>124715</v>
      </c>
      <c r="D51" s="38">
        <v>45815</v>
      </c>
      <c r="E51" s="48">
        <v>0.67904042384475294</v>
      </c>
    </row>
    <row r="52" spans="1:5">
      <c r="A52" s="46" t="s">
        <v>527</v>
      </c>
      <c r="B52" s="44">
        <f t="shared" si="3"/>
        <v>163324</v>
      </c>
      <c r="C52" s="47">
        <v>106764</v>
      </c>
      <c r="D52" s="38">
        <v>56560</v>
      </c>
      <c r="E52" s="48">
        <v>0.62454287105284012</v>
      </c>
    </row>
    <row r="53" spans="1:5">
      <c r="A53" s="46" t="s">
        <v>528</v>
      </c>
      <c r="B53" s="44">
        <f t="shared" si="3"/>
        <v>181648</v>
      </c>
      <c r="C53" s="47">
        <v>101757</v>
      </c>
      <c r="D53" s="38">
        <v>79891</v>
      </c>
      <c r="E53" s="48">
        <v>0.6948529520137483</v>
      </c>
    </row>
    <row r="54" spans="1:5">
      <c r="A54" s="49"/>
      <c r="B54" s="36"/>
      <c r="C54" s="51"/>
      <c r="D54" s="51"/>
      <c r="E54" s="52"/>
    </row>
    <row r="55" spans="1:5">
      <c r="A55" s="204" t="s">
        <v>4</v>
      </c>
      <c r="B55" s="214">
        <f>SUM(B56:B69)</f>
        <v>1964963</v>
      </c>
      <c r="C55" s="214">
        <f>SUM(C56:C69)</f>
        <v>1304610</v>
      </c>
      <c r="D55" s="214">
        <f>SUM(D56:D69)</f>
        <v>660353</v>
      </c>
      <c r="E55" s="207">
        <v>0.64925207687408415</v>
      </c>
    </row>
    <row r="56" spans="1:5">
      <c r="A56" s="46" t="s">
        <v>517</v>
      </c>
      <c r="B56" s="44">
        <f t="shared" ref="B56:B61" si="4">D56+C56</f>
        <v>205544</v>
      </c>
      <c r="C56" s="47">
        <v>109026</v>
      </c>
      <c r="D56" s="38">
        <v>96518</v>
      </c>
      <c r="E56" s="48">
        <v>0.749</v>
      </c>
    </row>
    <row r="57" spans="1:5">
      <c r="A57" s="46" t="s">
        <v>518</v>
      </c>
      <c r="B57" s="44">
        <f t="shared" si="4"/>
        <v>171473</v>
      </c>
      <c r="C57" s="47">
        <v>108590</v>
      </c>
      <c r="D57" s="38">
        <v>62883</v>
      </c>
      <c r="E57" s="48">
        <v>0.66200000000000003</v>
      </c>
    </row>
    <row r="58" spans="1:5">
      <c r="A58" s="46" t="s">
        <v>519</v>
      </c>
      <c r="B58" s="44">
        <f t="shared" si="4"/>
        <v>121678</v>
      </c>
      <c r="C58" s="47">
        <v>73726</v>
      </c>
      <c r="D58" s="38">
        <v>47952</v>
      </c>
      <c r="E58" s="48">
        <v>0.497</v>
      </c>
    </row>
    <row r="59" spans="1:5">
      <c r="A59" s="46" t="s">
        <v>520</v>
      </c>
      <c r="B59" s="44">
        <f t="shared" si="4"/>
        <v>134260</v>
      </c>
      <c r="C59" s="47">
        <v>87838</v>
      </c>
      <c r="D59" s="38">
        <v>46422</v>
      </c>
      <c r="E59" s="48">
        <v>0.54100000000000004</v>
      </c>
    </row>
    <row r="60" spans="1:5">
      <c r="A60" s="46" t="s">
        <v>521</v>
      </c>
      <c r="B60" s="44">
        <f t="shared" si="4"/>
        <v>156862</v>
      </c>
      <c r="C60" s="47">
        <v>105703</v>
      </c>
      <c r="D60" s="38">
        <v>51159</v>
      </c>
      <c r="E60" s="48">
        <v>0.629</v>
      </c>
    </row>
    <row r="61" spans="1:5">
      <c r="A61" s="46" t="s">
        <v>522</v>
      </c>
      <c r="B61" s="44">
        <f t="shared" si="4"/>
        <v>154163</v>
      </c>
      <c r="C61" s="47">
        <v>110371</v>
      </c>
      <c r="D61" s="38">
        <v>43792</v>
      </c>
      <c r="E61" s="48">
        <v>0.61599999999999999</v>
      </c>
    </row>
    <row r="62" spans="1:5">
      <c r="A62" s="46"/>
      <c r="B62" s="44"/>
      <c r="C62" s="47"/>
      <c r="D62" s="38"/>
      <c r="E62" s="48"/>
    </row>
    <row r="63" spans="1:5">
      <c r="A63" s="204">
        <v>2003</v>
      </c>
      <c r="B63" s="44"/>
      <c r="C63" s="47"/>
      <c r="D63" s="38"/>
      <c r="E63" s="48"/>
    </row>
    <row r="64" spans="1:5">
      <c r="A64" s="46" t="s">
        <v>523</v>
      </c>
      <c r="B64" s="44">
        <f t="shared" ref="B64:B69" si="5">D64+C64</f>
        <v>165333</v>
      </c>
      <c r="C64" s="47">
        <v>122481</v>
      </c>
      <c r="D64" s="38">
        <v>42852</v>
      </c>
      <c r="E64" s="48">
        <v>0.64500000000000002</v>
      </c>
    </row>
    <row r="65" spans="1:5">
      <c r="A65" s="46" t="s">
        <v>524</v>
      </c>
      <c r="B65" s="44">
        <f t="shared" si="5"/>
        <v>164003</v>
      </c>
      <c r="C65" s="47">
        <v>124007</v>
      </c>
      <c r="D65" s="38">
        <v>39996</v>
      </c>
      <c r="E65" s="48">
        <v>0.73</v>
      </c>
    </row>
    <row r="66" spans="1:5">
      <c r="A66" s="46" t="s">
        <v>525</v>
      </c>
      <c r="B66" s="44">
        <f t="shared" si="5"/>
        <v>180909</v>
      </c>
      <c r="C66" s="47">
        <v>136126</v>
      </c>
      <c r="D66" s="38">
        <v>44783</v>
      </c>
      <c r="E66" s="48">
        <v>0.70499999999999996</v>
      </c>
    </row>
    <row r="67" spans="1:5">
      <c r="A67" s="46" t="s">
        <v>526</v>
      </c>
      <c r="B67" s="44">
        <f t="shared" si="5"/>
        <v>172508</v>
      </c>
      <c r="C67" s="47">
        <v>120742</v>
      </c>
      <c r="D67" s="38">
        <v>51766</v>
      </c>
      <c r="E67" s="48">
        <v>0.70199999999999996</v>
      </c>
    </row>
    <row r="68" spans="1:5">
      <c r="A68" s="46" t="s">
        <v>527</v>
      </c>
      <c r="B68" s="44">
        <f t="shared" si="5"/>
        <v>161054</v>
      </c>
      <c r="C68" s="47">
        <v>101745</v>
      </c>
      <c r="D68" s="38">
        <v>59309</v>
      </c>
      <c r="E68" s="48">
        <v>0.63300000000000001</v>
      </c>
    </row>
    <row r="69" spans="1:5">
      <c r="A69" s="46" t="s">
        <v>528</v>
      </c>
      <c r="B69" s="44">
        <f t="shared" si="5"/>
        <v>177176</v>
      </c>
      <c r="C69" s="47">
        <v>104255</v>
      </c>
      <c r="D69" s="38">
        <v>72921</v>
      </c>
      <c r="E69" s="48">
        <v>0.68400000000000005</v>
      </c>
    </row>
    <row r="70" spans="1:5">
      <c r="A70" s="46"/>
      <c r="B70" s="53"/>
      <c r="C70" s="54"/>
      <c r="D70" s="54"/>
      <c r="E70" s="52"/>
    </row>
    <row r="71" spans="1:5">
      <c r="A71" s="204" t="s">
        <v>5</v>
      </c>
      <c r="B71" s="214">
        <f>SUM(B72:B85)</f>
        <v>2008730</v>
      </c>
      <c r="C71" s="214">
        <f>SUM(C72:C85)</f>
        <v>1371003</v>
      </c>
      <c r="D71" s="214">
        <f>SUM(D72:D85)</f>
        <v>637727</v>
      </c>
      <c r="E71" s="205">
        <v>0.68905961477797506</v>
      </c>
    </row>
    <row r="72" spans="1:5">
      <c r="A72" s="46" t="s">
        <v>517</v>
      </c>
      <c r="B72" s="135">
        <v>212107</v>
      </c>
      <c r="C72" s="135">
        <v>113994</v>
      </c>
      <c r="D72" s="135">
        <v>98113</v>
      </c>
      <c r="E72" s="136">
        <v>0.78803332262018866</v>
      </c>
    </row>
    <row r="73" spans="1:5">
      <c r="A73" s="46" t="s">
        <v>518</v>
      </c>
      <c r="B73" s="135">
        <v>176685</v>
      </c>
      <c r="C73" s="135">
        <v>115075</v>
      </c>
      <c r="D73" s="135">
        <v>61610</v>
      </c>
      <c r="E73" s="136">
        <v>0.71778369364888983</v>
      </c>
    </row>
    <row r="74" spans="1:5">
      <c r="A74" s="46" t="s">
        <v>519</v>
      </c>
      <c r="B74" s="135">
        <v>111897</v>
      </c>
      <c r="C74" s="135">
        <v>69882</v>
      </c>
      <c r="D74" s="135">
        <v>42015</v>
      </c>
      <c r="E74" s="136">
        <v>0.51081130457131008</v>
      </c>
    </row>
    <row r="75" spans="1:5">
      <c r="A75" s="46" t="s">
        <v>520</v>
      </c>
      <c r="B75" s="135">
        <v>139703</v>
      </c>
      <c r="C75" s="135">
        <v>90699</v>
      </c>
      <c r="D75" s="135">
        <v>49004</v>
      </c>
      <c r="E75" s="136">
        <v>0.59068130962195264</v>
      </c>
    </row>
    <row r="76" spans="1:5">
      <c r="A76" s="46" t="s">
        <v>521</v>
      </c>
      <c r="B76" s="135">
        <v>156149</v>
      </c>
      <c r="C76" s="135">
        <v>107069</v>
      </c>
      <c r="D76" s="135">
        <v>49080</v>
      </c>
      <c r="E76" s="136">
        <v>0.65894425754956076</v>
      </c>
    </row>
    <row r="77" spans="1:5">
      <c r="A77" s="46" t="s">
        <v>522</v>
      </c>
      <c r="B77" s="135">
        <v>160241</v>
      </c>
      <c r="C77" s="135">
        <v>116166</v>
      </c>
      <c r="D77" s="135">
        <v>44075</v>
      </c>
      <c r="E77" s="136">
        <v>0.66682530459942946</v>
      </c>
    </row>
    <row r="78" spans="1:5">
      <c r="A78" s="49"/>
      <c r="B78" s="44"/>
      <c r="C78" s="47"/>
      <c r="D78" s="38"/>
      <c r="E78" s="48"/>
    </row>
    <row r="79" spans="1:5">
      <c r="A79" s="204">
        <v>2004</v>
      </c>
      <c r="B79" s="44"/>
      <c r="C79" s="47"/>
      <c r="D79" s="38"/>
      <c r="E79" s="48"/>
    </row>
    <row r="80" spans="1:5">
      <c r="A80" s="46" t="s">
        <v>523</v>
      </c>
      <c r="B80" s="135">
        <v>166285</v>
      </c>
      <c r="C80" s="135">
        <v>125354</v>
      </c>
      <c r="D80" s="135">
        <v>40931</v>
      </c>
      <c r="E80" s="136">
        <v>0.69428254311571513</v>
      </c>
    </row>
    <row r="81" spans="1:5">
      <c r="A81" s="46" t="s">
        <v>524</v>
      </c>
      <c r="B81" s="135">
        <v>169439</v>
      </c>
      <c r="C81" s="135">
        <v>131859</v>
      </c>
      <c r="D81" s="135">
        <v>37580</v>
      </c>
      <c r="E81" s="136">
        <v>0.75533740458015264</v>
      </c>
    </row>
    <row r="82" spans="1:5">
      <c r="A82" s="46" t="s">
        <v>525</v>
      </c>
      <c r="B82" s="135">
        <v>185764</v>
      </c>
      <c r="C82" s="135">
        <v>145920</v>
      </c>
      <c r="D82" s="135">
        <v>39844</v>
      </c>
      <c r="E82" s="136">
        <v>0.74106810648685961</v>
      </c>
    </row>
    <row r="83" spans="1:5">
      <c r="A83" s="46" t="s">
        <v>526</v>
      </c>
      <c r="B83" s="135">
        <v>187621</v>
      </c>
      <c r="C83" s="135">
        <v>136118</v>
      </c>
      <c r="D83" s="135">
        <v>51503</v>
      </c>
      <c r="E83" s="136">
        <v>0.75879638728450871</v>
      </c>
    </row>
    <row r="84" spans="1:5">
      <c r="A84" s="46" t="s">
        <v>527</v>
      </c>
      <c r="B84" s="135">
        <v>155628</v>
      </c>
      <c r="C84" s="135">
        <v>105419</v>
      </c>
      <c r="D84" s="135">
        <v>50209</v>
      </c>
      <c r="E84" s="136">
        <v>0.65422141528748889</v>
      </c>
    </row>
    <row r="85" spans="1:5">
      <c r="A85" s="46" t="s">
        <v>528</v>
      </c>
      <c r="B85" s="135">
        <v>187211</v>
      </c>
      <c r="C85" s="135">
        <v>113448</v>
      </c>
      <c r="D85" s="135">
        <v>73763</v>
      </c>
      <c r="E85" s="136">
        <v>0.7201157890546358</v>
      </c>
    </row>
    <row r="86" spans="1:5">
      <c r="A86" s="46"/>
      <c r="B86" s="44"/>
      <c r="C86" s="44"/>
      <c r="D86" s="44"/>
      <c r="E86" s="48"/>
    </row>
    <row r="87" spans="1:5">
      <c r="A87" s="204" t="s">
        <v>51</v>
      </c>
      <c r="B87" s="214">
        <f>SUM(B88:B101)</f>
        <v>2097606</v>
      </c>
      <c r="C87" s="214">
        <f>SUM(C88:C101)</f>
        <v>1440008</v>
      </c>
      <c r="D87" s="214">
        <f>SUM(D88:D101)</f>
        <v>657598</v>
      </c>
      <c r="E87" s="205">
        <v>0.67732739655893193</v>
      </c>
    </row>
    <row r="88" spans="1:5">
      <c r="A88" s="46" t="s">
        <v>517</v>
      </c>
      <c r="B88" s="44">
        <f t="shared" ref="B88:B93" si="6">D88+C88</f>
        <v>229942</v>
      </c>
      <c r="C88" s="47">
        <v>128527</v>
      </c>
      <c r="D88" s="38">
        <v>101415</v>
      </c>
      <c r="E88" s="48">
        <f>295574/365443</f>
        <v>0.80881012907621708</v>
      </c>
    </row>
    <row r="89" spans="1:5">
      <c r="A89" s="46" t="s">
        <v>518</v>
      </c>
      <c r="B89" s="44">
        <f t="shared" si="6"/>
        <v>179669</v>
      </c>
      <c r="C89" s="47">
        <v>121761</v>
      </c>
      <c r="D89" s="38">
        <v>57908</v>
      </c>
      <c r="E89" s="48">
        <f>246730/361177</f>
        <v>0.6831276631679204</v>
      </c>
    </row>
    <row r="90" spans="1:5">
      <c r="A90" s="46" t="s">
        <v>519</v>
      </c>
      <c r="B90" s="44">
        <f t="shared" si="6"/>
        <v>125124</v>
      </c>
      <c r="C90" s="47">
        <v>74248</v>
      </c>
      <c r="D90" s="38">
        <v>50876</v>
      </c>
      <c r="E90" s="48">
        <f>175862/335942</f>
        <v>0.52348917372641701</v>
      </c>
    </row>
    <row r="91" spans="1:5">
      <c r="A91" s="46" t="s">
        <v>520</v>
      </c>
      <c r="B91" s="44">
        <f t="shared" si="6"/>
        <v>147198</v>
      </c>
      <c r="C91" s="47">
        <v>94348</v>
      </c>
      <c r="D91" s="38">
        <v>52850</v>
      </c>
      <c r="E91" s="48">
        <f>209923/355299</f>
        <v>0.59083476170774474</v>
      </c>
    </row>
    <row r="92" spans="1:5">
      <c r="A92" s="46" t="s">
        <v>521</v>
      </c>
      <c r="B92" s="44">
        <f t="shared" si="6"/>
        <v>159865</v>
      </c>
      <c r="C92" s="47">
        <v>111505</v>
      </c>
      <c r="D92" s="38">
        <v>48360</v>
      </c>
      <c r="E92" s="48">
        <f>223825/346783</f>
        <v>0.64543244622717955</v>
      </c>
    </row>
    <row r="93" spans="1:5">
      <c r="A93" s="46" t="s">
        <v>522</v>
      </c>
      <c r="B93" s="44">
        <f t="shared" si="6"/>
        <v>168080</v>
      </c>
      <c r="C93" s="47">
        <v>123332</v>
      </c>
      <c r="D93" s="38">
        <v>44748</v>
      </c>
      <c r="E93" s="48">
        <f>234709/365868</f>
        <v>0.64151278603212092</v>
      </c>
    </row>
    <row r="94" spans="1:5">
      <c r="A94" s="49"/>
      <c r="B94" s="44"/>
      <c r="C94" s="47"/>
      <c r="D94" s="38"/>
      <c r="E94" s="48"/>
    </row>
    <row r="95" spans="1:5">
      <c r="A95" s="204">
        <v>2005</v>
      </c>
      <c r="B95" s="44"/>
      <c r="C95" s="47"/>
      <c r="D95" s="38"/>
      <c r="E95" s="48"/>
    </row>
    <row r="96" spans="1:5">
      <c r="A96" s="46" t="s">
        <v>523</v>
      </c>
      <c r="B96" s="44">
        <f t="shared" ref="B96:B101" si="7">D96+C96</f>
        <v>167282</v>
      </c>
      <c r="C96" s="47">
        <v>126046</v>
      </c>
      <c r="D96" s="38">
        <v>41236</v>
      </c>
      <c r="E96" s="48">
        <f>240364/365247</f>
        <v>0.65808617182345097</v>
      </c>
    </row>
    <row r="97" spans="1:5">
      <c r="A97" s="46" t="s">
        <v>524</v>
      </c>
      <c r="B97" s="44">
        <f t="shared" si="7"/>
        <v>170965</v>
      </c>
      <c r="C97" s="47">
        <v>134437</v>
      </c>
      <c r="D97" s="38">
        <v>36528</v>
      </c>
      <c r="E97" s="48">
        <f>249999/341603</f>
        <v>0.73184076252257735</v>
      </c>
    </row>
    <row r="98" spans="1:5">
      <c r="A98" s="46" t="s">
        <v>525</v>
      </c>
      <c r="B98" s="44">
        <f t="shared" si="7"/>
        <v>206633</v>
      </c>
      <c r="C98" s="47">
        <v>157340</v>
      </c>
      <c r="D98" s="38">
        <v>49293</v>
      </c>
      <c r="E98" s="48">
        <f>290662/378515</f>
        <v>0.76790087579091981</v>
      </c>
    </row>
    <row r="99" spans="1:5">
      <c r="A99" s="46" t="s">
        <v>526</v>
      </c>
      <c r="B99" s="44">
        <f t="shared" si="7"/>
        <v>188178</v>
      </c>
      <c r="C99" s="47">
        <v>138402</v>
      </c>
      <c r="D99" s="38">
        <v>49776</v>
      </c>
      <c r="E99" s="48">
        <f>264288/365910</f>
        <v>0.72227596950069695</v>
      </c>
    </row>
    <row r="100" spans="1:5">
      <c r="A100" s="46" t="s">
        <v>527</v>
      </c>
      <c r="B100" s="44">
        <f t="shared" si="7"/>
        <v>164425</v>
      </c>
      <c r="C100" s="47">
        <v>112590</v>
      </c>
      <c r="D100" s="38">
        <v>51835</v>
      </c>
      <c r="E100" s="48">
        <f>239410/375239</f>
        <v>0.63802003523087947</v>
      </c>
    </row>
    <row r="101" spans="1:5">
      <c r="A101" s="46" t="s">
        <v>528</v>
      </c>
      <c r="B101" s="44">
        <f t="shared" si="7"/>
        <v>190245</v>
      </c>
      <c r="C101" s="47">
        <v>117472</v>
      </c>
      <c r="D101" s="38">
        <v>72773</v>
      </c>
      <c r="E101" s="48">
        <f>256359/365411</f>
        <v>0.70156344499755074</v>
      </c>
    </row>
    <row r="102" spans="1:5">
      <c r="A102" s="46"/>
      <c r="B102" s="44"/>
      <c r="C102" s="44"/>
      <c r="D102" s="44"/>
      <c r="E102" s="48"/>
    </row>
    <row r="103" spans="1:5">
      <c r="A103" s="204" t="s">
        <v>7</v>
      </c>
      <c r="B103" s="214">
        <f>SUM(B104:B117)</f>
        <v>2344175</v>
      </c>
      <c r="C103" s="214">
        <f>SUM(C104:C117)</f>
        <v>1636348</v>
      </c>
      <c r="D103" s="214">
        <f>SUM(D104:D117)</f>
        <v>707827</v>
      </c>
      <c r="E103" s="205">
        <v>0.67925923061496662</v>
      </c>
    </row>
    <row r="104" spans="1:5">
      <c r="A104" s="46" t="s">
        <v>517</v>
      </c>
      <c r="B104" s="135">
        <v>236432</v>
      </c>
      <c r="C104" s="135">
        <v>133565</v>
      </c>
      <c r="D104" s="135">
        <v>102867</v>
      </c>
      <c r="E104" s="136">
        <v>0.7926760504278817</v>
      </c>
    </row>
    <row r="105" spans="1:5">
      <c r="A105" s="46" t="s">
        <v>518</v>
      </c>
      <c r="B105" s="135">
        <v>180781</v>
      </c>
      <c r="C105" s="135">
        <v>125841</v>
      </c>
      <c r="D105" s="135">
        <v>54940</v>
      </c>
      <c r="E105" s="136">
        <v>0.6645644377120502</v>
      </c>
    </row>
    <row r="106" spans="1:5">
      <c r="A106" s="46" t="s">
        <v>519</v>
      </c>
      <c r="B106" s="135">
        <v>129538</v>
      </c>
      <c r="C106" s="135">
        <v>81177</v>
      </c>
      <c r="D106" s="135">
        <v>48361</v>
      </c>
      <c r="E106" s="136">
        <v>0.52804467272548694</v>
      </c>
    </row>
    <row r="107" spans="1:5">
      <c r="A107" s="46" t="s">
        <v>520</v>
      </c>
      <c r="B107" s="135">
        <v>136368</v>
      </c>
      <c r="C107" s="135">
        <v>91317</v>
      </c>
      <c r="D107" s="135">
        <v>45051</v>
      </c>
      <c r="E107" s="136">
        <v>0.55684779260566608</v>
      </c>
    </row>
    <row r="108" spans="1:5">
      <c r="A108" s="46" t="s">
        <v>521</v>
      </c>
      <c r="B108" s="135">
        <v>166293</v>
      </c>
      <c r="C108" s="135">
        <v>117281</v>
      </c>
      <c r="D108" s="135">
        <v>49012</v>
      </c>
      <c r="E108" s="136">
        <v>0.64675042810476568</v>
      </c>
    </row>
    <row r="109" spans="1:5">
      <c r="A109" s="46" t="s">
        <v>522</v>
      </c>
      <c r="B109" s="135">
        <v>175939</v>
      </c>
      <c r="C109" s="135">
        <v>129824</v>
      </c>
      <c r="D109" s="135">
        <v>46115</v>
      </c>
      <c r="E109" s="136">
        <v>0.64025053603303861</v>
      </c>
    </row>
    <row r="110" spans="1:5">
      <c r="A110" s="49"/>
      <c r="B110" s="135">
        <v>183720</v>
      </c>
      <c r="C110" s="135">
        <v>140070</v>
      </c>
      <c r="D110" s="135">
        <v>43650</v>
      </c>
      <c r="E110" s="136">
        <v>0.67944735099597731</v>
      </c>
    </row>
    <row r="111" spans="1:5">
      <c r="A111" s="204">
        <v>2006</v>
      </c>
      <c r="B111" s="44"/>
      <c r="C111" s="47"/>
      <c r="D111" s="38"/>
      <c r="E111" s="48"/>
    </row>
    <row r="112" spans="1:5">
      <c r="A112" s="46" t="s">
        <v>523</v>
      </c>
      <c r="B112" s="135">
        <v>183720</v>
      </c>
      <c r="C112" s="135">
        <v>140070</v>
      </c>
      <c r="D112" s="135">
        <v>43650</v>
      </c>
      <c r="E112" s="136">
        <v>0.67944735099597731</v>
      </c>
    </row>
    <row r="113" spans="1:5">
      <c r="A113" s="46" t="s">
        <v>524</v>
      </c>
      <c r="B113" s="135">
        <v>182838</v>
      </c>
      <c r="C113" s="135">
        <v>143096</v>
      </c>
      <c r="D113" s="135">
        <v>39742</v>
      </c>
      <c r="E113" s="136">
        <v>0.76303125098293767</v>
      </c>
    </row>
    <row r="114" spans="1:5">
      <c r="A114" s="46" t="s">
        <v>525</v>
      </c>
      <c r="B114" s="135">
        <v>207261</v>
      </c>
      <c r="C114" s="135">
        <v>159383</v>
      </c>
      <c r="D114" s="135">
        <v>47878</v>
      </c>
      <c r="E114" s="136">
        <v>0.76125699835604355</v>
      </c>
    </row>
    <row r="115" spans="1:5">
      <c r="A115" s="46" t="s">
        <v>526</v>
      </c>
      <c r="B115" s="135">
        <v>200715</v>
      </c>
      <c r="C115" s="135">
        <v>143265</v>
      </c>
      <c r="D115" s="135">
        <v>57450</v>
      </c>
      <c r="E115" s="136">
        <v>0.7363396963066805</v>
      </c>
    </row>
    <row r="116" spans="1:5">
      <c r="A116" s="46" t="s">
        <v>527</v>
      </c>
      <c r="B116" s="135">
        <v>167414</v>
      </c>
      <c r="C116" s="135">
        <v>115643</v>
      </c>
      <c r="D116" s="135">
        <v>51771</v>
      </c>
      <c r="E116" s="136">
        <v>0.64812359034332967</v>
      </c>
    </row>
    <row r="117" spans="1:5">
      <c r="A117" s="46" t="s">
        <v>528</v>
      </c>
      <c r="B117" s="135">
        <v>193156</v>
      </c>
      <c r="C117" s="135">
        <v>115816</v>
      </c>
      <c r="D117" s="135">
        <v>77340</v>
      </c>
      <c r="E117" s="136">
        <v>0.71772225130168876</v>
      </c>
    </row>
    <row r="118" spans="1:5">
      <c r="A118" s="46"/>
      <c r="B118" s="44"/>
      <c r="C118" s="44"/>
      <c r="D118" s="44"/>
      <c r="E118" s="48"/>
    </row>
    <row r="119" spans="1:5">
      <c r="A119" s="204" t="s">
        <v>8</v>
      </c>
      <c r="B119" s="214">
        <f>SUM(B120:B133)</f>
        <v>2044097</v>
      </c>
      <c r="C119" s="214">
        <f>SUM(C120:C133)</f>
        <v>1387817</v>
      </c>
      <c r="D119" s="214">
        <f>SUM(D120:D133)</f>
        <v>656280</v>
      </c>
      <c r="E119" s="206">
        <v>0.68703459612014828</v>
      </c>
    </row>
    <row r="120" spans="1:5">
      <c r="A120" s="46" t="s">
        <v>517</v>
      </c>
      <c r="B120" s="134">
        <v>226424</v>
      </c>
      <c r="C120" s="135">
        <v>122661</v>
      </c>
      <c r="D120" s="135">
        <v>103763</v>
      </c>
      <c r="E120" s="136">
        <v>0.80097792474703455</v>
      </c>
    </row>
    <row r="121" spans="1:5">
      <c r="A121" s="46" t="s">
        <v>518</v>
      </c>
      <c r="B121" s="134">
        <v>166875</v>
      </c>
      <c r="C121" s="135">
        <v>115401</v>
      </c>
      <c r="D121" s="135">
        <v>51474</v>
      </c>
      <c r="E121" s="136">
        <v>0.66350222906153111</v>
      </c>
    </row>
    <row r="122" spans="1:5">
      <c r="A122" s="46" t="s">
        <v>519</v>
      </c>
      <c r="B122" s="134">
        <v>129037</v>
      </c>
      <c r="C122" s="135">
        <v>77684</v>
      </c>
      <c r="D122" s="135">
        <v>51353</v>
      </c>
      <c r="E122" s="136">
        <v>0.56147404111310073</v>
      </c>
    </row>
    <row r="123" spans="1:5">
      <c r="A123" s="46" t="s">
        <v>520</v>
      </c>
      <c r="B123" s="134">
        <v>126198</v>
      </c>
      <c r="C123" s="135">
        <v>83178</v>
      </c>
      <c r="D123" s="135">
        <v>43020</v>
      </c>
      <c r="E123" s="136">
        <v>0.56684899217309848</v>
      </c>
    </row>
    <row r="124" spans="1:5">
      <c r="A124" s="46" t="s">
        <v>521</v>
      </c>
      <c r="B124" s="134">
        <v>153724</v>
      </c>
      <c r="C124" s="135">
        <v>106101</v>
      </c>
      <c r="D124" s="135">
        <v>47623</v>
      </c>
      <c r="E124" s="136">
        <v>0.65728197333878013</v>
      </c>
    </row>
    <row r="125" spans="1:5">
      <c r="A125" s="46" t="s">
        <v>522</v>
      </c>
      <c r="B125" s="134">
        <v>171193</v>
      </c>
      <c r="C125" s="135">
        <v>124154</v>
      </c>
      <c r="D125" s="135">
        <v>47039</v>
      </c>
      <c r="E125" s="136">
        <v>0.64823235859869155</v>
      </c>
    </row>
    <row r="126" spans="1:5">
      <c r="A126" s="49"/>
      <c r="B126" s="44"/>
      <c r="C126" s="47"/>
      <c r="D126" s="38"/>
      <c r="E126" s="48"/>
    </row>
    <row r="127" spans="1:5">
      <c r="A127" s="204">
        <v>2007</v>
      </c>
      <c r="B127" s="44"/>
      <c r="C127" s="47"/>
      <c r="D127" s="38"/>
      <c r="E127" s="48"/>
    </row>
    <row r="128" spans="1:5">
      <c r="A128" s="46" t="s">
        <v>523</v>
      </c>
      <c r="B128" s="134">
        <v>158948</v>
      </c>
      <c r="C128" s="135">
        <v>119525</v>
      </c>
      <c r="D128" s="135">
        <v>39423</v>
      </c>
      <c r="E128" s="136">
        <v>0.66224362993148533</v>
      </c>
    </row>
    <row r="129" spans="1:5">
      <c r="A129" s="46" t="s">
        <v>524</v>
      </c>
      <c r="B129" s="134">
        <v>170596</v>
      </c>
      <c r="C129" s="135">
        <v>131713</v>
      </c>
      <c r="D129" s="135">
        <v>38883</v>
      </c>
      <c r="E129" s="136">
        <v>0.75322867574045793</v>
      </c>
    </row>
    <row r="130" spans="1:5">
      <c r="A130" s="46" t="s">
        <v>525</v>
      </c>
      <c r="B130" s="134">
        <v>200862</v>
      </c>
      <c r="C130" s="135">
        <v>153939</v>
      </c>
      <c r="D130" s="135">
        <v>46923</v>
      </c>
      <c r="E130" s="136">
        <v>0.78198915363505683</v>
      </c>
    </row>
    <row r="131" spans="1:5">
      <c r="A131" s="46" t="s">
        <v>526</v>
      </c>
      <c r="B131" s="134">
        <v>190240</v>
      </c>
      <c r="C131" s="135">
        <v>133673</v>
      </c>
      <c r="D131" s="135">
        <v>56567</v>
      </c>
      <c r="E131" s="136">
        <v>0.74124195647408453</v>
      </c>
    </row>
    <row r="132" spans="1:5">
      <c r="A132" s="46" t="s">
        <v>527</v>
      </c>
      <c r="B132" s="134">
        <v>160725</v>
      </c>
      <c r="C132" s="135">
        <v>109081</v>
      </c>
      <c r="D132" s="135">
        <v>51644</v>
      </c>
      <c r="E132" s="136">
        <v>0.65364895941286327</v>
      </c>
    </row>
    <row r="133" spans="1:5">
      <c r="A133" s="46" t="s">
        <v>528</v>
      </c>
      <c r="B133" s="134">
        <v>189275</v>
      </c>
      <c r="C133" s="135">
        <v>110707</v>
      </c>
      <c r="D133" s="135">
        <v>78568</v>
      </c>
      <c r="E133" s="136">
        <v>0.7252447081256238</v>
      </c>
    </row>
    <row r="135" spans="1:5">
      <c r="A135" s="204" t="s">
        <v>9</v>
      </c>
      <c r="B135" s="214">
        <f>SUM(B136:B149)</f>
        <v>1996890</v>
      </c>
      <c r="C135" s="214">
        <f>SUM(C136:C149)</f>
        <v>1335322</v>
      </c>
      <c r="D135" s="214">
        <f>SUM(D136:D149)</f>
        <v>661568</v>
      </c>
      <c r="E135" s="205">
        <v>0.67558868841256881</v>
      </c>
    </row>
    <row r="136" spans="1:5">
      <c r="A136" s="46" t="s">
        <v>517</v>
      </c>
      <c r="B136" s="135">
        <v>219778</v>
      </c>
      <c r="C136" s="135">
        <v>112736</v>
      </c>
      <c r="D136" s="135">
        <v>107042</v>
      </c>
      <c r="E136" s="136">
        <v>0.76556487500101689</v>
      </c>
    </row>
    <row r="137" spans="1:5">
      <c r="A137" s="46" t="s">
        <v>518</v>
      </c>
      <c r="B137" s="135">
        <v>171442</v>
      </c>
      <c r="C137" s="135">
        <v>109902</v>
      </c>
      <c r="D137" s="135">
        <v>61540</v>
      </c>
      <c r="E137" s="136">
        <v>0.70044080989101887</v>
      </c>
    </row>
    <row r="138" spans="1:5">
      <c r="A138" s="46" t="s">
        <v>519</v>
      </c>
      <c r="B138" s="135">
        <v>119048</v>
      </c>
      <c r="C138" s="135">
        <v>69396</v>
      </c>
      <c r="D138" s="135">
        <v>49652</v>
      </c>
      <c r="E138" s="136">
        <v>0.56017598165143168</v>
      </c>
    </row>
    <row r="139" spans="1:5">
      <c r="A139" s="46" t="s">
        <v>520</v>
      </c>
      <c r="B139" s="135">
        <v>133702</v>
      </c>
      <c r="C139" s="135">
        <v>86258</v>
      </c>
      <c r="D139" s="135">
        <v>47444</v>
      </c>
      <c r="E139" s="136">
        <v>0.59806498451691281</v>
      </c>
    </row>
    <row r="140" spans="1:5">
      <c r="A140" s="46" t="s">
        <v>521</v>
      </c>
      <c r="B140" s="135">
        <v>153285</v>
      </c>
      <c r="C140" s="135">
        <v>106082</v>
      </c>
      <c r="D140" s="135">
        <v>47203</v>
      </c>
      <c r="E140" s="136">
        <v>0.63852975967568404</v>
      </c>
    </row>
    <row r="141" spans="1:5">
      <c r="A141" s="46" t="s">
        <v>522</v>
      </c>
      <c r="B141" s="135">
        <v>160684</v>
      </c>
      <c r="C141" s="135">
        <v>113310</v>
      </c>
      <c r="D141" s="135">
        <v>47374</v>
      </c>
      <c r="E141" s="136">
        <v>0.61474187649458434</v>
      </c>
    </row>
    <row r="142" spans="1:5">
      <c r="A142" s="49"/>
      <c r="B142" s="21"/>
      <c r="C142" s="21"/>
      <c r="D142" s="21"/>
      <c r="E142" s="78"/>
    </row>
    <row r="143" spans="1:5">
      <c r="A143" s="204">
        <v>2008</v>
      </c>
      <c r="B143" s="21"/>
      <c r="C143" s="21"/>
      <c r="D143" s="21"/>
      <c r="E143" s="78"/>
    </row>
    <row r="144" spans="1:5">
      <c r="A144" s="46" t="s">
        <v>523</v>
      </c>
      <c r="B144" s="135">
        <v>159291</v>
      </c>
      <c r="C144" s="135">
        <v>121215</v>
      </c>
      <c r="D144" s="135">
        <v>38076</v>
      </c>
      <c r="E144" s="136">
        <v>0.63947193024627957</v>
      </c>
    </row>
    <row r="145" spans="1:5">
      <c r="A145" s="46" t="s">
        <v>524</v>
      </c>
      <c r="B145" s="135">
        <v>167667</v>
      </c>
      <c r="C145" s="135">
        <v>130546</v>
      </c>
      <c r="D145" s="135">
        <v>37121</v>
      </c>
      <c r="E145" s="136">
        <v>0.72688847603924689</v>
      </c>
    </row>
    <row r="146" spans="1:5">
      <c r="A146" s="46" t="s">
        <v>525</v>
      </c>
      <c r="B146" s="135">
        <v>198849</v>
      </c>
      <c r="C146" s="135">
        <v>147790</v>
      </c>
      <c r="D146" s="135">
        <v>51059</v>
      </c>
      <c r="E146" s="136">
        <v>0.75238892785611222</v>
      </c>
    </row>
    <row r="147" spans="1:5">
      <c r="A147" s="46" t="s">
        <v>526</v>
      </c>
      <c r="B147" s="135">
        <v>164914</v>
      </c>
      <c r="C147" s="135">
        <v>121561</v>
      </c>
      <c r="D147" s="135">
        <v>43353</v>
      </c>
      <c r="E147" s="136">
        <v>0.69176274674692395</v>
      </c>
    </row>
    <row r="148" spans="1:5">
      <c r="A148" s="46" t="s">
        <v>527</v>
      </c>
      <c r="B148" s="135">
        <v>162517</v>
      </c>
      <c r="C148" s="135">
        <v>107755</v>
      </c>
      <c r="D148" s="135">
        <v>54762</v>
      </c>
      <c r="E148" s="136">
        <v>0.67485184857597735</v>
      </c>
    </row>
    <row r="149" spans="1:5">
      <c r="A149" s="46" t="s">
        <v>528</v>
      </c>
      <c r="B149" s="135">
        <v>185713</v>
      </c>
      <c r="C149" s="135">
        <v>108771</v>
      </c>
      <c r="D149" s="135">
        <v>76942</v>
      </c>
      <c r="E149" s="136">
        <v>0.72369235746598759</v>
      </c>
    </row>
    <row r="151" spans="1:5">
      <c r="A151" s="204" t="s">
        <v>82</v>
      </c>
      <c r="B151" s="214">
        <f>SUM(B152:B165)</f>
        <v>1936662</v>
      </c>
      <c r="C151" s="214">
        <f>SUM(C152:C165)</f>
        <v>1280854</v>
      </c>
      <c r="D151" s="214">
        <f>SUM(D152:D165)</f>
        <v>655808</v>
      </c>
      <c r="E151" s="205">
        <v>0.63437093946879719</v>
      </c>
    </row>
    <row r="152" spans="1:5">
      <c r="A152" s="46" t="s">
        <v>517</v>
      </c>
      <c r="B152" s="69">
        <v>221879</v>
      </c>
      <c r="C152" s="135">
        <v>113493</v>
      </c>
      <c r="D152" s="135">
        <v>108386</v>
      </c>
      <c r="E152" s="136">
        <v>0.762984293052686</v>
      </c>
    </row>
    <row r="153" spans="1:5">
      <c r="A153" s="46" t="s">
        <v>518</v>
      </c>
      <c r="B153" s="69">
        <v>180159</v>
      </c>
      <c r="C153" s="135">
        <v>114277</v>
      </c>
      <c r="D153" s="135">
        <v>65882</v>
      </c>
      <c r="E153" s="136">
        <v>0.68420994953452308</v>
      </c>
    </row>
    <row r="154" spans="1:5">
      <c r="A154" s="46" t="s">
        <v>519</v>
      </c>
      <c r="B154" s="69">
        <v>104383</v>
      </c>
      <c r="C154" s="135">
        <v>63710</v>
      </c>
      <c r="D154" s="135">
        <v>40673</v>
      </c>
      <c r="E154" s="136">
        <v>0.48396914712794614</v>
      </c>
    </row>
    <row r="155" spans="1:5">
      <c r="A155" s="46" t="s">
        <v>520</v>
      </c>
      <c r="B155" s="69">
        <v>131089</v>
      </c>
      <c r="C155" s="135">
        <v>84468</v>
      </c>
      <c r="D155" s="135">
        <v>46621</v>
      </c>
      <c r="E155" s="136">
        <v>0.57796135457040199</v>
      </c>
    </row>
    <row r="156" spans="1:5">
      <c r="A156" s="46" t="s">
        <v>521</v>
      </c>
      <c r="B156" s="69">
        <v>144649</v>
      </c>
      <c r="C156" s="135">
        <v>97571</v>
      </c>
      <c r="D156" s="135">
        <v>47078</v>
      </c>
      <c r="E156" s="136">
        <v>0.58456181731390222</v>
      </c>
    </row>
    <row r="157" spans="1:5">
      <c r="A157" s="46" t="s">
        <v>522</v>
      </c>
      <c r="B157" s="69">
        <v>156355</v>
      </c>
      <c r="C157" s="135">
        <v>110348</v>
      </c>
      <c r="D157" s="135">
        <v>46007</v>
      </c>
      <c r="E157" s="136">
        <v>0.56635815131474587</v>
      </c>
    </row>
    <row r="158" spans="1:5">
      <c r="A158" s="49"/>
      <c r="B158" s="21"/>
      <c r="C158" s="21"/>
      <c r="D158" s="21"/>
      <c r="E158" s="78"/>
    </row>
    <row r="159" spans="1:5">
      <c r="A159" s="204">
        <v>2009</v>
      </c>
      <c r="B159" s="21"/>
      <c r="C159" s="21"/>
      <c r="D159" s="21"/>
      <c r="E159" s="78"/>
    </row>
    <row r="160" spans="1:5">
      <c r="A160" s="46" t="s">
        <v>523</v>
      </c>
      <c r="B160" s="69">
        <v>153254</v>
      </c>
      <c r="C160" s="135">
        <v>115724</v>
      </c>
      <c r="D160" s="135">
        <v>37530</v>
      </c>
      <c r="E160" s="136">
        <v>0.61832381847587192</v>
      </c>
    </row>
    <row r="161" spans="1:5">
      <c r="A161" s="46" t="s">
        <v>524</v>
      </c>
      <c r="B161" s="69">
        <v>153600</v>
      </c>
      <c r="C161" s="135">
        <v>118027</v>
      </c>
      <c r="D161" s="135">
        <v>35573</v>
      </c>
      <c r="E161" s="136">
        <v>0.67582398046861114</v>
      </c>
    </row>
    <row r="162" spans="1:5">
      <c r="A162" s="46" t="s">
        <v>525</v>
      </c>
      <c r="B162" s="69">
        <v>170702</v>
      </c>
      <c r="C162" s="135">
        <v>128609</v>
      </c>
      <c r="D162" s="135">
        <v>42093</v>
      </c>
      <c r="E162" s="136">
        <v>0.67720739876260971</v>
      </c>
    </row>
    <row r="163" spans="1:5">
      <c r="A163" s="46" t="s">
        <v>526</v>
      </c>
      <c r="B163" s="69">
        <v>173339</v>
      </c>
      <c r="C163" s="135">
        <v>120576</v>
      </c>
      <c r="D163" s="135">
        <v>52763</v>
      </c>
      <c r="E163" s="136">
        <v>0.66072760330758473</v>
      </c>
    </row>
    <row r="164" spans="1:5">
      <c r="A164" s="46" t="s">
        <v>527</v>
      </c>
      <c r="B164" s="69">
        <v>164738</v>
      </c>
      <c r="C164" s="135">
        <v>107560</v>
      </c>
      <c r="D164" s="135">
        <v>57178</v>
      </c>
      <c r="E164" s="136">
        <v>0.61541370017296171</v>
      </c>
    </row>
    <row r="165" spans="1:5">
      <c r="A165" s="46" t="s">
        <v>528</v>
      </c>
      <c r="B165" s="69">
        <v>182515</v>
      </c>
      <c r="C165" s="135">
        <v>106491</v>
      </c>
      <c r="D165" s="135">
        <v>76024</v>
      </c>
      <c r="E165" s="136">
        <v>0.68517535113577255</v>
      </c>
    </row>
    <row r="168" spans="1:5">
      <c r="A168" s="204" t="s">
        <v>11</v>
      </c>
      <c r="B168" s="214">
        <f>SUM(B169:B182)</f>
        <v>2030941</v>
      </c>
      <c r="C168" s="214">
        <f>SUM(C169:C182)</f>
        <v>1349449</v>
      </c>
      <c r="D168" s="214">
        <f>SUM(D169:D182)</f>
        <v>681492</v>
      </c>
      <c r="E168" s="207">
        <v>0.66166066209097185</v>
      </c>
    </row>
    <row r="169" spans="1:5">
      <c r="A169" s="137" t="s">
        <v>529</v>
      </c>
      <c r="B169" s="135">
        <v>225383</v>
      </c>
      <c r="C169" s="135">
        <v>110580</v>
      </c>
      <c r="D169" s="135">
        <v>114803</v>
      </c>
      <c r="E169" s="202">
        <v>0.78270433639947434</v>
      </c>
    </row>
    <row r="170" spans="1:5">
      <c r="A170" s="137" t="s">
        <v>530</v>
      </c>
      <c r="B170" s="135">
        <v>170001</v>
      </c>
      <c r="C170" s="135">
        <v>110599</v>
      </c>
      <c r="D170" s="135">
        <v>59402</v>
      </c>
      <c r="E170" s="202">
        <v>0.69111656882712347</v>
      </c>
    </row>
    <row r="171" spans="1:5">
      <c r="A171" s="137" t="s">
        <v>531</v>
      </c>
      <c r="B171" s="135">
        <v>131500</v>
      </c>
      <c r="C171" s="135">
        <v>78179</v>
      </c>
      <c r="D171" s="135">
        <v>53321</v>
      </c>
      <c r="E171" s="202">
        <v>0.56550188223799536</v>
      </c>
    </row>
    <row r="172" spans="1:5">
      <c r="A172" s="137" t="s">
        <v>532</v>
      </c>
      <c r="B172" s="135">
        <v>141006</v>
      </c>
      <c r="C172" s="135">
        <v>89117</v>
      </c>
      <c r="D172" s="135">
        <v>51889</v>
      </c>
      <c r="E172" s="202">
        <v>0.5778689897805328</v>
      </c>
    </row>
    <row r="173" spans="1:5">
      <c r="A173" s="137" t="s">
        <v>533</v>
      </c>
      <c r="B173" s="135">
        <v>152943</v>
      </c>
      <c r="C173" s="135">
        <v>103758</v>
      </c>
      <c r="D173" s="135">
        <v>49185</v>
      </c>
      <c r="E173" s="202">
        <v>0.61706268526126573</v>
      </c>
    </row>
    <row r="174" spans="1:5">
      <c r="A174" s="137" t="s">
        <v>534</v>
      </c>
      <c r="B174" s="135">
        <v>160839</v>
      </c>
      <c r="C174" s="135">
        <v>113591</v>
      </c>
      <c r="D174" s="135">
        <v>47248</v>
      </c>
      <c r="E174" s="202">
        <v>0.60465940174226362</v>
      </c>
    </row>
    <row r="175" spans="1:5" s="119" customFormat="1">
      <c r="A175" s="137"/>
      <c r="B175" s="151"/>
      <c r="C175" s="135"/>
      <c r="D175" s="135"/>
      <c r="E175" s="136"/>
    </row>
    <row r="176" spans="1:5">
      <c r="A176" s="204">
        <v>2010</v>
      </c>
      <c r="B176" s="151"/>
      <c r="C176" s="122"/>
      <c r="D176" s="122"/>
      <c r="E176" s="122"/>
    </row>
    <row r="177" spans="1:5">
      <c r="A177" s="137" t="s">
        <v>535</v>
      </c>
      <c r="B177" s="135">
        <v>165410</v>
      </c>
      <c r="C177" s="135">
        <v>125749</v>
      </c>
      <c r="D177" s="135">
        <v>39661</v>
      </c>
      <c r="E177" s="202">
        <v>0.63700556145722675</v>
      </c>
    </row>
    <row r="178" spans="1:5">
      <c r="A178" s="137" t="s">
        <v>536</v>
      </c>
      <c r="B178" s="135">
        <v>170218</v>
      </c>
      <c r="C178" s="135">
        <v>131729</v>
      </c>
      <c r="D178" s="135">
        <v>38489</v>
      </c>
      <c r="E178" s="202">
        <v>0.71324477232227601</v>
      </c>
    </row>
    <row r="179" spans="1:5">
      <c r="A179" s="137" t="s">
        <v>537</v>
      </c>
      <c r="B179" s="135">
        <v>193477</v>
      </c>
      <c r="C179" s="135">
        <v>147371</v>
      </c>
      <c r="D179" s="135">
        <v>46106</v>
      </c>
      <c r="E179" s="202">
        <v>0.7349387656242351</v>
      </c>
    </row>
    <row r="180" spans="1:5">
      <c r="A180" s="137" t="s">
        <v>538</v>
      </c>
      <c r="B180" s="135">
        <v>178066</v>
      </c>
      <c r="C180" s="135">
        <v>127336</v>
      </c>
      <c r="D180" s="135">
        <v>50730</v>
      </c>
      <c r="E180" s="202">
        <v>0.68436940011946412</v>
      </c>
    </row>
    <row r="181" spans="1:5">
      <c r="A181" s="137" t="s">
        <v>539</v>
      </c>
      <c r="B181" s="135">
        <v>158202</v>
      </c>
      <c r="C181" s="135">
        <v>104064</v>
      </c>
      <c r="D181" s="135">
        <v>54138</v>
      </c>
      <c r="E181" s="202">
        <v>0.64191600185989162</v>
      </c>
    </row>
    <row r="182" spans="1:5">
      <c r="A182" s="137" t="s">
        <v>540</v>
      </c>
      <c r="B182" s="135">
        <v>183896</v>
      </c>
      <c r="C182" s="135">
        <v>107376</v>
      </c>
      <c r="D182" s="135">
        <v>76520</v>
      </c>
      <c r="E182" s="202">
        <v>0.68196647571672375</v>
      </c>
    </row>
    <row r="183" spans="1:5" ht="7.5" customHeight="1">
      <c r="A183" s="159"/>
      <c r="B183" s="90"/>
      <c r="C183" s="159"/>
      <c r="D183" s="159"/>
      <c r="E183" s="159"/>
    </row>
    <row r="184" spans="1:5">
      <c r="A184" s="204" t="s">
        <v>12</v>
      </c>
      <c r="B184" s="214">
        <f>SUM(B185:B198)</f>
        <v>2120681</v>
      </c>
      <c r="C184" s="214">
        <f>SUM(C185:C198)</f>
        <v>1408536</v>
      </c>
      <c r="D184" s="214">
        <f>SUM(D185:D198)</f>
        <v>712145</v>
      </c>
      <c r="E184" s="215">
        <v>0.66100000000000003</v>
      </c>
    </row>
    <row r="185" spans="1:5">
      <c r="A185" s="137" t="s">
        <v>529</v>
      </c>
      <c r="B185" s="135">
        <v>229288</v>
      </c>
      <c r="C185" s="135">
        <v>116515</v>
      </c>
      <c r="D185" s="135">
        <v>112773</v>
      </c>
      <c r="E185" s="202">
        <v>0.79235111260652702</v>
      </c>
    </row>
    <row r="186" spans="1:5">
      <c r="A186" s="137" t="s">
        <v>530</v>
      </c>
      <c r="B186" s="135">
        <v>173731</v>
      </c>
      <c r="C186" s="135">
        <v>111158</v>
      </c>
      <c r="D186" s="135">
        <v>62573</v>
      </c>
      <c r="E186" s="203">
        <v>0.66229595317238688</v>
      </c>
    </row>
    <row r="187" spans="1:5">
      <c r="A187" s="137" t="s">
        <v>531</v>
      </c>
      <c r="B187" s="135">
        <v>138308</v>
      </c>
      <c r="C187" s="135">
        <v>81693</v>
      </c>
      <c r="D187" s="135">
        <v>56615</v>
      </c>
      <c r="E187" s="202">
        <v>0.53008437862408186</v>
      </c>
    </row>
    <row r="188" spans="1:5">
      <c r="A188" s="137" t="s">
        <v>532</v>
      </c>
      <c r="B188" s="135">
        <v>148274</v>
      </c>
      <c r="C188" s="135">
        <v>95009</v>
      </c>
      <c r="D188" s="135">
        <v>53265</v>
      </c>
      <c r="E188" s="202">
        <v>0.57478005865102644</v>
      </c>
    </row>
    <row r="189" spans="1:5">
      <c r="A189" s="137" t="s">
        <v>533</v>
      </c>
      <c r="B189" s="135">
        <v>147632</v>
      </c>
      <c r="C189" s="135">
        <v>99632</v>
      </c>
      <c r="D189" s="135">
        <v>48000</v>
      </c>
      <c r="E189" s="202">
        <v>0.59002241310898773</v>
      </c>
    </row>
    <row r="190" spans="1:5">
      <c r="A190" s="137" t="s">
        <v>534</v>
      </c>
      <c r="B190" s="135">
        <v>173224</v>
      </c>
      <c r="C190" s="135">
        <v>123167</v>
      </c>
      <c r="D190" s="135">
        <v>50057</v>
      </c>
      <c r="E190" s="202">
        <v>0.60413850101778965</v>
      </c>
    </row>
    <row r="192" spans="1:5">
      <c r="A192" s="204">
        <v>2011</v>
      </c>
      <c r="B192" s="151"/>
      <c r="C192" s="122"/>
      <c r="D192" s="122"/>
      <c r="E192" s="122"/>
    </row>
    <row r="193" spans="1:5">
      <c r="A193" s="137" t="s">
        <v>535</v>
      </c>
      <c r="B193" s="135">
        <v>168465</v>
      </c>
      <c r="C193" s="135">
        <v>127980</v>
      </c>
      <c r="D193" s="135">
        <v>40485</v>
      </c>
      <c r="E193" s="202">
        <v>0.64373765510255765</v>
      </c>
    </row>
    <row r="194" spans="1:5">
      <c r="A194" s="137" t="s">
        <v>536</v>
      </c>
      <c r="B194" s="135">
        <v>180007</v>
      </c>
      <c r="C194" s="135">
        <v>138144</v>
      </c>
      <c r="D194" s="135">
        <v>41863</v>
      </c>
      <c r="E194" s="202">
        <v>0.75431461494342766</v>
      </c>
    </row>
    <row r="195" spans="1:5">
      <c r="A195" s="137" t="s">
        <v>537</v>
      </c>
      <c r="B195" s="135">
        <v>196980</v>
      </c>
      <c r="C195" s="135">
        <v>150584</v>
      </c>
      <c r="D195" s="135">
        <v>46396</v>
      </c>
      <c r="E195" s="202">
        <v>0.74132991054601172</v>
      </c>
    </row>
    <row r="196" spans="1:5">
      <c r="A196" s="137" t="s">
        <v>538</v>
      </c>
      <c r="B196" s="135">
        <v>197334</v>
      </c>
      <c r="C196" s="135">
        <v>139567</v>
      </c>
      <c r="D196" s="135">
        <v>57767</v>
      </c>
      <c r="E196" s="202">
        <v>0.70772043356204728</v>
      </c>
    </row>
    <row r="197" spans="1:5">
      <c r="A197" s="137" t="s">
        <v>539</v>
      </c>
      <c r="B197" s="135">
        <v>169796</v>
      </c>
      <c r="C197" s="135">
        <v>112094</v>
      </c>
      <c r="D197" s="135">
        <v>57702</v>
      </c>
      <c r="E197" s="202">
        <v>0.62735945614677968</v>
      </c>
    </row>
    <row r="198" spans="1:5">
      <c r="A198" s="137" t="s">
        <v>540</v>
      </c>
      <c r="B198" s="135">
        <v>197642</v>
      </c>
      <c r="C198" s="135">
        <v>112993</v>
      </c>
      <c r="D198" s="135">
        <v>84649</v>
      </c>
      <c r="E198" s="202">
        <v>0.69752089079158608</v>
      </c>
    </row>
    <row r="200" spans="1:5" s="154" customFormat="1" ht="15" customHeight="1">
      <c r="A200" s="154" t="s">
        <v>27</v>
      </c>
    </row>
    <row r="201" spans="1:5" s="154" customFormat="1" ht="15" customHeight="1">
      <c r="A201" s="154" t="s">
        <v>28</v>
      </c>
    </row>
  </sheetData>
  <phoneticPr fontId="35" type="noConversion"/>
  <printOptions horizontalCentered="1"/>
  <pageMargins left="0.7" right="0.7" top="0.75" bottom="0.75" header="0.3" footer="0.3"/>
  <pageSetup orientation="portrait" r:id="rId1"/>
  <rowBreaks count="4" manualBreakCount="4">
    <brk id="38" max="4" man="1"/>
    <brk id="70" max="4" man="1"/>
    <brk id="102" max="4" man="1"/>
    <brk id="134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60E3-72F7-4779-85BC-63998276E316}">
  <sheetPr>
    <tabColor rgb="FFC00000"/>
  </sheetPr>
  <dimension ref="A1:E201"/>
  <sheetViews>
    <sheetView showGridLines="0" zoomScaleSheetLayoutView="100" workbookViewId="0"/>
  </sheetViews>
  <sheetFormatPr defaultRowHeight="15"/>
  <cols>
    <col min="1" max="1" width="12.7109375" customWidth="1"/>
    <col min="2" max="2" width="14.140625" customWidth="1"/>
    <col min="3" max="3" width="13.85546875" customWidth="1"/>
    <col min="4" max="4" width="13.5703125" customWidth="1"/>
    <col min="5" max="5" width="13.28515625" customWidth="1"/>
  </cols>
  <sheetData>
    <row r="1" spans="1:5" ht="15.75" thickTop="1">
      <c r="A1" s="172" t="s">
        <v>541</v>
      </c>
      <c r="B1" s="212"/>
      <c r="C1" s="212"/>
      <c r="D1" s="212"/>
      <c r="E1" s="213"/>
    </row>
    <row r="2" spans="1:5">
      <c r="A2" s="175" t="s">
        <v>62</v>
      </c>
      <c r="B2" s="176"/>
      <c r="C2" s="176"/>
      <c r="D2" s="176"/>
      <c r="E2" s="177"/>
    </row>
    <row r="3" spans="1:5" ht="15.75" thickBot="1">
      <c r="A3" s="178" t="s">
        <v>31</v>
      </c>
      <c r="B3" s="179"/>
      <c r="C3" s="179"/>
      <c r="D3" s="179"/>
      <c r="E3" s="180"/>
    </row>
    <row r="4" spans="1:5" ht="16.5" thickTop="1">
      <c r="A4" s="40"/>
      <c r="B4" s="40"/>
      <c r="C4" s="40"/>
      <c r="D4" s="40"/>
      <c r="E4" s="40"/>
    </row>
    <row r="5" spans="1:5" ht="25.5">
      <c r="A5" s="55"/>
      <c r="B5" s="181" t="s">
        <v>514</v>
      </c>
      <c r="C5" s="210" t="s">
        <v>515</v>
      </c>
      <c r="D5" s="181" t="s">
        <v>358</v>
      </c>
      <c r="E5" s="211" t="s">
        <v>516</v>
      </c>
    </row>
    <row r="6" spans="1:5">
      <c r="A6" s="13"/>
      <c r="B6" s="13"/>
      <c r="C6" s="13"/>
      <c r="D6" s="13"/>
      <c r="E6" s="13"/>
    </row>
    <row r="7" spans="1:5">
      <c r="A7" s="204" t="s">
        <v>542</v>
      </c>
      <c r="B7" s="214">
        <f>SUM(B8:B21)</f>
        <v>924216</v>
      </c>
      <c r="C7" s="214">
        <f>SUM(C8:C21)</f>
        <v>709711</v>
      </c>
      <c r="D7" s="214">
        <f>SUM(D8:D21)</f>
        <v>214505</v>
      </c>
      <c r="E7" s="208">
        <v>0.79400000000000004</v>
      </c>
    </row>
    <row r="8" spans="1:5">
      <c r="A8" s="46" t="s">
        <v>517</v>
      </c>
      <c r="B8" s="44">
        <f>SUM(C8:D8)</f>
        <v>86683</v>
      </c>
      <c r="C8" s="44">
        <v>61202</v>
      </c>
      <c r="D8" s="44">
        <v>25481</v>
      </c>
      <c r="E8" s="48">
        <v>0.86708181091947245</v>
      </c>
    </row>
    <row r="9" spans="1:5">
      <c r="A9" s="46" t="s">
        <v>518</v>
      </c>
      <c r="B9" s="44">
        <f t="shared" ref="B9:B21" si="0">SUM(C9:D9)</f>
        <v>73219</v>
      </c>
      <c r="C9" s="44">
        <v>54285</v>
      </c>
      <c r="D9" s="44">
        <v>18934</v>
      </c>
      <c r="E9" s="48">
        <v>0.83856457350320679</v>
      </c>
    </row>
    <row r="10" spans="1:5">
      <c r="A10" s="46" t="s">
        <v>519</v>
      </c>
      <c r="B10" s="44">
        <f t="shared" si="0"/>
        <v>53631</v>
      </c>
      <c r="C10" s="44">
        <v>35876</v>
      </c>
      <c r="D10" s="44">
        <v>17755</v>
      </c>
      <c r="E10" s="48">
        <v>0.6918575999666835</v>
      </c>
    </row>
    <row r="11" spans="1:5">
      <c r="A11" s="46" t="s">
        <v>520</v>
      </c>
      <c r="B11" s="44">
        <f t="shared" si="0"/>
        <v>61374</v>
      </c>
      <c r="C11" s="44">
        <v>42017</v>
      </c>
      <c r="D11" s="44">
        <v>19357</v>
      </c>
      <c r="E11" s="48">
        <v>0.75267511019064304</v>
      </c>
    </row>
    <row r="12" spans="1:5">
      <c r="A12" s="46" t="s">
        <v>521</v>
      </c>
      <c r="B12" s="44">
        <f t="shared" si="0"/>
        <v>73845</v>
      </c>
      <c r="C12" s="44">
        <v>56688</v>
      </c>
      <c r="D12" s="44">
        <v>17157</v>
      </c>
      <c r="E12" s="50">
        <v>0.83971789916251316</v>
      </c>
    </row>
    <row r="13" spans="1:5">
      <c r="A13" s="46" t="s">
        <v>522</v>
      </c>
      <c r="B13" s="44">
        <f t="shared" si="0"/>
        <v>71566</v>
      </c>
      <c r="C13" s="44">
        <v>54380</v>
      </c>
      <c r="D13" s="44">
        <v>17186</v>
      </c>
      <c r="E13" s="50">
        <v>0.73750072380315124</v>
      </c>
    </row>
    <row r="14" spans="1:5">
      <c r="A14" s="46"/>
      <c r="B14" s="44"/>
      <c r="C14" s="44"/>
      <c r="D14" s="44"/>
      <c r="E14" s="50"/>
    </row>
    <row r="15" spans="1:5">
      <c r="A15" s="204">
        <v>2000</v>
      </c>
      <c r="B15" s="44"/>
      <c r="C15" s="56"/>
      <c r="D15" s="56"/>
      <c r="E15" s="36"/>
    </row>
    <row r="16" spans="1:5">
      <c r="A16" s="46" t="s">
        <v>523</v>
      </c>
      <c r="B16" s="44">
        <f t="shared" si="0"/>
        <v>77543</v>
      </c>
      <c r="C16" s="44">
        <v>61415</v>
      </c>
      <c r="D16" s="44">
        <v>16128</v>
      </c>
      <c r="E16" s="50">
        <v>0.78051778821331108</v>
      </c>
    </row>
    <row r="17" spans="1:5">
      <c r="A17" s="46" t="s">
        <v>524</v>
      </c>
      <c r="B17" s="44">
        <f t="shared" si="0"/>
        <v>84550</v>
      </c>
      <c r="C17" s="44">
        <v>70090</v>
      </c>
      <c r="D17" s="44">
        <v>14460</v>
      </c>
      <c r="E17" s="48">
        <v>0.86699999999999999</v>
      </c>
    </row>
    <row r="18" spans="1:5">
      <c r="A18" s="46" t="s">
        <v>525</v>
      </c>
      <c r="B18" s="44">
        <f t="shared" si="0"/>
        <v>90077</v>
      </c>
      <c r="C18" s="44">
        <v>76017</v>
      </c>
      <c r="D18" s="44">
        <v>14060</v>
      </c>
      <c r="E18" s="50">
        <v>0.82407520608602824</v>
      </c>
    </row>
    <row r="19" spans="1:5">
      <c r="A19" s="46" t="s">
        <v>526</v>
      </c>
      <c r="B19" s="44">
        <f t="shared" si="0"/>
        <v>90361</v>
      </c>
      <c r="C19" s="44">
        <v>76555</v>
      </c>
      <c r="D19" s="44">
        <v>13806</v>
      </c>
      <c r="E19" s="50">
        <v>0.77668207927163524</v>
      </c>
    </row>
    <row r="20" spans="1:5">
      <c r="A20" s="46" t="s">
        <v>527</v>
      </c>
      <c r="B20" s="44">
        <f t="shared" si="0"/>
        <v>80050</v>
      </c>
      <c r="C20" s="44">
        <v>64060</v>
      </c>
      <c r="D20" s="44">
        <v>15990</v>
      </c>
      <c r="E20" s="50">
        <v>0.77800000000000002</v>
      </c>
    </row>
    <row r="21" spans="1:5">
      <c r="A21" s="46" t="s">
        <v>528</v>
      </c>
      <c r="B21" s="44">
        <f t="shared" si="0"/>
        <v>81317</v>
      </c>
      <c r="C21" s="44">
        <v>57126</v>
      </c>
      <c r="D21" s="44">
        <v>24191</v>
      </c>
      <c r="E21" s="50">
        <v>0.76874533167871362</v>
      </c>
    </row>
    <row r="22" spans="1:5">
      <c r="A22" s="49"/>
      <c r="B22" s="44"/>
      <c r="C22" s="330"/>
      <c r="D22" s="330"/>
      <c r="E22" s="50"/>
    </row>
    <row r="23" spans="1:5">
      <c r="A23" s="204" t="s">
        <v>2</v>
      </c>
      <c r="B23" s="214">
        <f>SUM(B24:B37)</f>
        <v>993923</v>
      </c>
      <c r="C23" s="214">
        <f>SUM(C24:C37)</f>
        <v>807748</v>
      </c>
      <c r="D23" s="214">
        <f>SUM(D24:D37)</f>
        <v>186175</v>
      </c>
      <c r="E23" s="207">
        <v>0.74233249764087972</v>
      </c>
    </row>
    <row r="24" spans="1:5">
      <c r="A24" s="46" t="s">
        <v>517</v>
      </c>
      <c r="B24" s="44">
        <f>SUM(C24:D24)</f>
        <v>85195</v>
      </c>
      <c r="C24" s="44">
        <v>62307</v>
      </c>
      <c r="D24" s="44">
        <v>22888</v>
      </c>
      <c r="E24" s="52">
        <v>0.72347059025433913</v>
      </c>
    </row>
    <row r="25" spans="1:5">
      <c r="A25" s="46" t="s">
        <v>518</v>
      </c>
      <c r="B25" s="44">
        <f t="shared" ref="B25:B37" si="1">SUM(C25:D25)</f>
        <v>84029</v>
      </c>
      <c r="C25" s="44">
        <v>67410</v>
      </c>
      <c r="D25" s="44">
        <v>16619</v>
      </c>
      <c r="E25" s="52">
        <v>0.71744409306528123</v>
      </c>
    </row>
    <row r="26" spans="1:5">
      <c r="A26" s="46" t="s">
        <v>519</v>
      </c>
      <c r="B26" s="44">
        <f t="shared" si="1"/>
        <v>60060</v>
      </c>
      <c r="C26" s="44">
        <v>47427</v>
      </c>
      <c r="D26" s="44">
        <v>12633</v>
      </c>
      <c r="E26" s="52">
        <v>0.61255570102566215</v>
      </c>
    </row>
    <row r="27" spans="1:5">
      <c r="A27" s="46" t="s">
        <v>520</v>
      </c>
      <c r="B27" s="44">
        <f t="shared" si="1"/>
        <v>67942</v>
      </c>
      <c r="C27" s="44">
        <v>54087</v>
      </c>
      <c r="D27" s="44">
        <v>13855</v>
      </c>
      <c r="E27" s="52">
        <v>0.6862485656073628</v>
      </c>
    </row>
    <row r="28" spans="1:5">
      <c r="A28" s="46" t="s">
        <v>521</v>
      </c>
      <c r="B28" s="44">
        <f t="shared" si="1"/>
        <v>80144</v>
      </c>
      <c r="C28" s="44">
        <v>64383</v>
      </c>
      <c r="D28" s="44">
        <v>15761</v>
      </c>
      <c r="E28" s="52">
        <v>0.76762737881454879</v>
      </c>
    </row>
    <row r="29" spans="1:5">
      <c r="A29" s="46" t="s">
        <v>522</v>
      </c>
      <c r="B29" s="44">
        <f t="shared" si="1"/>
        <v>89245</v>
      </c>
      <c r="C29" s="44">
        <v>71847</v>
      </c>
      <c r="D29" s="44">
        <v>17398</v>
      </c>
      <c r="E29" s="52">
        <v>0.75691337238802525</v>
      </c>
    </row>
    <row r="30" spans="1:5">
      <c r="A30" s="49"/>
      <c r="B30" s="44"/>
      <c r="C30" s="44"/>
      <c r="D30" s="44"/>
      <c r="E30" s="52"/>
    </row>
    <row r="31" spans="1:5">
      <c r="A31" s="204">
        <v>2001</v>
      </c>
      <c r="B31" s="44"/>
      <c r="C31" s="44"/>
      <c r="D31" s="44"/>
      <c r="E31" s="36"/>
    </row>
    <row r="32" spans="1:5">
      <c r="A32" s="46" t="s">
        <v>523</v>
      </c>
      <c r="B32" s="44">
        <f t="shared" si="1"/>
        <v>88722</v>
      </c>
      <c r="C32" s="44">
        <v>73271</v>
      </c>
      <c r="D32" s="44">
        <v>15451</v>
      </c>
      <c r="E32" s="52">
        <v>0.7616611036749632</v>
      </c>
    </row>
    <row r="33" spans="1:5">
      <c r="A33" s="46" t="s">
        <v>524</v>
      </c>
      <c r="B33" s="44">
        <f t="shared" si="1"/>
        <v>84076</v>
      </c>
      <c r="C33" s="44">
        <v>73009</v>
      </c>
      <c r="D33" s="44">
        <v>11067</v>
      </c>
      <c r="E33" s="52">
        <v>0.82497428537992967</v>
      </c>
    </row>
    <row r="34" spans="1:5">
      <c r="A34" s="46" t="s">
        <v>525</v>
      </c>
      <c r="B34" s="44">
        <f t="shared" si="1"/>
        <v>97117</v>
      </c>
      <c r="C34" s="44">
        <v>85737</v>
      </c>
      <c r="D34" s="44">
        <v>11380</v>
      </c>
      <c r="E34" s="52">
        <v>0.81920607740661622</v>
      </c>
    </row>
    <row r="35" spans="1:5">
      <c r="A35" s="46" t="s">
        <v>526</v>
      </c>
      <c r="B35" s="44">
        <f t="shared" si="1"/>
        <v>93121</v>
      </c>
      <c r="C35" s="44">
        <v>79021</v>
      </c>
      <c r="D35" s="44">
        <v>14100</v>
      </c>
      <c r="E35" s="52">
        <v>0.79930147421430353</v>
      </c>
    </row>
    <row r="36" spans="1:5">
      <c r="A36" s="46" t="s">
        <v>527</v>
      </c>
      <c r="B36" s="44">
        <f t="shared" si="1"/>
        <v>79159</v>
      </c>
      <c r="C36" s="44">
        <v>66025</v>
      </c>
      <c r="D36" s="44">
        <v>13134</v>
      </c>
      <c r="E36" s="52">
        <v>0.722590007368202</v>
      </c>
    </row>
    <row r="37" spans="1:5">
      <c r="A37" s="46" t="s">
        <v>528</v>
      </c>
      <c r="B37" s="44">
        <f t="shared" si="1"/>
        <v>85113</v>
      </c>
      <c r="C37" s="44">
        <v>63224</v>
      </c>
      <c r="D37" s="44">
        <v>21889</v>
      </c>
      <c r="E37" s="52">
        <v>0.71693497890369429</v>
      </c>
    </row>
    <row r="38" spans="1:5">
      <c r="A38" s="46"/>
      <c r="B38" s="44"/>
      <c r="C38" s="44"/>
      <c r="D38" s="44"/>
      <c r="E38" s="50"/>
    </row>
    <row r="39" spans="1:5">
      <c r="A39" s="204" t="s">
        <v>3</v>
      </c>
      <c r="B39" s="214">
        <f>SUM(B40:B53)</f>
        <v>987323</v>
      </c>
      <c r="C39" s="214">
        <f>SUM(C40:C53)</f>
        <v>803207</v>
      </c>
      <c r="D39" s="214">
        <f>SUM(D40:D53)</f>
        <v>184116</v>
      </c>
      <c r="E39" s="208">
        <v>0.70299999999999996</v>
      </c>
    </row>
    <row r="40" spans="1:5">
      <c r="A40" s="46" t="s">
        <v>517</v>
      </c>
      <c r="B40" s="44">
        <f>SUM(C40:D40)</f>
        <v>90325</v>
      </c>
      <c r="C40" s="44">
        <v>69568</v>
      </c>
      <c r="D40" s="44">
        <v>20757</v>
      </c>
      <c r="E40" s="52">
        <v>0.72698264674984692</v>
      </c>
    </row>
    <row r="41" spans="1:5">
      <c r="A41" s="46" t="s">
        <v>518</v>
      </c>
      <c r="B41" s="44">
        <f t="shared" ref="B41:B53" si="2">SUM(C41:D41)</f>
        <v>82621</v>
      </c>
      <c r="C41" s="44">
        <v>67604</v>
      </c>
      <c r="D41" s="44">
        <v>15017</v>
      </c>
      <c r="E41" s="52">
        <v>0.69976585781183487</v>
      </c>
    </row>
    <row r="42" spans="1:5">
      <c r="A42" s="46" t="s">
        <v>519</v>
      </c>
      <c r="B42" s="44">
        <f t="shared" si="2"/>
        <v>52614</v>
      </c>
      <c r="C42" s="44">
        <v>41342</v>
      </c>
      <c r="D42" s="44">
        <v>11272</v>
      </c>
      <c r="E42" s="52">
        <v>0.49613925256853764</v>
      </c>
    </row>
    <row r="43" spans="1:5">
      <c r="A43" s="46" t="s">
        <v>520</v>
      </c>
      <c r="B43" s="44">
        <f t="shared" si="2"/>
        <v>62354</v>
      </c>
      <c r="C43" s="44">
        <v>50193</v>
      </c>
      <c r="D43" s="44">
        <v>12161</v>
      </c>
      <c r="E43" s="52">
        <v>0.58094132120703434</v>
      </c>
    </row>
    <row r="44" spans="1:5">
      <c r="A44" s="46" t="s">
        <v>521</v>
      </c>
      <c r="B44" s="44">
        <f t="shared" si="2"/>
        <v>80245</v>
      </c>
      <c r="C44" s="44">
        <v>65778</v>
      </c>
      <c r="D44" s="44">
        <v>14467</v>
      </c>
      <c r="E44" s="52">
        <v>0.68038243258066933</v>
      </c>
    </row>
    <row r="45" spans="1:5">
      <c r="A45" s="46" t="s">
        <v>522</v>
      </c>
      <c r="B45" s="44">
        <f t="shared" si="2"/>
        <v>88331</v>
      </c>
      <c r="C45" s="44">
        <v>72087</v>
      </c>
      <c r="D45" s="44">
        <v>16244</v>
      </c>
      <c r="E45" s="52">
        <v>0.67672392138036519</v>
      </c>
    </row>
    <row r="46" spans="1:5">
      <c r="A46" s="49"/>
      <c r="B46" s="44"/>
      <c r="C46" s="44"/>
      <c r="D46" s="44"/>
      <c r="E46" s="52"/>
    </row>
    <row r="47" spans="1:5">
      <c r="A47" s="204">
        <v>2002</v>
      </c>
      <c r="B47" s="44"/>
      <c r="C47" s="44"/>
      <c r="D47" s="44"/>
      <c r="E47" s="52"/>
    </row>
    <row r="48" spans="1:5">
      <c r="A48" s="46" t="s">
        <v>523</v>
      </c>
      <c r="B48" s="44">
        <f t="shared" si="2"/>
        <v>82654</v>
      </c>
      <c r="C48" s="44">
        <v>68993</v>
      </c>
      <c r="D48" s="44">
        <v>13661</v>
      </c>
      <c r="E48" s="52">
        <v>0.71345101174733994</v>
      </c>
    </row>
    <row r="49" spans="1:5">
      <c r="A49" s="46" t="s">
        <v>524</v>
      </c>
      <c r="B49" s="44">
        <f t="shared" si="2"/>
        <v>82937</v>
      </c>
      <c r="C49" s="44">
        <v>69930</v>
      </c>
      <c r="D49" s="44">
        <v>13007</v>
      </c>
      <c r="E49" s="52">
        <v>0.77069718118819208</v>
      </c>
    </row>
    <row r="50" spans="1:5">
      <c r="A50" s="46" t="s">
        <v>525</v>
      </c>
      <c r="B50" s="44">
        <f t="shared" si="2"/>
        <v>101027</v>
      </c>
      <c r="C50" s="44">
        <v>84388</v>
      </c>
      <c r="D50" s="44">
        <v>16639</v>
      </c>
      <c r="E50" s="52">
        <v>0.80638044759197303</v>
      </c>
    </row>
    <row r="51" spans="1:5">
      <c r="A51" s="46" t="s">
        <v>526</v>
      </c>
      <c r="B51" s="44">
        <f t="shared" si="2"/>
        <v>93988</v>
      </c>
      <c r="C51" s="44">
        <v>79068</v>
      </c>
      <c r="D51" s="44">
        <v>14920</v>
      </c>
      <c r="E51" s="52">
        <v>0.77743599178947009</v>
      </c>
    </row>
    <row r="52" spans="1:5">
      <c r="A52" s="46" t="s">
        <v>527</v>
      </c>
      <c r="B52" s="44">
        <f t="shared" si="2"/>
        <v>82191</v>
      </c>
      <c r="C52" s="44">
        <v>66377</v>
      </c>
      <c r="D52" s="44">
        <v>15814</v>
      </c>
      <c r="E52" s="52">
        <v>0.73533712066252221</v>
      </c>
    </row>
    <row r="53" spans="1:5">
      <c r="A53" s="46" t="s">
        <v>528</v>
      </c>
      <c r="B53" s="44">
        <f t="shared" si="2"/>
        <v>88036</v>
      </c>
      <c r="C53" s="44">
        <v>67879</v>
      </c>
      <c r="D53" s="44">
        <v>20157</v>
      </c>
      <c r="E53" s="52">
        <v>0.76786943384780504</v>
      </c>
    </row>
    <row r="54" spans="1:5">
      <c r="A54" s="49"/>
      <c r="B54" s="53"/>
      <c r="C54" s="54"/>
      <c r="D54" s="54"/>
      <c r="E54" s="52"/>
    </row>
    <row r="55" spans="1:5">
      <c r="A55" s="204" t="s">
        <v>4</v>
      </c>
      <c r="B55" s="214">
        <f>SUM(B56:B69)</f>
        <v>1068664</v>
      </c>
      <c r="C55" s="214">
        <f>SUM(C56:C69)</f>
        <v>875211</v>
      </c>
      <c r="D55" s="214">
        <f>SUM(D56:D69)</f>
        <v>193453</v>
      </c>
      <c r="E55" s="207">
        <v>0.75085094015580234</v>
      </c>
    </row>
    <row r="56" spans="1:5">
      <c r="A56" s="46" t="s">
        <v>517</v>
      </c>
      <c r="B56" s="44">
        <f>SUM(C56:D56)</f>
        <v>97865</v>
      </c>
      <c r="C56" s="44">
        <v>72689</v>
      </c>
      <c r="D56" s="44">
        <v>25176</v>
      </c>
      <c r="E56" s="52">
        <f>136503/177626</f>
        <v>0.76848546946955965</v>
      </c>
    </row>
    <row r="57" spans="1:5">
      <c r="A57" s="46" t="s">
        <v>518</v>
      </c>
      <c r="B57" s="44">
        <f t="shared" ref="B57:B69" si="3">SUM(C57:D57)</f>
        <v>90460</v>
      </c>
      <c r="C57" s="44">
        <v>73316</v>
      </c>
      <c r="D57" s="44">
        <v>17144</v>
      </c>
      <c r="E57" s="52">
        <f>138279/179142</f>
        <v>0.77189603778008509</v>
      </c>
    </row>
    <row r="58" spans="1:5">
      <c r="A58" s="46" t="s">
        <v>519</v>
      </c>
      <c r="B58" s="44">
        <f t="shared" si="3"/>
        <v>67797</v>
      </c>
      <c r="C58" s="44">
        <v>53279</v>
      </c>
      <c r="D58" s="44">
        <v>14518</v>
      </c>
      <c r="E58" s="52">
        <f>106895/173247</f>
        <v>0.61700924114126077</v>
      </c>
    </row>
    <row r="59" spans="1:5">
      <c r="A59" s="46" t="s">
        <v>520</v>
      </c>
      <c r="B59" s="44">
        <f t="shared" si="3"/>
        <v>70407</v>
      </c>
      <c r="C59" s="44">
        <v>57836</v>
      </c>
      <c r="D59" s="44">
        <v>12571</v>
      </c>
      <c r="E59" s="52">
        <f>117142/176972</f>
        <v>0.66192392016816215</v>
      </c>
    </row>
    <row r="60" spans="1:5">
      <c r="A60" s="46" t="s">
        <v>521</v>
      </c>
      <c r="B60" s="44">
        <f t="shared" si="3"/>
        <v>86155</v>
      </c>
      <c r="C60" s="44">
        <v>71116</v>
      </c>
      <c r="D60" s="44">
        <v>15039</v>
      </c>
      <c r="E60" s="52">
        <f>128472/171563</f>
        <v>0.74883279028694993</v>
      </c>
    </row>
    <row r="61" spans="1:5">
      <c r="A61" s="46" t="s">
        <v>522</v>
      </c>
      <c r="B61" s="44">
        <f t="shared" si="3"/>
        <v>89335</v>
      </c>
      <c r="C61" s="44">
        <v>75285</v>
      </c>
      <c r="D61" s="44">
        <v>14050</v>
      </c>
      <c r="E61" s="52">
        <f>131530/177719</f>
        <v>0.74010094587523001</v>
      </c>
    </row>
    <row r="62" spans="1:5">
      <c r="A62" s="46"/>
      <c r="B62" s="44"/>
      <c r="C62" s="44"/>
      <c r="D62" s="44"/>
      <c r="E62" s="52"/>
    </row>
    <row r="63" spans="1:5">
      <c r="A63" s="204">
        <v>2003</v>
      </c>
      <c r="B63" s="44"/>
      <c r="C63" s="44"/>
      <c r="D63" s="44"/>
      <c r="E63" s="52"/>
    </row>
    <row r="64" spans="1:5">
      <c r="A64" s="46" t="s">
        <v>523</v>
      </c>
      <c r="B64" s="44">
        <f t="shared" si="3"/>
        <v>91767</v>
      </c>
      <c r="C64" s="44">
        <v>77502</v>
      </c>
      <c r="D64" s="44">
        <v>14265</v>
      </c>
      <c r="E64" s="52">
        <f>136066/178749</f>
        <v>0.76121265014070005</v>
      </c>
    </row>
    <row r="65" spans="1:5">
      <c r="A65" s="46" t="s">
        <v>524</v>
      </c>
      <c r="B65" s="44">
        <f t="shared" si="3"/>
        <v>91225</v>
      </c>
      <c r="C65" s="44">
        <v>76447</v>
      </c>
      <c r="D65" s="44">
        <v>14778</v>
      </c>
      <c r="E65" s="52">
        <f>138612/160269</f>
        <v>0.8648709357392883</v>
      </c>
    </row>
    <row r="66" spans="1:5">
      <c r="A66" s="46" t="s">
        <v>525</v>
      </c>
      <c r="B66" s="44">
        <f t="shared" si="3"/>
        <v>106211</v>
      </c>
      <c r="C66" s="44">
        <v>91957</v>
      </c>
      <c r="D66" s="44">
        <v>14254</v>
      </c>
      <c r="E66" s="52">
        <f>150104/185500</f>
        <v>0.80918598382749329</v>
      </c>
    </row>
    <row r="67" spans="1:5">
      <c r="A67" s="46" t="s">
        <v>526</v>
      </c>
      <c r="B67" s="44">
        <f t="shared" si="3"/>
        <v>98318</v>
      </c>
      <c r="C67" s="44">
        <v>83580</v>
      </c>
      <c r="D67" s="44">
        <v>14738</v>
      </c>
      <c r="E67" s="52">
        <f>139208/179199</f>
        <v>0.77683469215788037</v>
      </c>
    </row>
    <row r="68" spans="1:5">
      <c r="A68" s="46" t="s">
        <v>527</v>
      </c>
      <c r="B68" s="44">
        <f t="shared" si="3"/>
        <v>84185</v>
      </c>
      <c r="C68" s="44">
        <v>67661</v>
      </c>
      <c r="D68" s="44">
        <v>16524</v>
      </c>
      <c r="E68" s="52">
        <f>133330/184438</f>
        <v>0.72289875188410202</v>
      </c>
    </row>
    <row r="69" spans="1:5">
      <c r="A69" s="46" t="s">
        <v>528</v>
      </c>
      <c r="B69" s="44">
        <f t="shared" si="3"/>
        <v>94939</v>
      </c>
      <c r="C69" s="44">
        <v>74543</v>
      </c>
      <c r="D69" s="44">
        <v>20396</v>
      </c>
      <c r="E69" s="52">
        <f>137875/178522</f>
        <v>0.77231377645332233</v>
      </c>
    </row>
    <row r="70" spans="1:5">
      <c r="A70" s="46"/>
      <c r="B70" s="36"/>
      <c r="C70" s="36"/>
      <c r="D70" s="36"/>
      <c r="E70" s="50"/>
    </row>
    <row r="71" spans="1:5">
      <c r="A71" s="204" t="s">
        <v>362</v>
      </c>
      <c r="B71" s="214">
        <f>SUM(B72:B85)</f>
        <v>1163793</v>
      </c>
      <c r="C71" s="214">
        <f>SUM(C72:C85)</f>
        <v>960146</v>
      </c>
      <c r="D71" s="214">
        <f>SUM(D72:D85)</f>
        <v>203647</v>
      </c>
      <c r="E71" s="207">
        <v>0.8023738296201316</v>
      </c>
    </row>
    <row r="72" spans="1:5">
      <c r="A72" s="46" t="s">
        <v>517</v>
      </c>
      <c r="B72" s="44">
        <f>SUM(C72:D72)</f>
        <v>110807</v>
      </c>
      <c r="C72" s="44">
        <v>81984</v>
      </c>
      <c r="D72" s="44">
        <v>28823</v>
      </c>
      <c r="E72" s="52">
        <f>160547/184783</f>
        <v>0.86884074833723879</v>
      </c>
    </row>
    <row r="73" spans="1:5">
      <c r="A73" s="46" t="s">
        <v>518</v>
      </c>
      <c r="B73" s="44">
        <f t="shared" ref="B73:B85" si="4">SUM(C73:D73)</f>
        <v>101214</v>
      </c>
      <c r="C73" s="44">
        <v>81438</v>
      </c>
      <c r="D73" s="44">
        <v>19776</v>
      </c>
      <c r="E73" s="52">
        <f>155959/185754</f>
        <v>0.83959968560569354</v>
      </c>
    </row>
    <row r="74" spans="1:5">
      <c r="A74" s="46" t="s">
        <v>519</v>
      </c>
      <c r="B74" s="44">
        <f t="shared" si="4"/>
        <v>68932</v>
      </c>
      <c r="C74" s="44">
        <v>54357</v>
      </c>
      <c r="D74" s="44">
        <v>14575</v>
      </c>
      <c r="E74" s="52">
        <f>109960/177604</f>
        <v>0.61913019977027539</v>
      </c>
    </row>
    <row r="75" spans="1:5">
      <c r="A75" s="46" t="s">
        <v>520</v>
      </c>
      <c r="B75" s="44">
        <f t="shared" si="4"/>
        <v>79182</v>
      </c>
      <c r="C75" s="44">
        <v>62531</v>
      </c>
      <c r="D75" s="44">
        <v>16651</v>
      </c>
      <c r="E75" s="52">
        <f>126885/182364</f>
        <v>0.69577877212607753</v>
      </c>
    </row>
    <row r="76" spans="1:5">
      <c r="A76" s="46" t="s">
        <v>521</v>
      </c>
      <c r="B76" s="44">
        <f t="shared" si="4"/>
        <v>91767</v>
      </c>
      <c r="C76" s="44">
        <v>75568</v>
      </c>
      <c r="D76" s="44">
        <v>16199</v>
      </c>
      <c r="E76" s="52">
        <f>135457/177942</f>
        <v>0.76124242730777447</v>
      </c>
    </row>
    <row r="77" spans="1:5">
      <c r="A77" s="46" t="s">
        <v>522</v>
      </c>
      <c r="B77" s="44">
        <f t="shared" si="4"/>
        <v>96635</v>
      </c>
      <c r="C77" s="44">
        <v>81089</v>
      </c>
      <c r="D77" s="44">
        <v>15546</v>
      </c>
      <c r="E77" s="52">
        <f>145314/185901</f>
        <v>0.78167411686865584</v>
      </c>
    </row>
    <row r="78" spans="1:5">
      <c r="A78" s="49"/>
      <c r="B78" s="44"/>
      <c r="C78" s="44"/>
      <c r="D78" s="44"/>
      <c r="E78" s="52"/>
    </row>
    <row r="79" spans="1:5">
      <c r="A79" s="204">
        <v>2004</v>
      </c>
      <c r="B79" s="44"/>
      <c r="C79" s="44"/>
      <c r="D79" s="44"/>
      <c r="E79" s="52"/>
    </row>
    <row r="80" spans="1:5">
      <c r="A80" s="46" t="s">
        <v>523</v>
      </c>
      <c r="B80" s="44">
        <f t="shared" si="4"/>
        <v>101416</v>
      </c>
      <c r="C80" s="44">
        <v>87675</v>
      </c>
      <c r="D80" s="44">
        <v>13741</v>
      </c>
      <c r="E80" s="52">
        <f>151943/187335</f>
        <v>0.81107641391090823</v>
      </c>
    </row>
    <row r="81" spans="1:5">
      <c r="A81" s="46" t="s">
        <v>524</v>
      </c>
      <c r="B81" s="44">
        <f t="shared" si="4"/>
        <v>98563</v>
      </c>
      <c r="C81" s="44">
        <v>86230</v>
      </c>
      <c r="D81" s="44">
        <v>12333</v>
      </c>
      <c r="E81" s="52">
        <f>153480/174906</f>
        <v>0.87749991423964868</v>
      </c>
    </row>
    <row r="82" spans="1:5">
      <c r="A82" s="46" t="s">
        <v>525</v>
      </c>
      <c r="B82" s="44">
        <f t="shared" si="4"/>
        <v>114564</v>
      </c>
      <c r="C82" s="44">
        <v>101494</v>
      </c>
      <c r="D82" s="44">
        <v>13070</v>
      </c>
      <c r="E82" s="52">
        <f>163989/188097</f>
        <v>0.87183208663615053</v>
      </c>
    </row>
    <row r="83" spans="1:5">
      <c r="A83" s="46" t="s">
        <v>526</v>
      </c>
      <c r="B83" s="44">
        <f t="shared" si="4"/>
        <v>109215</v>
      </c>
      <c r="C83" s="44">
        <v>94497</v>
      </c>
      <c r="D83" s="44">
        <v>14718</v>
      </c>
      <c r="E83" s="52">
        <f>156296/181804</f>
        <v>0.85969505621438469</v>
      </c>
    </row>
    <row r="84" spans="1:5">
      <c r="A84" s="46" t="s">
        <v>527</v>
      </c>
      <c r="B84" s="44">
        <f t="shared" si="4"/>
        <v>90929</v>
      </c>
      <c r="C84" s="44">
        <v>74364</v>
      </c>
      <c r="D84" s="44">
        <v>16565</v>
      </c>
      <c r="E84" s="52">
        <f>145587/186589</f>
        <v>0.78025499895492234</v>
      </c>
    </row>
    <row r="85" spans="1:5">
      <c r="A85" s="46" t="s">
        <v>528</v>
      </c>
      <c r="B85" s="44">
        <f t="shared" si="4"/>
        <v>100569</v>
      </c>
      <c r="C85" s="44">
        <v>78919</v>
      </c>
      <c r="D85" s="44">
        <v>21650</v>
      </c>
      <c r="E85" s="52">
        <f>154862/180760</f>
        <v>0.85672715202478422</v>
      </c>
    </row>
    <row r="86" spans="1:5">
      <c r="A86" s="46"/>
      <c r="B86" s="36"/>
      <c r="C86" s="36"/>
      <c r="D86" s="54"/>
      <c r="E86" s="52"/>
    </row>
    <row r="87" spans="1:5">
      <c r="A87" s="204" t="s">
        <v>363</v>
      </c>
      <c r="B87" s="214">
        <f>SUM(B88:B101)</f>
        <v>1164990</v>
      </c>
      <c r="C87" s="214">
        <f>SUM(C88:C101)</f>
        <v>967245</v>
      </c>
      <c r="D87" s="214">
        <f>SUM(D88:D101)</f>
        <v>197745</v>
      </c>
      <c r="E87" s="207">
        <v>0.78754969438490185</v>
      </c>
    </row>
    <row r="88" spans="1:5">
      <c r="A88" s="46" t="s">
        <v>517</v>
      </c>
      <c r="B88" s="44">
        <f>SUM(C88:D88)</f>
        <v>116483</v>
      </c>
      <c r="C88" s="44">
        <v>87516</v>
      </c>
      <c r="D88" s="44">
        <v>28967</v>
      </c>
      <c r="E88" s="52">
        <f>162832/186602</f>
        <v>0.87261658503124295</v>
      </c>
    </row>
    <row r="89" spans="1:5">
      <c r="A89" s="46" t="s">
        <v>518</v>
      </c>
      <c r="B89" s="44">
        <f t="shared" ref="B89:B101" si="5">SUM(C89:D89)</f>
        <v>99301</v>
      </c>
      <c r="C89" s="44">
        <v>80376</v>
      </c>
      <c r="D89" s="44">
        <v>18925</v>
      </c>
      <c r="E89" s="52">
        <f>149696/183479</f>
        <v>0.81587538628398892</v>
      </c>
    </row>
    <row r="90" spans="1:5">
      <c r="A90" s="46" t="s">
        <v>519</v>
      </c>
      <c r="B90" s="44">
        <f t="shared" si="5"/>
        <v>70892</v>
      </c>
      <c r="C90" s="44">
        <v>54257</v>
      </c>
      <c r="D90" s="44">
        <v>16635</v>
      </c>
      <c r="E90" s="52">
        <f>107771/166419</f>
        <v>0.64758831623792956</v>
      </c>
    </row>
    <row r="91" spans="1:5">
      <c r="A91" s="46" t="s">
        <v>520</v>
      </c>
      <c r="B91" s="44">
        <f t="shared" si="5"/>
        <v>80338</v>
      </c>
      <c r="C91" s="44">
        <v>63445</v>
      </c>
      <c r="D91" s="44">
        <v>16893</v>
      </c>
      <c r="E91" s="52">
        <f>128796/179811</f>
        <v>0.71628543303802328</v>
      </c>
    </row>
    <row r="92" spans="1:5">
      <c r="A92" s="46" t="s">
        <v>521</v>
      </c>
      <c r="B92" s="44">
        <f t="shared" si="5"/>
        <v>91069</v>
      </c>
      <c r="C92" s="44">
        <v>73384</v>
      </c>
      <c r="D92" s="44">
        <v>17685</v>
      </c>
      <c r="E92" s="52">
        <f>138688/180471</f>
        <v>0.7684780380227294</v>
      </c>
    </row>
    <row r="93" spans="1:5">
      <c r="A93" s="46" t="s">
        <v>522</v>
      </c>
      <c r="B93" s="44">
        <f t="shared" si="5"/>
        <v>96627</v>
      </c>
      <c r="C93" s="44">
        <v>81378</v>
      </c>
      <c r="D93" s="44">
        <v>15249</v>
      </c>
      <c r="E93" s="52">
        <f>142989/187358</f>
        <v>0.76318598618687217</v>
      </c>
    </row>
    <row r="94" spans="1:5">
      <c r="A94" s="49"/>
      <c r="B94" s="44"/>
      <c r="C94" s="44"/>
      <c r="D94" s="44"/>
      <c r="E94" s="52"/>
    </row>
    <row r="95" spans="1:5">
      <c r="A95" s="204">
        <v>2005</v>
      </c>
      <c r="B95" s="44"/>
      <c r="C95" s="44"/>
      <c r="D95" s="44"/>
      <c r="E95" s="52"/>
    </row>
    <row r="96" spans="1:5">
      <c r="A96" s="46" t="s">
        <v>523</v>
      </c>
      <c r="B96" s="44">
        <f t="shared" si="5"/>
        <v>97349</v>
      </c>
      <c r="C96" s="44">
        <v>84985</v>
      </c>
      <c r="D96" s="44">
        <v>12364</v>
      </c>
      <c r="E96" s="52">
        <f>144181/188328</f>
        <v>0.76558451212777712</v>
      </c>
    </row>
    <row r="97" spans="1:5">
      <c r="A97" s="46" t="s">
        <v>524</v>
      </c>
      <c r="B97" s="44">
        <f t="shared" si="5"/>
        <v>97921</v>
      </c>
      <c r="C97" s="44">
        <v>86942</v>
      </c>
      <c r="D97" s="44">
        <v>10979</v>
      </c>
      <c r="E97" s="52">
        <f>149302/176303</f>
        <v>0.8468488908299916</v>
      </c>
    </row>
    <row r="98" spans="1:5">
      <c r="A98" s="46" t="s">
        <v>525</v>
      </c>
      <c r="B98" s="44">
        <f t="shared" si="5"/>
        <v>117578</v>
      </c>
      <c r="C98" s="44">
        <v>103956</v>
      </c>
      <c r="D98" s="44">
        <v>13622</v>
      </c>
      <c r="E98" s="52">
        <f>170656/195479</f>
        <v>0.87301449260534381</v>
      </c>
    </row>
    <row r="99" spans="1:5">
      <c r="A99" s="46" t="s">
        <v>526</v>
      </c>
      <c r="B99" s="44">
        <f t="shared" si="5"/>
        <v>105604</v>
      </c>
      <c r="C99" s="44">
        <v>92127</v>
      </c>
      <c r="D99" s="44">
        <v>13477</v>
      </c>
      <c r="E99" s="52">
        <f>153721/188652</f>
        <v>0.81483896274622059</v>
      </c>
    </row>
    <row r="100" spans="1:5">
      <c r="A100" s="46" t="s">
        <v>527</v>
      </c>
      <c r="B100" s="44">
        <f t="shared" si="5"/>
        <v>92482</v>
      </c>
      <c r="C100" s="44">
        <v>78401</v>
      </c>
      <c r="D100" s="44">
        <v>14081</v>
      </c>
      <c r="E100" s="52">
        <f>143369/191893</f>
        <v>0.74712991093995096</v>
      </c>
    </row>
    <row r="101" spans="1:5">
      <c r="A101" s="46" t="s">
        <v>528</v>
      </c>
      <c r="B101" s="44">
        <f t="shared" si="5"/>
        <v>99346</v>
      </c>
      <c r="C101" s="44">
        <v>80478</v>
      </c>
      <c r="D101" s="44">
        <v>18868</v>
      </c>
      <c r="E101" s="52">
        <f>149877/186974</f>
        <v>0.80159273481874482</v>
      </c>
    </row>
    <row r="102" spans="1:5">
      <c r="A102" s="46"/>
      <c r="B102" s="36"/>
      <c r="C102" s="36"/>
      <c r="D102" s="36"/>
      <c r="E102" s="50"/>
    </row>
    <row r="103" spans="1:5">
      <c r="A103" s="204" t="s">
        <v>7</v>
      </c>
      <c r="B103" s="214">
        <f>SUM(B104:B117)</f>
        <v>1207984</v>
      </c>
      <c r="C103" s="214">
        <f>SUM(C104:C117)</f>
        <v>1009048</v>
      </c>
      <c r="D103" s="214">
        <f>SUM(D104:D117)</f>
        <v>198936</v>
      </c>
      <c r="E103" s="207">
        <v>0.78502492100064414</v>
      </c>
    </row>
    <row r="104" spans="1:5">
      <c r="A104" s="46" t="s">
        <v>517</v>
      </c>
      <c r="B104" s="44">
        <f>SUM(C104:D104)</f>
        <v>117149</v>
      </c>
      <c r="C104" s="44">
        <v>89278</v>
      </c>
      <c r="D104" s="44">
        <v>27871</v>
      </c>
      <c r="E104" s="52">
        <f>163749/196181</f>
        <v>0.83468327717770829</v>
      </c>
    </row>
    <row r="105" spans="1:5">
      <c r="A105" s="46" t="s">
        <v>518</v>
      </c>
      <c r="B105" s="44">
        <f t="shared" ref="B105:B117" si="6">SUM(C105:D105)</f>
        <v>101534</v>
      </c>
      <c r="C105" s="44">
        <v>85298</v>
      </c>
      <c r="D105" s="44">
        <v>16236</v>
      </c>
      <c r="E105" s="52">
        <f>153941/195493</f>
        <v>0.7874501900323797</v>
      </c>
    </row>
    <row r="106" spans="1:5">
      <c r="A106" s="46" t="s">
        <v>519</v>
      </c>
      <c r="B106" s="44">
        <f t="shared" si="6"/>
        <v>71427</v>
      </c>
      <c r="C106" s="44">
        <v>56273</v>
      </c>
      <c r="D106" s="44">
        <v>15154</v>
      </c>
      <c r="E106" s="52">
        <f>114435/179548</f>
        <v>0.63735045781629429</v>
      </c>
    </row>
    <row r="107" spans="1:5">
      <c r="A107" s="46" t="s">
        <v>520</v>
      </c>
      <c r="B107" s="44">
        <f t="shared" si="6"/>
        <v>80222</v>
      </c>
      <c r="C107" s="44">
        <v>64287</v>
      </c>
      <c r="D107" s="44">
        <v>15935</v>
      </c>
      <c r="E107" s="52">
        <f>128841/186008</f>
        <v>0.69266375639757427</v>
      </c>
    </row>
    <row r="108" spans="1:5">
      <c r="A108" s="46" t="s">
        <v>521</v>
      </c>
      <c r="B108" s="44">
        <f t="shared" si="6"/>
        <v>96954</v>
      </c>
      <c r="C108" s="44">
        <v>80553</v>
      </c>
      <c r="D108" s="44">
        <v>16401</v>
      </c>
      <c r="E108" s="52">
        <f>143134/187498</f>
        <v>0.76338947615441233</v>
      </c>
    </row>
    <row r="109" spans="1:5">
      <c r="A109" s="46" t="s">
        <v>522</v>
      </c>
      <c r="B109" s="44">
        <f t="shared" si="6"/>
        <v>102748</v>
      </c>
      <c r="C109" s="44">
        <v>86319</v>
      </c>
      <c r="D109" s="44">
        <v>16429</v>
      </c>
      <c r="E109" s="52">
        <f>150922/197476</f>
        <v>0.76425489679758551</v>
      </c>
    </row>
    <row r="110" spans="1:5">
      <c r="A110" s="49"/>
      <c r="B110" s="44"/>
      <c r="C110" s="44"/>
      <c r="D110" s="44"/>
      <c r="E110" s="52"/>
    </row>
    <row r="111" spans="1:5">
      <c r="A111" s="204">
        <v>2006</v>
      </c>
      <c r="B111" s="44"/>
      <c r="C111" s="44"/>
      <c r="D111" s="44"/>
      <c r="E111" s="52"/>
    </row>
    <row r="112" spans="1:5">
      <c r="A112" s="46" t="s">
        <v>523</v>
      </c>
      <c r="B112" s="44">
        <f t="shared" si="6"/>
        <v>107004</v>
      </c>
      <c r="C112" s="44">
        <v>92453</v>
      </c>
      <c r="D112" s="44">
        <v>14551</v>
      </c>
      <c r="E112" s="52">
        <f>155988/199776</f>
        <v>0.78081451225372422</v>
      </c>
    </row>
    <row r="113" spans="1:5">
      <c r="A113" s="46" t="s">
        <v>524</v>
      </c>
      <c r="B113" s="44">
        <f t="shared" si="6"/>
        <v>105031</v>
      </c>
      <c r="C113" s="44">
        <v>92987</v>
      </c>
      <c r="D113" s="44">
        <v>12044</v>
      </c>
      <c r="E113" s="52">
        <f>160348/182187</f>
        <v>0.88012865901518766</v>
      </c>
    </row>
    <row r="114" spans="1:5">
      <c r="A114" s="46" t="s">
        <v>525</v>
      </c>
      <c r="B114" s="44">
        <f t="shared" si="6"/>
        <v>120974</v>
      </c>
      <c r="C114" s="44">
        <v>107599</v>
      </c>
      <c r="D114" s="44">
        <v>13375</v>
      </c>
      <c r="E114" s="52">
        <f>180215/202519</f>
        <v>0.88986712357852848</v>
      </c>
    </row>
    <row r="115" spans="1:5">
      <c r="A115" s="46" t="s">
        <v>526</v>
      </c>
      <c r="B115" s="44">
        <f t="shared" si="6"/>
        <v>108983</v>
      </c>
      <c r="C115" s="44">
        <v>93766</v>
      </c>
      <c r="D115" s="44">
        <v>15217</v>
      </c>
      <c r="E115" s="52">
        <f>160751/195021</f>
        <v>0.82427533445116163</v>
      </c>
    </row>
    <row r="116" spans="1:5">
      <c r="A116" s="46" t="s">
        <v>527</v>
      </c>
      <c r="B116" s="44">
        <f t="shared" si="6"/>
        <v>96333</v>
      </c>
      <c r="C116" s="44">
        <v>80891</v>
      </c>
      <c r="D116" s="44">
        <v>15442</v>
      </c>
      <c r="E116" s="52">
        <f>151627/199244</f>
        <v>0.76101162393848754</v>
      </c>
    </row>
    <row r="117" spans="1:5">
      <c r="A117" s="46" t="s">
        <v>528</v>
      </c>
      <c r="B117" s="44">
        <f t="shared" si="6"/>
        <v>99625</v>
      </c>
      <c r="C117" s="44">
        <v>79344</v>
      </c>
      <c r="D117" s="44">
        <v>20281</v>
      </c>
      <c r="E117" s="52">
        <f>152055/192359</f>
        <v>0.79047510124298836</v>
      </c>
    </row>
    <row r="118" spans="1:5">
      <c r="A118" s="46"/>
      <c r="B118" s="36"/>
      <c r="C118" s="36"/>
      <c r="D118" s="36"/>
      <c r="E118" s="50"/>
    </row>
    <row r="119" spans="1:5">
      <c r="A119" s="204" t="s">
        <v>8</v>
      </c>
      <c r="B119" s="214">
        <f>SUM(B120:B133)</f>
        <v>1129285</v>
      </c>
      <c r="C119" s="214">
        <f>SUM(C120:C133)</f>
        <v>944228</v>
      </c>
      <c r="D119" s="214">
        <f>SUM(D120:D133)</f>
        <v>185057</v>
      </c>
      <c r="E119" s="207">
        <v>0.78512543210129304</v>
      </c>
    </row>
    <row r="120" spans="1:5">
      <c r="A120" s="46" t="s">
        <v>517</v>
      </c>
      <c r="B120" s="135">
        <v>105318</v>
      </c>
      <c r="C120" s="135">
        <v>82672</v>
      </c>
      <c r="D120" s="135">
        <v>22646</v>
      </c>
      <c r="E120" s="136">
        <v>0.81838221457566063</v>
      </c>
    </row>
    <row r="121" spans="1:5">
      <c r="A121" s="46" t="s">
        <v>518</v>
      </c>
      <c r="B121" s="135">
        <v>90845</v>
      </c>
      <c r="C121" s="135">
        <v>76053</v>
      </c>
      <c r="D121" s="135">
        <v>14792</v>
      </c>
      <c r="E121" s="136">
        <v>0.78221420628378269</v>
      </c>
    </row>
    <row r="122" spans="1:5">
      <c r="A122" s="46" t="s">
        <v>519</v>
      </c>
      <c r="B122" s="135">
        <v>66077</v>
      </c>
      <c r="C122" s="135">
        <v>52713</v>
      </c>
      <c r="D122" s="135">
        <v>13364</v>
      </c>
      <c r="E122" s="136">
        <v>0.66057534578830801</v>
      </c>
    </row>
    <row r="123" spans="1:5">
      <c r="A123" s="46" t="s">
        <v>520</v>
      </c>
      <c r="B123" s="135">
        <v>69530</v>
      </c>
      <c r="C123" s="135">
        <v>56891</v>
      </c>
      <c r="D123" s="135">
        <v>12639</v>
      </c>
      <c r="E123" s="136">
        <v>0.69098923539556345</v>
      </c>
    </row>
    <row r="124" spans="1:5">
      <c r="A124" s="46" t="s">
        <v>521</v>
      </c>
      <c r="B124" s="135">
        <v>88619</v>
      </c>
      <c r="C124" s="135">
        <v>73496</v>
      </c>
      <c r="D124" s="135">
        <v>15123</v>
      </c>
      <c r="E124" s="136">
        <v>0.77600192128726242</v>
      </c>
    </row>
    <row r="125" spans="1:5">
      <c r="A125" s="46" t="s">
        <v>522</v>
      </c>
      <c r="B125" s="135">
        <v>96794</v>
      </c>
      <c r="C125" s="135">
        <v>80913</v>
      </c>
      <c r="D125" s="135">
        <v>15881</v>
      </c>
      <c r="E125" s="136">
        <v>0.75347224155111081</v>
      </c>
    </row>
    <row r="126" spans="1:5">
      <c r="A126" s="49"/>
      <c r="B126" s="44"/>
      <c r="C126" s="44"/>
      <c r="D126" s="44"/>
      <c r="E126" s="52"/>
    </row>
    <row r="127" spans="1:5">
      <c r="A127" s="204">
        <v>2007</v>
      </c>
      <c r="B127" s="44"/>
      <c r="C127" s="44"/>
      <c r="D127" s="44"/>
      <c r="E127" s="52"/>
    </row>
    <row r="128" spans="1:5">
      <c r="A128" s="46" t="s">
        <v>523</v>
      </c>
      <c r="B128" s="135">
        <v>96451</v>
      </c>
      <c r="C128" s="135">
        <v>83212</v>
      </c>
      <c r="D128" s="135">
        <v>13239</v>
      </c>
      <c r="E128" s="136">
        <v>0.76851017931778343</v>
      </c>
    </row>
    <row r="129" spans="1:5">
      <c r="A129" s="46" t="s">
        <v>524</v>
      </c>
      <c r="B129" s="135">
        <v>100173</v>
      </c>
      <c r="C129" s="135">
        <v>87428</v>
      </c>
      <c r="D129" s="135">
        <v>12745</v>
      </c>
      <c r="E129" s="136">
        <v>0.86933827146205256</v>
      </c>
    </row>
    <row r="130" spans="1:5">
      <c r="A130" s="46" t="s">
        <v>525</v>
      </c>
      <c r="B130" s="135">
        <v>116891</v>
      </c>
      <c r="C130" s="135">
        <v>103750</v>
      </c>
      <c r="D130" s="135">
        <v>13141</v>
      </c>
      <c r="E130" s="136">
        <v>0.89808135392232835</v>
      </c>
    </row>
    <row r="131" spans="1:5">
      <c r="A131" s="46" t="s">
        <v>526</v>
      </c>
      <c r="B131" s="135">
        <v>105528</v>
      </c>
      <c r="C131" s="135">
        <v>90215</v>
      </c>
      <c r="D131" s="135">
        <v>15313</v>
      </c>
      <c r="E131" s="136">
        <v>0.81891166228035195</v>
      </c>
    </row>
    <row r="132" spans="1:5">
      <c r="A132" s="46" t="s">
        <v>527</v>
      </c>
      <c r="B132" s="135">
        <v>91739</v>
      </c>
      <c r="C132" s="135">
        <v>76801</v>
      </c>
      <c r="D132" s="135">
        <v>14938</v>
      </c>
      <c r="E132" s="136">
        <v>0.75581073963401602</v>
      </c>
    </row>
    <row r="133" spans="1:5">
      <c r="A133" s="46" t="s">
        <v>528</v>
      </c>
      <c r="B133" s="135">
        <v>101320</v>
      </c>
      <c r="C133" s="135">
        <v>80084</v>
      </c>
      <c r="D133" s="135">
        <v>21236</v>
      </c>
      <c r="E133" s="136">
        <v>0.79709629849669528</v>
      </c>
    </row>
    <row r="134" spans="1:5">
      <c r="A134" s="159"/>
      <c r="B134" s="159"/>
      <c r="C134" s="159"/>
      <c r="D134" s="159"/>
      <c r="E134" s="159"/>
    </row>
    <row r="135" spans="1:5">
      <c r="A135" s="204" t="s">
        <v>9</v>
      </c>
      <c r="B135" s="214">
        <f>SUM(B136:B149)</f>
        <v>1179626</v>
      </c>
      <c r="C135" s="214">
        <f>SUM(C136:C149)</f>
        <v>987643</v>
      </c>
      <c r="D135" s="214">
        <f>SUM(D136:D149)</f>
        <v>191983</v>
      </c>
      <c r="E135" s="207">
        <v>0.77322663234351563</v>
      </c>
    </row>
    <row r="136" spans="1:5">
      <c r="A136" s="46" t="s">
        <v>517</v>
      </c>
      <c r="B136" s="44">
        <f t="shared" ref="B136:B141" si="7">SUM(C136:D136)</f>
        <v>105697</v>
      </c>
      <c r="C136" s="69">
        <v>82703</v>
      </c>
      <c r="D136" s="69">
        <v>22994</v>
      </c>
      <c r="E136" s="78">
        <v>0.78220940732227873</v>
      </c>
    </row>
    <row r="137" spans="1:5">
      <c r="A137" s="46" t="s">
        <v>518</v>
      </c>
      <c r="B137" s="44">
        <f t="shared" si="7"/>
        <v>100927</v>
      </c>
      <c r="C137" s="69">
        <v>83612</v>
      </c>
      <c r="D137" s="69">
        <v>17315</v>
      </c>
      <c r="E137" s="78">
        <v>0.83170739245096426</v>
      </c>
    </row>
    <row r="138" spans="1:5">
      <c r="A138" s="46" t="s">
        <v>519</v>
      </c>
      <c r="B138" s="44">
        <f t="shared" si="7"/>
        <v>68464</v>
      </c>
      <c r="C138" s="69">
        <v>54035</v>
      </c>
      <c r="D138" s="69">
        <v>14429</v>
      </c>
      <c r="E138" s="78">
        <v>0.66511969701252083</v>
      </c>
    </row>
    <row r="139" spans="1:5">
      <c r="A139" s="46" t="s">
        <v>520</v>
      </c>
      <c r="B139" s="44">
        <f t="shared" si="7"/>
        <v>80233</v>
      </c>
      <c r="C139" s="69">
        <v>65058</v>
      </c>
      <c r="D139" s="69">
        <v>15175</v>
      </c>
      <c r="E139" s="78">
        <v>0.71276065050384119</v>
      </c>
    </row>
    <row r="140" spans="1:5">
      <c r="A140" s="46" t="s">
        <v>521</v>
      </c>
      <c r="B140" s="44">
        <f t="shared" si="7"/>
        <v>95749</v>
      </c>
      <c r="C140" s="69">
        <v>80253</v>
      </c>
      <c r="D140" s="69">
        <v>15496</v>
      </c>
      <c r="E140" s="78">
        <v>0.75070389034245855</v>
      </c>
    </row>
    <row r="141" spans="1:5">
      <c r="A141" s="46" t="s">
        <v>522</v>
      </c>
      <c r="B141" s="44">
        <f t="shared" si="7"/>
        <v>102250</v>
      </c>
      <c r="C141" s="69">
        <v>87206</v>
      </c>
      <c r="D141" s="69">
        <v>15044</v>
      </c>
      <c r="E141" s="78">
        <v>0.72694603358185839</v>
      </c>
    </row>
    <row r="142" spans="1:5">
      <c r="A142" s="49"/>
      <c r="B142" s="159"/>
      <c r="C142" s="159"/>
      <c r="D142" s="159"/>
      <c r="E142" s="159"/>
    </row>
    <row r="143" spans="1:5">
      <c r="A143" s="204">
        <v>2008</v>
      </c>
      <c r="B143" s="159"/>
      <c r="C143" s="159"/>
      <c r="D143" s="159"/>
      <c r="E143" s="159"/>
    </row>
    <row r="144" spans="1:5">
      <c r="A144" s="46" t="s">
        <v>523</v>
      </c>
      <c r="B144" s="44">
        <f t="shared" ref="B144:B149" si="8">SUM(C144:D144)</f>
        <v>104295</v>
      </c>
      <c r="C144" s="69">
        <v>90235</v>
      </c>
      <c r="D144" s="69">
        <v>14060</v>
      </c>
      <c r="E144" s="78">
        <v>0.72160192351040653</v>
      </c>
    </row>
    <row r="145" spans="1:5">
      <c r="A145" s="46" t="s">
        <v>524</v>
      </c>
      <c r="B145" s="44">
        <f t="shared" si="8"/>
        <v>106013</v>
      </c>
      <c r="C145" s="69">
        <v>94161</v>
      </c>
      <c r="D145" s="69">
        <v>11852</v>
      </c>
      <c r="E145" s="78">
        <v>0.83432410923638145</v>
      </c>
    </row>
    <row r="146" spans="1:5">
      <c r="A146" s="46" t="s">
        <v>525</v>
      </c>
      <c r="B146" s="44">
        <f t="shared" si="8"/>
        <v>122115</v>
      </c>
      <c r="C146" s="69">
        <v>107295</v>
      </c>
      <c r="D146" s="69">
        <v>14820</v>
      </c>
      <c r="E146" s="78">
        <v>0.85845546055847644</v>
      </c>
    </row>
    <row r="147" spans="1:5">
      <c r="A147" s="46" t="s">
        <v>526</v>
      </c>
      <c r="B147" s="44">
        <f t="shared" si="8"/>
        <v>100664</v>
      </c>
      <c r="C147" s="69">
        <v>86676</v>
      </c>
      <c r="D147" s="69">
        <v>13988</v>
      </c>
      <c r="E147" s="78">
        <v>0.79480500687359812</v>
      </c>
    </row>
    <row r="148" spans="1:5">
      <c r="A148" s="46" t="s">
        <v>527</v>
      </c>
      <c r="B148" s="44">
        <f t="shared" si="8"/>
        <v>94616</v>
      </c>
      <c r="C148" s="69">
        <v>78989</v>
      </c>
      <c r="D148" s="69">
        <v>15627</v>
      </c>
      <c r="E148" s="78">
        <v>0.7805525198871579</v>
      </c>
    </row>
    <row r="149" spans="1:5">
      <c r="A149" s="46" t="s">
        <v>528</v>
      </c>
      <c r="B149" s="44">
        <f t="shared" si="8"/>
        <v>98603</v>
      </c>
      <c r="C149" s="69">
        <v>77420</v>
      </c>
      <c r="D149" s="69">
        <v>21183</v>
      </c>
      <c r="E149" s="78">
        <v>0.80514711627107516</v>
      </c>
    </row>
    <row r="150" spans="1:5">
      <c r="A150" s="159"/>
      <c r="B150" s="44"/>
      <c r="C150" s="159"/>
      <c r="D150" s="159"/>
      <c r="E150" s="159"/>
    </row>
    <row r="151" spans="1:5">
      <c r="A151" s="204" t="s">
        <v>82</v>
      </c>
      <c r="B151" s="214">
        <f>SUM(B152:B165)</f>
        <v>1135663</v>
      </c>
      <c r="C151" s="214">
        <f>SUM(C152:C165)</f>
        <v>948441</v>
      </c>
      <c r="D151" s="214">
        <f>SUM(D152:D165)</f>
        <v>187222</v>
      </c>
      <c r="E151" s="207">
        <v>0.72422093137938426</v>
      </c>
    </row>
    <row r="152" spans="1:5">
      <c r="A152" s="46" t="s">
        <v>517</v>
      </c>
      <c r="B152" s="135">
        <v>103990</v>
      </c>
      <c r="C152" s="135">
        <v>80480</v>
      </c>
      <c r="D152" s="135">
        <v>23510</v>
      </c>
      <c r="E152" s="136">
        <v>0.78094268720859106</v>
      </c>
    </row>
    <row r="153" spans="1:5">
      <c r="A153" s="46" t="s">
        <v>518</v>
      </c>
      <c r="B153" s="135">
        <v>101060</v>
      </c>
      <c r="C153" s="135">
        <v>83463</v>
      </c>
      <c r="D153" s="135">
        <v>17597</v>
      </c>
      <c r="E153" s="136">
        <v>0.77471675365425141</v>
      </c>
    </row>
    <row r="154" spans="1:5">
      <c r="A154" s="46" t="s">
        <v>519</v>
      </c>
      <c r="B154" s="135">
        <v>62774</v>
      </c>
      <c r="C154" s="135">
        <v>49532</v>
      </c>
      <c r="D154" s="135">
        <v>13242</v>
      </c>
      <c r="E154" s="136">
        <v>0.5700876373504159</v>
      </c>
    </row>
    <row r="155" spans="1:5">
      <c r="A155" s="46" t="s">
        <v>520</v>
      </c>
      <c r="B155" s="135">
        <v>76477</v>
      </c>
      <c r="C155" s="135">
        <v>62560</v>
      </c>
      <c r="D155" s="135">
        <v>13917</v>
      </c>
      <c r="E155" s="136">
        <v>0.67765189472177345</v>
      </c>
    </row>
    <row r="156" spans="1:5">
      <c r="A156" s="46" t="s">
        <v>521</v>
      </c>
      <c r="B156" s="135">
        <v>90022</v>
      </c>
      <c r="C156" s="135">
        <v>74887</v>
      </c>
      <c r="D156" s="135">
        <v>15135</v>
      </c>
      <c r="E156" s="136">
        <v>0.67112103960021585</v>
      </c>
    </row>
    <row r="157" spans="1:5">
      <c r="A157" s="46" t="s">
        <v>522</v>
      </c>
      <c r="B157" s="135">
        <v>102076</v>
      </c>
      <c r="C157" s="135">
        <v>85551</v>
      </c>
      <c r="D157" s="135">
        <v>16525</v>
      </c>
      <c r="E157" s="136">
        <v>0.67728356190748795</v>
      </c>
    </row>
    <row r="158" spans="1:5">
      <c r="A158" s="49"/>
      <c r="B158" s="44" t="s">
        <v>135</v>
      </c>
      <c r="C158" s="21"/>
      <c r="D158" s="21"/>
      <c r="E158" s="159"/>
    </row>
    <row r="159" spans="1:5">
      <c r="A159" s="204">
        <v>2009</v>
      </c>
      <c r="B159" s="44" t="s">
        <v>135</v>
      </c>
      <c r="C159" s="21"/>
      <c r="D159" s="21"/>
      <c r="E159" s="159"/>
    </row>
    <row r="160" spans="1:5">
      <c r="A160" s="46" t="s">
        <v>523</v>
      </c>
      <c r="B160" s="135">
        <v>100716</v>
      </c>
      <c r="C160" s="135">
        <v>87418</v>
      </c>
      <c r="D160" s="135">
        <v>13298</v>
      </c>
      <c r="E160" s="136">
        <v>0.73083731986036382</v>
      </c>
    </row>
    <row r="161" spans="1:5">
      <c r="A161" s="46" t="s">
        <v>524</v>
      </c>
      <c r="B161" s="135">
        <v>96078</v>
      </c>
      <c r="C161" s="135">
        <v>85403</v>
      </c>
      <c r="D161" s="135">
        <v>10675</v>
      </c>
      <c r="E161" s="136">
        <v>0.76036819637139808</v>
      </c>
    </row>
    <row r="162" spans="1:5">
      <c r="A162" s="46" t="s">
        <v>525</v>
      </c>
      <c r="B162" s="135">
        <v>109502</v>
      </c>
      <c r="C162" s="135">
        <v>97139</v>
      </c>
      <c r="D162" s="135">
        <v>12363</v>
      </c>
      <c r="E162" s="136">
        <v>0.79246085649233566</v>
      </c>
    </row>
    <row r="163" spans="1:5">
      <c r="A163" s="46" t="s">
        <v>526</v>
      </c>
      <c r="B163" s="135">
        <v>100375</v>
      </c>
      <c r="C163" s="135">
        <v>86595</v>
      </c>
      <c r="D163" s="135">
        <v>13780</v>
      </c>
      <c r="E163" s="136">
        <v>0.73858808368403039</v>
      </c>
    </row>
    <row r="164" spans="1:5">
      <c r="A164" s="46" t="s">
        <v>527</v>
      </c>
      <c r="B164" s="135">
        <v>94883</v>
      </c>
      <c r="C164" s="135">
        <v>78325</v>
      </c>
      <c r="D164" s="135">
        <v>16558</v>
      </c>
      <c r="E164" s="136">
        <v>0.72861282345623446</v>
      </c>
    </row>
    <row r="165" spans="1:5">
      <c r="A165" s="46" t="s">
        <v>528</v>
      </c>
      <c r="B165" s="135">
        <v>97710</v>
      </c>
      <c r="C165" s="135">
        <v>77088</v>
      </c>
      <c r="D165" s="135">
        <v>20622</v>
      </c>
      <c r="E165" s="136">
        <v>0.77581692661723345</v>
      </c>
    </row>
    <row r="166" spans="1:5">
      <c r="A166" s="159"/>
      <c r="B166" s="159"/>
      <c r="C166" s="159"/>
      <c r="D166" s="159"/>
      <c r="E166" s="159"/>
    </row>
    <row r="167" spans="1:5">
      <c r="A167" s="159"/>
      <c r="B167" s="159"/>
      <c r="C167" s="159"/>
      <c r="D167" s="159"/>
      <c r="E167" s="159"/>
    </row>
    <row r="168" spans="1:5">
      <c r="A168" s="204" t="s">
        <v>11</v>
      </c>
      <c r="B168" s="214">
        <f>SUM(B169:B182)</f>
        <v>1208382</v>
      </c>
      <c r="C168" s="214">
        <f>SUM(C169:C182)</f>
        <v>1007093</v>
      </c>
      <c r="D168" s="214">
        <f>SUM(D169:D182)</f>
        <v>201289</v>
      </c>
      <c r="E168" s="207">
        <v>0.77972801661958757</v>
      </c>
    </row>
    <row r="169" spans="1:5">
      <c r="A169" s="137" t="s">
        <v>529</v>
      </c>
      <c r="B169" s="135">
        <v>105516</v>
      </c>
      <c r="C169" s="135">
        <v>80674</v>
      </c>
      <c r="D169" s="135">
        <v>24842</v>
      </c>
      <c r="E169" s="202">
        <v>0.82484007158465078</v>
      </c>
    </row>
    <row r="170" spans="1:5">
      <c r="A170" s="137" t="s">
        <v>530</v>
      </c>
      <c r="B170" s="135">
        <v>98987</v>
      </c>
      <c r="C170" s="135">
        <v>82419</v>
      </c>
      <c r="D170" s="135">
        <v>16568</v>
      </c>
      <c r="E170" s="202">
        <v>0.83015320796742731</v>
      </c>
    </row>
    <row r="171" spans="1:5">
      <c r="A171" s="137" t="s">
        <v>531</v>
      </c>
      <c r="B171" s="135">
        <v>76878</v>
      </c>
      <c r="C171" s="135">
        <v>60788</v>
      </c>
      <c r="D171" s="135">
        <v>16090</v>
      </c>
      <c r="E171" s="202">
        <v>0.70654455570353558</v>
      </c>
    </row>
    <row r="172" spans="1:5">
      <c r="A172" s="137" t="s">
        <v>532</v>
      </c>
      <c r="B172" s="135">
        <v>84533</v>
      </c>
      <c r="C172" s="135">
        <v>68627</v>
      </c>
      <c r="D172" s="135">
        <v>15906</v>
      </c>
      <c r="E172" s="202">
        <v>0.70949304174950301</v>
      </c>
    </row>
    <row r="173" spans="1:5">
      <c r="A173" s="137" t="s">
        <v>533</v>
      </c>
      <c r="B173" s="135">
        <v>97860</v>
      </c>
      <c r="C173" s="135">
        <v>80463</v>
      </c>
      <c r="D173" s="135">
        <v>17397</v>
      </c>
      <c r="E173" s="202">
        <v>0.76421602266101862</v>
      </c>
    </row>
    <row r="174" spans="1:5">
      <c r="A174" s="137" t="s">
        <v>534</v>
      </c>
      <c r="B174" s="135">
        <v>101106</v>
      </c>
      <c r="C174" s="135">
        <v>86427</v>
      </c>
      <c r="D174" s="135">
        <v>14679</v>
      </c>
      <c r="E174" s="202">
        <v>0.75527958663280559</v>
      </c>
    </row>
    <row r="175" spans="1:5">
      <c r="A175" s="137"/>
      <c r="B175" s="122"/>
      <c r="C175" s="122"/>
      <c r="D175" s="122"/>
      <c r="E175" s="122"/>
    </row>
    <row r="176" spans="1:5">
      <c r="A176" s="204">
        <v>2010</v>
      </c>
      <c r="B176" s="122"/>
      <c r="C176" s="122"/>
      <c r="D176" s="122"/>
      <c r="E176" s="122"/>
    </row>
    <row r="177" spans="1:5">
      <c r="A177" s="137" t="s">
        <v>535</v>
      </c>
      <c r="B177" s="135">
        <v>110229</v>
      </c>
      <c r="C177" s="135">
        <v>95205</v>
      </c>
      <c r="D177" s="135">
        <v>15024</v>
      </c>
      <c r="E177" s="202">
        <v>0.7687960758440664</v>
      </c>
    </row>
    <row r="178" spans="1:5">
      <c r="A178" s="137" t="s">
        <v>536</v>
      </c>
      <c r="B178" s="135">
        <v>107845</v>
      </c>
      <c r="C178" s="135">
        <v>95117</v>
      </c>
      <c r="D178" s="135">
        <v>12728</v>
      </c>
      <c r="E178" s="202">
        <v>0.82192579295688195</v>
      </c>
    </row>
    <row r="179" spans="1:5">
      <c r="A179" s="137" t="s">
        <v>537</v>
      </c>
      <c r="B179" s="135">
        <v>122472</v>
      </c>
      <c r="C179" s="135">
        <v>108080</v>
      </c>
      <c r="D179" s="135">
        <v>14392</v>
      </c>
      <c r="E179" s="202">
        <v>0.84826257721618659</v>
      </c>
    </row>
    <row r="180" spans="1:5">
      <c r="A180" s="137" t="s">
        <v>538</v>
      </c>
      <c r="B180" s="135">
        <v>108083</v>
      </c>
      <c r="C180" s="135">
        <v>94151</v>
      </c>
      <c r="D180" s="135">
        <v>13932</v>
      </c>
      <c r="E180" s="202">
        <v>0.78794029447781777</v>
      </c>
    </row>
    <row r="181" spans="1:5">
      <c r="A181" s="137" t="s">
        <v>539</v>
      </c>
      <c r="B181" s="135">
        <v>95099</v>
      </c>
      <c r="C181" s="135">
        <v>78342</v>
      </c>
      <c r="D181" s="135">
        <v>16757</v>
      </c>
      <c r="E181" s="202">
        <v>0.76457654034448086</v>
      </c>
    </row>
    <row r="182" spans="1:5">
      <c r="A182" s="137" t="s">
        <v>540</v>
      </c>
      <c r="B182" s="135">
        <v>99774</v>
      </c>
      <c r="C182" s="135">
        <v>76800</v>
      </c>
      <c r="D182" s="135">
        <v>22974</v>
      </c>
      <c r="E182" s="202">
        <v>0.76775979925586224</v>
      </c>
    </row>
    <row r="183" spans="1:5" s="159" customFormat="1">
      <c r="A183" s="137"/>
      <c r="B183" s="135"/>
      <c r="C183" s="135"/>
      <c r="D183" s="135"/>
      <c r="E183" s="136"/>
    </row>
    <row r="184" spans="1:5" s="159" customFormat="1">
      <c r="A184" s="204" t="s">
        <v>12</v>
      </c>
      <c r="B184" s="214">
        <f>SUM(B185:B198)</f>
        <v>1274565</v>
      </c>
      <c r="C184" s="214">
        <f>SUM(C185:C198)</f>
        <v>1057707</v>
      </c>
      <c r="D184" s="214">
        <f>SUM(D185:D198)</f>
        <v>216858</v>
      </c>
      <c r="E184" s="215">
        <v>0.77</v>
      </c>
    </row>
    <row r="185" spans="1:5" s="159" customFormat="1">
      <c r="A185" s="137" t="s">
        <v>529</v>
      </c>
      <c r="B185" s="135">
        <v>112626</v>
      </c>
      <c r="C185" s="135">
        <v>86006</v>
      </c>
      <c r="D185" s="135">
        <v>26620</v>
      </c>
      <c r="E185" s="203">
        <v>0.82438003190910514</v>
      </c>
    </row>
    <row r="186" spans="1:5" s="159" customFormat="1">
      <c r="A186" s="137" t="s">
        <v>530</v>
      </c>
      <c r="B186" s="135">
        <v>101981</v>
      </c>
      <c r="C186" s="135">
        <v>84061</v>
      </c>
      <c r="D186" s="135">
        <v>17920</v>
      </c>
      <c r="E186" s="203">
        <v>0.7873598378532366</v>
      </c>
    </row>
    <row r="187" spans="1:5" s="159" customFormat="1">
      <c r="A187" s="137" t="s">
        <v>531</v>
      </c>
      <c r="B187" s="135">
        <v>79289</v>
      </c>
      <c r="C187" s="135">
        <v>62491</v>
      </c>
      <c r="D187" s="135">
        <v>16798</v>
      </c>
      <c r="E187" s="202">
        <v>0.62897985705003245</v>
      </c>
    </row>
    <row r="188" spans="1:5" s="159" customFormat="1">
      <c r="A188" s="137" t="s">
        <v>532</v>
      </c>
      <c r="B188" s="135">
        <v>90880</v>
      </c>
      <c r="C188" s="135">
        <v>74453</v>
      </c>
      <c r="D188" s="135">
        <v>16427</v>
      </c>
      <c r="E188" s="202">
        <v>0.70065151486621347</v>
      </c>
    </row>
    <row r="189" spans="1:5" s="159" customFormat="1">
      <c r="A189" s="137" t="s">
        <v>533</v>
      </c>
      <c r="B189" s="135">
        <v>92245</v>
      </c>
      <c r="C189" s="135">
        <v>76516</v>
      </c>
      <c r="D189" s="135">
        <v>15729</v>
      </c>
      <c r="E189" s="202">
        <v>0.71073251173365337</v>
      </c>
    </row>
    <row r="190" spans="1:5" s="159" customFormat="1">
      <c r="A190" s="137" t="s">
        <v>534</v>
      </c>
      <c r="B190" s="135">
        <v>114343</v>
      </c>
      <c r="C190" s="135">
        <v>95927</v>
      </c>
      <c r="D190" s="135">
        <v>18416</v>
      </c>
      <c r="E190" s="202">
        <v>0.7446227652216928</v>
      </c>
    </row>
    <row r="191" spans="1:5" s="159" customFormat="1">
      <c r="A191" s="137"/>
      <c r="B191" s="135"/>
      <c r="C191" s="135"/>
      <c r="D191" s="135"/>
      <c r="E191" s="136"/>
    </row>
    <row r="192" spans="1:5" s="159" customFormat="1">
      <c r="A192" s="204">
        <v>2011</v>
      </c>
    </row>
    <row r="193" spans="1:5" s="159" customFormat="1">
      <c r="A193" s="137" t="s">
        <v>535</v>
      </c>
      <c r="B193" s="135">
        <v>111873</v>
      </c>
      <c r="C193" s="135">
        <v>96846</v>
      </c>
      <c r="D193" s="135">
        <v>15027</v>
      </c>
      <c r="E193" s="202">
        <v>0.7593206239168111</v>
      </c>
    </row>
    <row r="194" spans="1:5" s="159" customFormat="1">
      <c r="A194" s="137" t="s">
        <v>536</v>
      </c>
      <c r="B194" s="135">
        <v>112131</v>
      </c>
      <c r="C194" s="135">
        <v>98261</v>
      </c>
      <c r="D194" s="135">
        <v>13870</v>
      </c>
      <c r="E194" s="202">
        <v>0.85243984708792442</v>
      </c>
    </row>
    <row r="195" spans="1:5" s="159" customFormat="1">
      <c r="A195" s="137" t="s">
        <v>537</v>
      </c>
      <c r="B195" s="135">
        <v>126764</v>
      </c>
      <c r="C195" s="135">
        <v>111409</v>
      </c>
      <c r="D195" s="135">
        <v>15355</v>
      </c>
      <c r="E195" s="202">
        <v>0.86551014012624794</v>
      </c>
    </row>
    <row r="196" spans="1:5" s="159" customFormat="1">
      <c r="A196" s="137" t="s">
        <v>538</v>
      </c>
      <c r="B196" s="135">
        <v>121287</v>
      </c>
      <c r="C196" s="135">
        <v>104591</v>
      </c>
      <c r="D196" s="135">
        <v>16696</v>
      </c>
      <c r="E196" s="202">
        <v>0.8090219341881375</v>
      </c>
    </row>
    <row r="197" spans="1:5" s="159" customFormat="1">
      <c r="A197" s="137" t="s">
        <v>539</v>
      </c>
      <c r="B197" s="135">
        <v>101895</v>
      </c>
      <c r="C197" s="135">
        <v>83674</v>
      </c>
      <c r="D197" s="135">
        <v>18221</v>
      </c>
      <c r="E197" s="202">
        <v>0.7546437889466131</v>
      </c>
    </row>
    <row r="198" spans="1:5" s="159" customFormat="1">
      <c r="A198" s="137" t="s">
        <v>540</v>
      </c>
      <c r="B198" s="135">
        <v>109251</v>
      </c>
      <c r="C198" s="135">
        <v>83472</v>
      </c>
      <c r="D198" s="135">
        <v>25779</v>
      </c>
      <c r="E198" s="202">
        <v>0.78912992329772713</v>
      </c>
    </row>
    <row r="199" spans="1:5" s="159" customFormat="1" ht="14.25" customHeight="1">
      <c r="A199" s="137"/>
      <c r="B199" s="135"/>
      <c r="C199" s="135"/>
      <c r="D199" s="135"/>
      <c r="E199" s="136"/>
    </row>
    <row r="200" spans="1:5" s="154" customFormat="1" ht="15" customHeight="1">
      <c r="A200" s="154" t="s">
        <v>27</v>
      </c>
    </row>
    <row r="201" spans="1:5" s="154" customFormat="1" ht="15" customHeight="1">
      <c r="A201" s="154" t="s">
        <v>28</v>
      </c>
    </row>
  </sheetData>
  <phoneticPr fontId="35" type="noConversion"/>
  <pageMargins left="0.7" right="0.7" top="0.75" bottom="0.75" header="0.3" footer="0.3"/>
  <pageSetup orientation="portrait" r:id="rId1"/>
  <rowBreaks count="4" manualBreakCount="4">
    <brk id="38" max="4" man="1"/>
    <brk id="70" max="4" man="1"/>
    <brk id="102" max="4" man="1"/>
    <brk id="134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0C6B-F7DC-4534-8691-03B04AEF0802}">
  <sheetPr>
    <tabColor rgb="FFC00000"/>
  </sheetPr>
  <dimension ref="A1:E200"/>
  <sheetViews>
    <sheetView showGridLines="0" zoomScale="115" zoomScaleNormal="115" workbookViewId="0"/>
  </sheetViews>
  <sheetFormatPr defaultRowHeight="15"/>
  <cols>
    <col min="1" max="1" width="16.7109375" customWidth="1"/>
    <col min="2" max="2" width="13.7109375" customWidth="1"/>
    <col min="3" max="3" width="15.85546875" customWidth="1"/>
    <col min="4" max="4" width="18.28515625" customWidth="1"/>
    <col min="5" max="5" width="16" customWidth="1"/>
  </cols>
  <sheetData>
    <row r="1" spans="1:5" s="79" customFormat="1" ht="15.75" thickTop="1">
      <c r="A1" s="172" t="s">
        <v>543</v>
      </c>
      <c r="B1" s="196"/>
      <c r="C1" s="196"/>
      <c r="D1" s="196"/>
      <c r="E1" s="197"/>
    </row>
    <row r="2" spans="1:5" s="79" customFormat="1">
      <c r="A2" s="175" t="s">
        <v>62</v>
      </c>
      <c r="B2" s="176"/>
      <c r="C2" s="176"/>
      <c r="D2" s="176"/>
      <c r="E2" s="177"/>
    </row>
    <row r="3" spans="1:5" s="79" customFormat="1" ht="15.75" thickBot="1">
      <c r="A3" s="178" t="s">
        <v>31</v>
      </c>
      <c r="B3" s="179"/>
      <c r="C3" s="179"/>
      <c r="D3" s="179"/>
      <c r="E3" s="180"/>
    </row>
    <row r="4" spans="1:5" ht="15.75" thickTop="1">
      <c r="A4" s="49"/>
      <c r="B4" s="331"/>
      <c r="C4" s="331"/>
      <c r="D4" s="331"/>
      <c r="E4" s="332"/>
    </row>
    <row r="5" spans="1:5" ht="25.5">
      <c r="A5" s="55"/>
      <c r="B5" s="181" t="s">
        <v>514</v>
      </c>
      <c r="C5" s="210" t="s">
        <v>515</v>
      </c>
      <c r="D5" s="181" t="s">
        <v>358</v>
      </c>
      <c r="E5" s="211" t="s">
        <v>516</v>
      </c>
    </row>
    <row r="6" spans="1:5">
      <c r="A6" s="13"/>
      <c r="B6" s="13"/>
      <c r="C6" s="13"/>
      <c r="D6" s="13"/>
      <c r="E6" s="13"/>
    </row>
    <row r="7" spans="1:5">
      <c r="A7" s="204" t="s">
        <v>356</v>
      </c>
      <c r="B7" s="214">
        <f>SUM(B8:B21)</f>
        <v>588844</v>
      </c>
      <c r="C7" s="214">
        <f>SUM(C8:C21)</f>
        <v>361730</v>
      </c>
      <c r="D7" s="214">
        <f>SUM(D8:D21)</f>
        <v>227114</v>
      </c>
      <c r="E7" s="217">
        <v>0.64392963124145286</v>
      </c>
    </row>
    <row r="8" spans="1:5">
      <c r="A8" s="46" t="s">
        <v>517</v>
      </c>
      <c r="B8" s="44">
        <f>SUM(C8:D8)</f>
        <v>66546</v>
      </c>
      <c r="C8" s="47">
        <v>27684</v>
      </c>
      <c r="D8" s="47">
        <v>38862</v>
      </c>
      <c r="E8" s="48">
        <v>0.81141930685208552</v>
      </c>
    </row>
    <row r="9" spans="1:5">
      <c r="A9" s="46" t="s">
        <v>518</v>
      </c>
      <c r="B9" s="44">
        <f t="shared" ref="B9:B21" si="0">SUM(C9:D9)</f>
        <v>48323</v>
      </c>
      <c r="C9" s="47">
        <v>27579</v>
      </c>
      <c r="D9" s="47">
        <v>20744</v>
      </c>
      <c r="E9" s="48">
        <v>0.60533774006558727</v>
      </c>
    </row>
    <row r="10" spans="1:5">
      <c r="A10" s="46" t="s">
        <v>519</v>
      </c>
      <c r="B10" s="44">
        <f t="shared" si="0"/>
        <v>41257</v>
      </c>
      <c r="C10" s="47">
        <v>23360</v>
      </c>
      <c r="D10" s="47">
        <v>17897</v>
      </c>
      <c r="E10" s="48">
        <v>0.48</v>
      </c>
    </row>
    <row r="11" spans="1:5">
      <c r="A11" s="46" t="s">
        <v>520</v>
      </c>
      <c r="B11" s="44">
        <f t="shared" si="0"/>
        <v>44868</v>
      </c>
      <c r="C11" s="47">
        <v>28624</v>
      </c>
      <c r="D11" s="47">
        <v>16244</v>
      </c>
      <c r="E11" s="48">
        <v>0.53955706869817299</v>
      </c>
    </row>
    <row r="12" spans="1:5">
      <c r="A12" s="46" t="s">
        <v>521</v>
      </c>
      <c r="B12" s="44">
        <f t="shared" si="0"/>
        <v>41875</v>
      </c>
      <c r="C12" s="47">
        <v>27752</v>
      </c>
      <c r="D12" s="47">
        <v>14123</v>
      </c>
      <c r="E12" s="48">
        <v>0.60085050477112434</v>
      </c>
    </row>
    <row r="13" spans="1:5">
      <c r="A13" s="46" t="s">
        <v>522</v>
      </c>
      <c r="B13" s="44">
        <v>41298</v>
      </c>
      <c r="C13" s="47">
        <v>26866</v>
      </c>
      <c r="D13" s="47">
        <v>14432</v>
      </c>
      <c r="E13" s="48">
        <v>0.59021235295101993</v>
      </c>
    </row>
    <row r="14" spans="1:5">
      <c r="A14" s="46"/>
      <c r="B14" s="44"/>
      <c r="C14" s="47"/>
      <c r="D14" s="47"/>
      <c r="E14" s="48"/>
    </row>
    <row r="15" spans="1:5">
      <c r="A15" s="204">
        <v>2000</v>
      </c>
      <c r="B15" s="44"/>
      <c r="C15" s="47"/>
      <c r="D15" s="47"/>
      <c r="E15" s="48"/>
    </row>
    <row r="16" spans="1:5">
      <c r="A16" s="46" t="s">
        <v>523</v>
      </c>
      <c r="B16" s="44">
        <f t="shared" si="0"/>
        <v>47104</v>
      </c>
      <c r="C16" s="47">
        <v>34517</v>
      </c>
      <c r="D16" s="47">
        <v>12587</v>
      </c>
      <c r="E16" s="48">
        <v>0.64703971479976008</v>
      </c>
    </row>
    <row r="17" spans="1:5">
      <c r="A17" s="46" t="s">
        <v>524</v>
      </c>
      <c r="B17" s="44">
        <f t="shared" si="0"/>
        <v>50258</v>
      </c>
      <c r="C17" s="47">
        <v>38758</v>
      </c>
      <c r="D17" s="47">
        <v>11500</v>
      </c>
      <c r="E17" s="48">
        <v>0.72699999999999998</v>
      </c>
    </row>
    <row r="18" spans="1:5">
      <c r="A18" s="46" t="s">
        <v>525</v>
      </c>
      <c r="B18" s="44">
        <f t="shared" si="0"/>
        <v>51593</v>
      </c>
      <c r="C18" s="47">
        <v>37784</v>
      </c>
      <c r="D18" s="47">
        <v>13809</v>
      </c>
      <c r="E18" s="48">
        <v>0.71641234962452705</v>
      </c>
    </row>
    <row r="19" spans="1:5">
      <c r="A19" s="46" t="s">
        <v>526</v>
      </c>
      <c r="B19" s="44">
        <f t="shared" si="0"/>
        <v>52063</v>
      </c>
      <c r="C19" s="47">
        <v>33608</v>
      </c>
      <c r="D19" s="47">
        <v>18455</v>
      </c>
      <c r="E19" s="48">
        <v>0.74483507186788833</v>
      </c>
    </row>
    <row r="20" spans="1:5">
      <c r="A20" s="46" t="s">
        <v>527</v>
      </c>
      <c r="B20" s="44">
        <f t="shared" si="0"/>
        <v>50169</v>
      </c>
      <c r="C20" s="47">
        <v>29473</v>
      </c>
      <c r="D20" s="47">
        <v>20696</v>
      </c>
      <c r="E20" s="48">
        <v>0.66</v>
      </c>
    </row>
    <row r="21" spans="1:5">
      <c r="A21" s="46" t="s">
        <v>528</v>
      </c>
      <c r="B21" s="44">
        <f t="shared" si="0"/>
        <v>53490</v>
      </c>
      <c r="C21" s="47">
        <v>25725</v>
      </c>
      <c r="D21" s="47">
        <v>27765</v>
      </c>
      <c r="E21" s="48">
        <v>0.65300000000000002</v>
      </c>
    </row>
    <row r="22" spans="1:5">
      <c r="A22" s="49"/>
      <c r="B22" s="44"/>
      <c r="C22" s="330"/>
      <c r="D22" s="330"/>
      <c r="E22" s="50"/>
    </row>
    <row r="23" spans="1:5">
      <c r="A23" s="204" t="s">
        <v>2</v>
      </c>
      <c r="B23" s="214">
        <f>SUM(B24:B37)</f>
        <v>671566</v>
      </c>
      <c r="C23" s="214">
        <f>SUM(C24:C37)</f>
        <v>411482</v>
      </c>
      <c r="D23" s="214">
        <f>SUM(D24:D37)</f>
        <v>260084</v>
      </c>
      <c r="E23" s="217">
        <v>0.6041199736540307</v>
      </c>
    </row>
    <row r="24" spans="1:5">
      <c r="A24" s="46" t="s">
        <v>517</v>
      </c>
      <c r="B24" s="135">
        <v>66272</v>
      </c>
      <c r="C24" s="135">
        <v>31532</v>
      </c>
      <c r="D24" s="135">
        <v>34740</v>
      </c>
      <c r="E24" s="136">
        <v>0.79738711148758712</v>
      </c>
    </row>
    <row r="25" spans="1:5">
      <c r="A25" s="46" t="s">
        <v>518</v>
      </c>
      <c r="B25" s="135">
        <v>49297</v>
      </c>
      <c r="C25" s="135">
        <v>28024</v>
      </c>
      <c r="D25" s="135">
        <v>21273</v>
      </c>
      <c r="E25" s="136">
        <v>0.56262450592885371</v>
      </c>
    </row>
    <row r="26" spans="1:5">
      <c r="A26" s="46" t="s">
        <v>519</v>
      </c>
      <c r="B26" s="135">
        <v>42473</v>
      </c>
      <c r="C26" s="135">
        <v>19877</v>
      </c>
      <c r="D26" s="135">
        <v>22596</v>
      </c>
      <c r="E26" s="136">
        <v>0.43304381589054047</v>
      </c>
    </row>
    <row r="27" spans="1:5">
      <c r="A27" s="46" t="s">
        <v>520</v>
      </c>
      <c r="B27" s="135">
        <v>41464</v>
      </c>
      <c r="C27" s="135">
        <v>26482</v>
      </c>
      <c r="D27" s="135">
        <v>14982</v>
      </c>
      <c r="E27" s="136">
        <v>0.45668016852927301</v>
      </c>
    </row>
    <row r="28" spans="1:5">
      <c r="A28" s="46" t="s">
        <v>521</v>
      </c>
      <c r="B28" s="135">
        <v>53645</v>
      </c>
      <c r="C28" s="135">
        <v>35112</v>
      </c>
      <c r="D28" s="135">
        <v>18533</v>
      </c>
      <c r="E28" s="136">
        <v>0.5838364423416541</v>
      </c>
    </row>
    <row r="29" spans="1:5">
      <c r="A29" s="46" t="s">
        <v>522</v>
      </c>
      <c r="B29" s="135">
        <v>48805</v>
      </c>
      <c r="C29" s="135">
        <v>33026</v>
      </c>
      <c r="D29" s="135">
        <v>15779</v>
      </c>
      <c r="E29" s="136">
        <v>0.53874818853081219</v>
      </c>
    </row>
    <row r="30" spans="1:5">
      <c r="A30" s="49"/>
      <c r="B30" s="44"/>
      <c r="C30" s="47"/>
      <c r="D30" s="47"/>
      <c r="E30" s="48"/>
    </row>
    <row r="31" spans="1:5">
      <c r="A31" s="204">
        <v>2001</v>
      </c>
      <c r="B31" s="44"/>
      <c r="C31" s="47"/>
      <c r="D31" s="47"/>
      <c r="E31" s="48"/>
    </row>
    <row r="32" spans="1:5">
      <c r="A32" s="46" t="s">
        <v>523</v>
      </c>
      <c r="B32" s="135">
        <v>52795</v>
      </c>
      <c r="C32" s="135">
        <v>37933</v>
      </c>
      <c r="D32" s="135">
        <v>14862</v>
      </c>
      <c r="E32" s="136">
        <v>0.58462936934734788</v>
      </c>
    </row>
    <row r="33" spans="1:5">
      <c r="A33" s="46" t="s">
        <v>524</v>
      </c>
      <c r="B33" s="135">
        <v>50274</v>
      </c>
      <c r="C33" s="135">
        <v>37592</v>
      </c>
      <c r="D33" s="135">
        <v>12682</v>
      </c>
      <c r="E33" s="136">
        <v>0.63545434829754932</v>
      </c>
    </row>
    <row r="34" spans="1:5">
      <c r="A34" s="46" t="s">
        <v>525</v>
      </c>
      <c r="B34" s="135">
        <v>70712</v>
      </c>
      <c r="C34" s="135">
        <v>51317</v>
      </c>
      <c r="D34" s="135">
        <v>19395</v>
      </c>
      <c r="E34" s="136">
        <v>0.69006550052430815</v>
      </c>
    </row>
    <row r="35" spans="1:5">
      <c r="A35" s="46" t="s">
        <v>526</v>
      </c>
      <c r="B35" s="135">
        <v>64181</v>
      </c>
      <c r="C35" s="135">
        <v>41654</v>
      </c>
      <c r="D35" s="135">
        <v>22527</v>
      </c>
      <c r="E35" s="136">
        <v>0.70250278173925307</v>
      </c>
    </row>
    <row r="36" spans="1:5">
      <c r="A36" s="46" t="s">
        <v>527</v>
      </c>
      <c r="B36" s="135">
        <v>64329</v>
      </c>
      <c r="C36" s="135">
        <v>38242</v>
      </c>
      <c r="D36" s="135">
        <v>26087</v>
      </c>
      <c r="E36" s="136">
        <v>0.60440028929237566</v>
      </c>
    </row>
    <row r="37" spans="1:5">
      <c r="A37" s="46" t="s">
        <v>528</v>
      </c>
      <c r="B37" s="135">
        <v>67319</v>
      </c>
      <c r="C37" s="135">
        <v>30691</v>
      </c>
      <c r="D37" s="135">
        <v>36628</v>
      </c>
      <c r="E37" s="136">
        <v>0.65057963315939127</v>
      </c>
    </row>
    <row r="38" spans="1:5">
      <c r="A38" s="46"/>
      <c r="B38" s="36"/>
      <c r="C38" s="36"/>
      <c r="D38" s="36"/>
      <c r="E38" s="50"/>
    </row>
    <row r="39" spans="1:5">
      <c r="A39" s="204" t="s">
        <v>360</v>
      </c>
      <c r="B39" s="214">
        <f>SUM(B40:B53)</f>
        <v>662658</v>
      </c>
      <c r="C39" s="214">
        <f>SUM(C40:C53)</f>
        <v>367070</v>
      </c>
      <c r="D39" s="214">
        <f>SUM(D40:D53)</f>
        <v>295588</v>
      </c>
      <c r="E39" s="217">
        <v>0.54214831436930666</v>
      </c>
    </row>
    <row r="40" spans="1:5">
      <c r="A40" s="46" t="s">
        <v>517</v>
      </c>
      <c r="B40" s="44">
        <f>SUM(C40:D40)</f>
        <v>73719</v>
      </c>
      <c r="C40" s="47">
        <v>29741</v>
      </c>
      <c r="D40" s="47">
        <v>43978</v>
      </c>
      <c r="E40" s="48">
        <v>0.73786104724637236</v>
      </c>
    </row>
    <row r="41" spans="1:5">
      <c r="A41" s="46" t="s">
        <v>518</v>
      </c>
      <c r="B41" s="44">
        <f t="shared" ref="B41:B53" si="1">SUM(C41:D41)</f>
        <v>53915</v>
      </c>
      <c r="C41" s="47">
        <v>30232</v>
      </c>
      <c r="D41" s="47">
        <v>23683</v>
      </c>
      <c r="E41" s="48">
        <v>0.54253677208254236</v>
      </c>
    </row>
    <row r="42" spans="1:5">
      <c r="A42" s="46" t="s">
        <v>519</v>
      </c>
      <c r="B42" s="44">
        <f t="shared" si="1"/>
        <v>33745</v>
      </c>
      <c r="C42" s="47">
        <v>12105</v>
      </c>
      <c r="D42" s="47">
        <v>21640</v>
      </c>
      <c r="E42" s="48">
        <v>0.31848815886400328</v>
      </c>
    </row>
    <row r="43" spans="1:5">
      <c r="A43" s="46" t="s">
        <v>520</v>
      </c>
      <c r="B43" s="44">
        <f t="shared" si="1"/>
        <v>43576</v>
      </c>
      <c r="C43" s="47">
        <v>18201</v>
      </c>
      <c r="D43" s="47">
        <v>25375</v>
      </c>
      <c r="E43" s="48">
        <v>0.39939946858345238</v>
      </c>
    </row>
    <row r="44" spans="1:5">
      <c r="A44" s="46" t="s">
        <v>521</v>
      </c>
      <c r="B44" s="44">
        <f t="shared" si="1"/>
        <v>43283</v>
      </c>
      <c r="C44" s="47">
        <v>20918</v>
      </c>
      <c r="D44" s="47">
        <v>22365</v>
      </c>
      <c r="E44" s="48">
        <v>0.47111926312851388</v>
      </c>
    </row>
    <row r="45" spans="1:5">
      <c r="A45" s="46" t="s">
        <v>522</v>
      </c>
      <c r="B45" s="44">
        <f t="shared" si="1"/>
        <v>44102</v>
      </c>
      <c r="C45" s="47">
        <v>28266</v>
      </c>
      <c r="D45" s="47">
        <v>15836</v>
      </c>
      <c r="E45" s="48">
        <v>0.47442874382031219</v>
      </c>
    </row>
    <row r="46" spans="1:5">
      <c r="A46" s="49"/>
      <c r="B46" s="44"/>
      <c r="C46" s="47"/>
      <c r="D46" s="47"/>
      <c r="E46" s="48"/>
    </row>
    <row r="47" spans="1:5">
      <c r="A47" s="204">
        <v>2002</v>
      </c>
      <c r="B47" s="44"/>
      <c r="C47" s="47"/>
      <c r="D47" s="47"/>
      <c r="E47" s="48"/>
    </row>
    <row r="48" spans="1:5">
      <c r="A48" s="46" t="s">
        <v>523</v>
      </c>
      <c r="B48" s="44">
        <f t="shared" si="1"/>
        <v>48315</v>
      </c>
      <c r="C48" s="47">
        <v>33133</v>
      </c>
      <c r="D48" s="47">
        <v>15182</v>
      </c>
      <c r="E48" s="48">
        <v>0.52651741332113255</v>
      </c>
    </row>
    <row r="49" spans="1:5">
      <c r="A49" s="46" t="s">
        <v>524</v>
      </c>
      <c r="B49" s="44">
        <f t="shared" si="1"/>
        <v>55047</v>
      </c>
      <c r="C49" s="47">
        <v>39614</v>
      </c>
      <c r="D49" s="47">
        <v>15433</v>
      </c>
      <c r="E49" s="48">
        <v>0.62599259704514532</v>
      </c>
    </row>
    <row r="50" spans="1:5">
      <c r="A50" s="46" t="s">
        <v>525</v>
      </c>
      <c r="B50" s="44">
        <f t="shared" si="1"/>
        <v>63201</v>
      </c>
      <c r="C50" s="47">
        <v>43769</v>
      </c>
      <c r="D50" s="47">
        <v>19432</v>
      </c>
      <c r="E50" s="48">
        <v>0.62096909758215901</v>
      </c>
    </row>
    <row r="51" spans="1:5">
      <c r="A51" s="46" t="s">
        <v>526</v>
      </c>
      <c r="B51" s="44">
        <f t="shared" si="1"/>
        <v>64156</v>
      </c>
      <c r="C51" s="47">
        <v>42601</v>
      </c>
      <c r="D51" s="47">
        <v>21555</v>
      </c>
      <c r="E51" s="48">
        <v>0.61032251592516429</v>
      </c>
    </row>
    <row r="52" spans="1:5">
      <c r="A52" s="46" t="s">
        <v>527</v>
      </c>
      <c r="B52" s="44">
        <f t="shared" si="1"/>
        <v>66711</v>
      </c>
      <c r="C52" s="47">
        <v>37544</v>
      </c>
      <c r="D52" s="47">
        <v>29167</v>
      </c>
      <c r="E52" s="48">
        <v>0.53237061582095424</v>
      </c>
    </row>
    <row r="53" spans="1:5">
      <c r="A53" s="46" t="s">
        <v>528</v>
      </c>
      <c r="B53" s="44">
        <f t="shared" si="1"/>
        <v>72888</v>
      </c>
      <c r="C53" s="47">
        <v>30946</v>
      </c>
      <c r="D53" s="47">
        <v>41942</v>
      </c>
      <c r="E53" s="48">
        <v>0.622</v>
      </c>
    </row>
    <row r="54" spans="1:5">
      <c r="A54" s="49"/>
      <c r="B54" s="53"/>
      <c r="C54" s="54"/>
      <c r="D54" s="54"/>
      <c r="E54" s="52"/>
    </row>
    <row r="55" spans="1:5">
      <c r="A55" s="204" t="s">
        <v>4</v>
      </c>
      <c r="B55" s="214">
        <f>SUM(B56:B69)</f>
        <v>714511</v>
      </c>
      <c r="C55" s="214">
        <f>SUM(C56:C69)</f>
        <v>392413</v>
      </c>
      <c r="D55" s="214">
        <f>SUM(D56:D69)</f>
        <v>322098</v>
      </c>
      <c r="E55" s="217">
        <v>0.56345333593391655</v>
      </c>
    </row>
    <row r="56" spans="1:5">
      <c r="A56" s="46" t="s">
        <v>517</v>
      </c>
      <c r="B56" s="44">
        <f>SUM(C56:D56)</f>
        <v>81924</v>
      </c>
      <c r="C56" s="47">
        <v>33202</v>
      </c>
      <c r="D56" s="47">
        <v>48722</v>
      </c>
      <c r="E56" s="48">
        <v>0.72299999999999998</v>
      </c>
    </row>
    <row r="57" spans="1:5">
      <c r="A57" s="46" t="s">
        <v>518</v>
      </c>
      <c r="B57" s="44">
        <f t="shared" ref="B57:B68" si="2">SUM(C57:D57)</f>
        <v>64653</v>
      </c>
      <c r="C57" s="47">
        <v>31919</v>
      </c>
      <c r="D57" s="47">
        <v>32734</v>
      </c>
      <c r="E57" s="48">
        <v>0.56399999999999995</v>
      </c>
    </row>
    <row r="58" spans="1:5">
      <c r="A58" s="46" t="s">
        <v>519</v>
      </c>
      <c r="B58" s="44">
        <f t="shared" si="2"/>
        <v>43563</v>
      </c>
      <c r="C58" s="47">
        <v>18556</v>
      </c>
      <c r="D58" s="47">
        <v>25007</v>
      </c>
      <c r="E58" s="48">
        <v>0.38500000000000001</v>
      </c>
    </row>
    <row r="59" spans="1:5">
      <c r="A59" s="46" t="s">
        <v>520</v>
      </c>
      <c r="B59" s="44">
        <f t="shared" si="2"/>
        <v>52404</v>
      </c>
      <c r="C59" s="47">
        <v>28138</v>
      </c>
      <c r="D59" s="47">
        <v>24266</v>
      </c>
      <c r="E59" s="48">
        <v>0.437</v>
      </c>
    </row>
    <row r="60" spans="1:5">
      <c r="A60" s="46" t="s">
        <v>521</v>
      </c>
      <c r="B60" s="44">
        <f t="shared" si="2"/>
        <v>57043</v>
      </c>
      <c r="C60" s="47">
        <v>32011</v>
      </c>
      <c r="D60" s="47">
        <v>25032</v>
      </c>
      <c r="E60" s="48">
        <v>0.53400000000000003</v>
      </c>
    </row>
    <row r="61" spans="1:5">
      <c r="A61" s="46" t="s">
        <v>522</v>
      </c>
      <c r="B61" s="44">
        <f t="shared" si="2"/>
        <v>51164</v>
      </c>
      <c r="C61" s="47">
        <v>31918</v>
      </c>
      <c r="D61" s="47">
        <v>19246</v>
      </c>
      <c r="E61" s="48">
        <v>0.51</v>
      </c>
    </row>
    <row r="62" spans="1:5">
      <c r="A62" s="46"/>
      <c r="B62" s="44"/>
      <c r="C62" s="47"/>
      <c r="D62" s="47"/>
      <c r="E62" s="48"/>
    </row>
    <row r="63" spans="1:5">
      <c r="A63" s="204">
        <v>2003</v>
      </c>
      <c r="B63" s="44"/>
      <c r="C63" s="47"/>
      <c r="D63" s="47"/>
      <c r="E63" s="48"/>
    </row>
    <row r="64" spans="1:5">
      <c r="A64" s="46" t="s">
        <v>523</v>
      </c>
      <c r="B64" s="44">
        <f t="shared" si="2"/>
        <v>59400</v>
      </c>
      <c r="C64" s="47">
        <v>40790</v>
      </c>
      <c r="D64" s="47">
        <v>18610</v>
      </c>
      <c r="E64" s="48">
        <v>0.55100000000000005</v>
      </c>
    </row>
    <row r="65" spans="1:5">
      <c r="A65" s="46" t="s">
        <v>524</v>
      </c>
      <c r="B65" s="44">
        <f t="shared" si="2"/>
        <v>59456</v>
      </c>
      <c r="C65" s="47">
        <v>43214</v>
      </c>
      <c r="D65" s="47">
        <v>16242</v>
      </c>
      <c r="E65" s="48">
        <v>0.63</v>
      </c>
    </row>
    <row r="66" spans="1:5">
      <c r="A66" s="46" t="s">
        <v>525</v>
      </c>
      <c r="B66" s="44">
        <f t="shared" si="2"/>
        <v>60051</v>
      </c>
      <c r="C66" s="47">
        <v>39857</v>
      </c>
      <c r="D66" s="47">
        <v>20194</v>
      </c>
      <c r="E66" s="48">
        <v>0.63</v>
      </c>
    </row>
    <row r="67" spans="1:5">
      <c r="A67" s="46" t="s">
        <v>526</v>
      </c>
      <c r="B67" s="44">
        <f t="shared" si="2"/>
        <v>59106</v>
      </c>
      <c r="C67" s="47">
        <v>34515</v>
      </c>
      <c r="D67" s="47">
        <v>24591</v>
      </c>
      <c r="E67" s="48">
        <v>0.65400000000000003</v>
      </c>
    </row>
    <row r="68" spans="1:5">
      <c r="A68" s="46" t="s">
        <v>527</v>
      </c>
      <c r="B68" s="44">
        <f t="shared" si="2"/>
        <v>61643</v>
      </c>
      <c r="C68" s="47">
        <v>31305</v>
      </c>
      <c r="D68" s="47">
        <v>30338</v>
      </c>
      <c r="E68" s="48">
        <v>0.55500000000000005</v>
      </c>
    </row>
    <row r="69" spans="1:5">
      <c r="A69" s="46" t="s">
        <v>528</v>
      </c>
      <c r="B69" s="44">
        <v>64104</v>
      </c>
      <c r="C69" s="47">
        <v>26988</v>
      </c>
      <c r="D69" s="47">
        <v>37116</v>
      </c>
      <c r="E69" s="48">
        <v>0.59899999999999998</v>
      </c>
    </row>
    <row r="70" spans="1:5">
      <c r="A70" s="46"/>
      <c r="B70" s="36"/>
      <c r="C70" s="36"/>
      <c r="D70" s="36"/>
      <c r="E70" s="50"/>
    </row>
    <row r="71" spans="1:5">
      <c r="A71" s="204" t="s">
        <v>5</v>
      </c>
      <c r="B71" s="214">
        <f>SUM(B72:B85)</f>
        <v>675193</v>
      </c>
      <c r="C71" s="214">
        <f>SUM(C72:C85)</f>
        <v>378227</v>
      </c>
      <c r="D71" s="214">
        <f>SUM(D72:D85)</f>
        <v>296966</v>
      </c>
      <c r="E71" s="217">
        <v>0.58522633532687152</v>
      </c>
    </row>
    <row r="72" spans="1:5">
      <c r="A72" s="46" t="s">
        <v>517</v>
      </c>
      <c r="B72" s="44">
        <f>SUM(C72:D72)</f>
        <v>75248</v>
      </c>
      <c r="C72" s="47">
        <v>28595</v>
      </c>
      <c r="D72" s="47">
        <v>46653</v>
      </c>
      <c r="E72" s="48">
        <v>0.68899999999999995</v>
      </c>
    </row>
    <row r="73" spans="1:5">
      <c r="A73" s="46" t="s">
        <v>518</v>
      </c>
      <c r="B73" s="44">
        <f t="shared" ref="B73:B85" si="3">SUM(C73:D73)</f>
        <v>60953</v>
      </c>
      <c r="C73" s="47">
        <v>30969</v>
      </c>
      <c r="D73" s="47">
        <v>29984</v>
      </c>
      <c r="E73" s="48">
        <v>0.60099999999999998</v>
      </c>
    </row>
    <row r="74" spans="1:5">
      <c r="A74" s="46" t="s">
        <v>519</v>
      </c>
      <c r="B74" s="44">
        <f t="shared" si="3"/>
        <v>34045</v>
      </c>
      <c r="C74" s="47">
        <v>14092</v>
      </c>
      <c r="D74" s="47">
        <v>19953</v>
      </c>
      <c r="E74" s="48">
        <v>0.39800000000000002</v>
      </c>
    </row>
    <row r="75" spans="1:5">
      <c r="A75" s="46" t="s">
        <v>520</v>
      </c>
      <c r="B75" s="44">
        <f t="shared" si="3"/>
        <v>49297</v>
      </c>
      <c r="C75" s="47">
        <v>26640</v>
      </c>
      <c r="D75" s="47">
        <v>22657</v>
      </c>
      <c r="E75" s="48">
        <v>0.499</v>
      </c>
    </row>
    <row r="76" spans="1:5">
      <c r="A76" s="46" t="s">
        <v>521</v>
      </c>
      <c r="B76" s="44">
        <f t="shared" si="3"/>
        <v>52690</v>
      </c>
      <c r="C76" s="47">
        <v>29664</v>
      </c>
      <c r="D76" s="47">
        <v>23026</v>
      </c>
      <c r="E76" s="48">
        <v>0.58099999999999996</v>
      </c>
    </row>
    <row r="77" spans="1:5">
      <c r="A77" s="46" t="s">
        <v>522</v>
      </c>
      <c r="B77" s="44">
        <f t="shared" si="3"/>
        <v>51050</v>
      </c>
      <c r="C77" s="47">
        <v>32351</v>
      </c>
      <c r="D77" s="47">
        <v>18699</v>
      </c>
      <c r="E77" s="48">
        <v>0.55800000000000005</v>
      </c>
    </row>
    <row r="78" spans="1:5">
      <c r="A78" s="49"/>
      <c r="B78" s="44"/>
      <c r="C78" s="47"/>
      <c r="D78" s="47"/>
      <c r="E78" s="48"/>
    </row>
    <row r="79" spans="1:5">
      <c r="A79" s="204">
        <v>2004</v>
      </c>
      <c r="B79" s="44"/>
      <c r="C79" s="47"/>
      <c r="D79" s="47"/>
      <c r="E79" s="48"/>
    </row>
    <row r="80" spans="1:5">
      <c r="A80" s="46" t="s">
        <v>523</v>
      </c>
      <c r="B80" s="44">
        <f t="shared" si="3"/>
        <v>51314</v>
      </c>
      <c r="C80" s="47">
        <v>33786</v>
      </c>
      <c r="D80" s="47">
        <v>17528</v>
      </c>
      <c r="E80" s="48">
        <v>0.59099999999999997</v>
      </c>
    </row>
    <row r="81" spans="1:5">
      <c r="A81" s="46" t="s">
        <v>524</v>
      </c>
      <c r="B81" s="44">
        <f t="shared" si="3"/>
        <v>58012</v>
      </c>
      <c r="C81" s="47">
        <v>41668</v>
      </c>
      <c r="D81" s="47">
        <v>16344</v>
      </c>
      <c r="E81" s="48">
        <v>0.65200000000000002</v>
      </c>
    </row>
    <row r="82" spans="1:5">
      <c r="A82" s="46" t="s">
        <v>525</v>
      </c>
      <c r="B82" s="44">
        <f t="shared" si="3"/>
        <v>58127</v>
      </c>
      <c r="C82" s="47">
        <v>40817</v>
      </c>
      <c r="D82" s="47">
        <v>17310</v>
      </c>
      <c r="E82" s="48">
        <v>0.628</v>
      </c>
    </row>
    <row r="83" spans="1:5">
      <c r="A83" s="46" t="s">
        <v>526</v>
      </c>
      <c r="B83" s="44">
        <f t="shared" si="3"/>
        <v>63337</v>
      </c>
      <c r="C83" s="47">
        <v>38754</v>
      </c>
      <c r="D83" s="47">
        <v>24583</v>
      </c>
      <c r="E83" s="48">
        <v>0.67600000000000005</v>
      </c>
    </row>
    <row r="84" spans="1:5">
      <c r="A84" s="46" t="s">
        <v>527</v>
      </c>
      <c r="B84" s="44">
        <f t="shared" si="3"/>
        <v>51978</v>
      </c>
      <c r="C84" s="47">
        <v>28850</v>
      </c>
      <c r="D84" s="47">
        <v>23128</v>
      </c>
      <c r="E84" s="48">
        <v>0.54600000000000004</v>
      </c>
    </row>
    <row r="85" spans="1:5">
      <c r="A85" s="46" t="s">
        <v>528</v>
      </c>
      <c r="B85" s="44">
        <f t="shared" si="3"/>
        <v>69142</v>
      </c>
      <c r="C85" s="47">
        <v>32041</v>
      </c>
      <c r="D85" s="47">
        <v>37101</v>
      </c>
      <c r="E85" s="48">
        <v>0.58499999999999996</v>
      </c>
    </row>
    <row r="86" spans="1:5">
      <c r="A86" s="46"/>
      <c r="B86" s="36"/>
      <c r="C86" s="36"/>
      <c r="D86" s="54"/>
      <c r="E86" s="52"/>
    </row>
    <row r="87" spans="1:5">
      <c r="A87" s="204" t="s">
        <v>51</v>
      </c>
      <c r="B87" s="214">
        <f>SUM(B88:B101)</f>
        <v>765213</v>
      </c>
      <c r="C87" s="214">
        <f>SUM(C88:C101)</f>
        <v>442333</v>
      </c>
      <c r="D87" s="214">
        <f>SUM(D88:D101)</f>
        <v>322880</v>
      </c>
      <c r="E87" s="217">
        <v>0.58654002338100286</v>
      </c>
    </row>
    <row r="88" spans="1:5">
      <c r="A88" s="46" t="s">
        <v>517</v>
      </c>
      <c r="B88" s="44">
        <f>SUM(C88:D88)</f>
        <v>89109</v>
      </c>
      <c r="C88" s="47">
        <v>38311</v>
      </c>
      <c r="D88" s="47">
        <v>50798</v>
      </c>
      <c r="E88" s="48">
        <f>109219/147337</f>
        <v>0.74128698154570816</v>
      </c>
    </row>
    <row r="89" spans="1:5">
      <c r="A89" s="46" t="s">
        <v>518</v>
      </c>
      <c r="B89" s="44">
        <f t="shared" ref="B89:B101" si="4">SUM(C89:D89)</f>
        <v>66565</v>
      </c>
      <c r="C89" s="47">
        <v>38454</v>
      </c>
      <c r="D89" s="47">
        <v>28111</v>
      </c>
      <c r="E89" s="48">
        <f>84110/146297</f>
        <v>0.57492634845553903</v>
      </c>
    </row>
    <row r="90" spans="1:5">
      <c r="A90" s="46" t="s">
        <v>519</v>
      </c>
      <c r="B90" s="44">
        <f t="shared" si="4"/>
        <v>45273</v>
      </c>
      <c r="C90" s="47">
        <v>18738</v>
      </c>
      <c r="D90" s="47">
        <v>26535</v>
      </c>
      <c r="E90" s="48">
        <f>58872/139378</f>
        <v>0.4223909081777612</v>
      </c>
    </row>
    <row r="91" spans="1:5">
      <c r="A91" s="46" t="s">
        <v>520</v>
      </c>
      <c r="B91" s="44">
        <f t="shared" si="4"/>
        <v>55626</v>
      </c>
      <c r="C91" s="47">
        <v>29346</v>
      </c>
      <c r="D91" s="47">
        <v>26280</v>
      </c>
      <c r="E91" s="48">
        <f>70487/145410</f>
        <v>0.48474657863970844</v>
      </c>
    </row>
    <row r="92" spans="1:5">
      <c r="A92" s="46" t="s">
        <v>521</v>
      </c>
      <c r="B92" s="44">
        <f t="shared" si="4"/>
        <v>57240</v>
      </c>
      <c r="C92" s="47">
        <v>36065</v>
      </c>
      <c r="D92" s="47">
        <v>21175</v>
      </c>
      <c r="E92" s="48">
        <f>74333/136708</f>
        <v>0.54373555314977906</v>
      </c>
    </row>
    <row r="93" spans="1:5">
      <c r="A93" s="46" t="s">
        <v>522</v>
      </c>
      <c r="B93" s="44">
        <f t="shared" si="4"/>
        <v>58087</v>
      </c>
      <c r="C93" s="47">
        <v>39044</v>
      </c>
      <c r="D93" s="47">
        <v>19043</v>
      </c>
      <c r="E93" s="48">
        <f>79070/147880</f>
        <v>0.53469028942385721</v>
      </c>
    </row>
    <row r="94" spans="1:5">
      <c r="A94" s="49"/>
      <c r="B94" s="44"/>
      <c r="C94" s="47"/>
      <c r="D94" s="47"/>
      <c r="E94" s="48"/>
    </row>
    <row r="95" spans="1:5">
      <c r="A95" s="204">
        <v>2005</v>
      </c>
      <c r="B95" s="44"/>
      <c r="C95" s="47"/>
      <c r="D95" s="47"/>
      <c r="E95" s="48"/>
    </row>
    <row r="96" spans="1:5">
      <c r="A96" s="46" t="s">
        <v>523</v>
      </c>
      <c r="B96" s="44">
        <f t="shared" si="4"/>
        <v>57374</v>
      </c>
      <c r="C96" s="47">
        <v>37723</v>
      </c>
      <c r="D96" s="47">
        <v>19651</v>
      </c>
      <c r="E96" s="48">
        <f>83846/146587</f>
        <v>0.57198796619072634</v>
      </c>
    </row>
    <row r="97" spans="1:5">
      <c r="A97" s="46" t="s">
        <v>524</v>
      </c>
      <c r="B97" s="44">
        <f t="shared" si="4"/>
        <v>61086</v>
      </c>
      <c r="C97" s="47">
        <v>44173</v>
      </c>
      <c r="D97" s="47">
        <v>16913</v>
      </c>
      <c r="E97" s="48">
        <f>88389/137881</f>
        <v>0.64105279190026176</v>
      </c>
    </row>
    <row r="98" spans="1:5">
      <c r="A98" s="46" t="s">
        <v>525</v>
      </c>
      <c r="B98" s="44">
        <f t="shared" si="4"/>
        <v>73101</v>
      </c>
      <c r="C98" s="47">
        <v>49760</v>
      </c>
      <c r="D98" s="47">
        <v>23341</v>
      </c>
      <c r="E98" s="48">
        <f>105089/152270</f>
        <v>0.69014907729690678</v>
      </c>
    </row>
    <row r="99" spans="1:5">
      <c r="A99" s="46" t="s">
        <v>526</v>
      </c>
      <c r="B99" s="44">
        <f t="shared" si="4"/>
        <v>69928</v>
      </c>
      <c r="C99" s="47">
        <v>43753</v>
      </c>
      <c r="D99" s="47">
        <v>26175</v>
      </c>
      <c r="E99" s="48">
        <f>97932/147475</f>
        <v>0.66405831496863876</v>
      </c>
    </row>
    <row r="100" spans="1:5">
      <c r="A100" s="46" t="s">
        <v>527</v>
      </c>
      <c r="B100" s="44">
        <f t="shared" si="4"/>
        <v>59153</v>
      </c>
      <c r="C100" s="47">
        <v>32333</v>
      </c>
      <c r="D100" s="47">
        <v>26820</v>
      </c>
      <c r="E100" s="48">
        <f>84474/152881</f>
        <v>0.55254740615249764</v>
      </c>
    </row>
    <row r="101" spans="1:5">
      <c r="A101" s="46" t="s">
        <v>528</v>
      </c>
      <c r="B101" s="44">
        <f t="shared" si="4"/>
        <v>72671</v>
      </c>
      <c r="C101" s="47">
        <v>34633</v>
      </c>
      <c r="D101" s="47">
        <v>38038</v>
      </c>
      <c r="E101" s="48">
        <f>89702/148324</f>
        <v>0.60477063725358005</v>
      </c>
    </row>
    <row r="102" spans="1:5">
      <c r="A102" s="46"/>
      <c r="B102" s="36"/>
      <c r="C102" s="36"/>
      <c r="D102" s="36"/>
      <c r="E102" s="50"/>
    </row>
    <row r="103" spans="1:5">
      <c r="A103" s="204" t="s">
        <v>7</v>
      </c>
      <c r="B103" s="214">
        <f>SUM(B104:B117)</f>
        <v>810307</v>
      </c>
      <c r="C103" s="214">
        <f>SUM(C104:C117)</f>
        <v>461044</v>
      </c>
      <c r="D103" s="214">
        <f>SUM(D104:D117)</f>
        <v>349263</v>
      </c>
      <c r="E103" s="217">
        <v>0.59155442803154734</v>
      </c>
    </row>
    <row r="104" spans="1:5">
      <c r="A104" s="46" t="s">
        <v>517</v>
      </c>
      <c r="B104" s="44">
        <f>SUM(C104:D104)</f>
        <v>95441</v>
      </c>
      <c r="C104" s="47">
        <v>42054</v>
      </c>
      <c r="D104" s="47">
        <v>53387</v>
      </c>
      <c r="E104" s="48">
        <f>117699/157004</f>
        <v>0.74965605971822369</v>
      </c>
    </row>
    <row r="105" spans="1:5">
      <c r="A105" s="46" t="s">
        <v>518</v>
      </c>
      <c r="B105" s="44">
        <f t="shared" ref="B105:B117" si="5">SUM(C105:D105)</f>
        <v>68416</v>
      </c>
      <c r="C105" s="47">
        <v>38233</v>
      </c>
      <c r="D105" s="47">
        <v>30183</v>
      </c>
      <c r="E105" s="48">
        <f>82464/148418</f>
        <v>0.55561993828241862</v>
      </c>
    </row>
    <row r="106" spans="1:5">
      <c r="A106" s="46" t="s">
        <v>519</v>
      </c>
      <c r="B106" s="44">
        <f t="shared" si="5"/>
        <v>50086</v>
      </c>
      <c r="C106" s="47">
        <v>23379</v>
      </c>
      <c r="D106" s="47">
        <v>26707</v>
      </c>
      <c r="E106" s="48">
        <f>60298/141126</f>
        <v>0.42726358006320592</v>
      </c>
    </row>
    <row r="107" spans="1:5">
      <c r="A107" s="46" t="s">
        <v>520</v>
      </c>
      <c r="B107" s="44">
        <f t="shared" si="5"/>
        <v>48337</v>
      </c>
      <c r="C107" s="47">
        <v>25979</v>
      </c>
      <c r="D107" s="47">
        <v>22358</v>
      </c>
      <c r="E107" s="48">
        <f>63867/147767</f>
        <v>0.4322142291580664</v>
      </c>
    </row>
    <row r="108" spans="1:5">
      <c r="A108" s="46" t="s">
        <v>521</v>
      </c>
      <c r="B108" s="44">
        <f t="shared" si="5"/>
        <v>59662</v>
      </c>
      <c r="C108" s="47">
        <v>35115</v>
      </c>
      <c r="D108" s="47">
        <v>24547</v>
      </c>
      <c r="E108" s="48">
        <f>80860/146855</f>
        <v>0.55061114704981107</v>
      </c>
    </row>
    <row r="109" spans="1:5">
      <c r="A109" s="46" t="s">
        <v>522</v>
      </c>
      <c r="B109" s="44">
        <f t="shared" si="5"/>
        <v>63019</v>
      </c>
      <c r="C109" s="47">
        <v>41503</v>
      </c>
      <c r="D109" s="47">
        <v>21516</v>
      </c>
      <c r="E109" s="48">
        <f>81975/154540</f>
        <v>0.53044519218325348</v>
      </c>
    </row>
    <row r="110" spans="1:5">
      <c r="A110" s="49"/>
      <c r="B110" s="44"/>
      <c r="C110" s="47"/>
      <c r="D110" s="47"/>
      <c r="E110" s="48"/>
    </row>
    <row r="111" spans="1:5">
      <c r="A111" s="204">
        <v>2006</v>
      </c>
      <c r="B111" s="44"/>
      <c r="C111" s="47"/>
      <c r="D111" s="47"/>
      <c r="E111" s="48"/>
    </row>
    <row r="112" spans="1:5">
      <c r="A112" s="46" t="s">
        <v>523</v>
      </c>
      <c r="B112" s="44">
        <f t="shared" si="5"/>
        <v>66404</v>
      </c>
      <c r="C112" s="47">
        <v>44752</v>
      </c>
      <c r="D112" s="47">
        <v>21652</v>
      </c>
      <c r="E112" s="48">
        <f>93903/155747</f>
        <v>0.60292012045175825</v>
      </c>
    </row>
    <row r="113" spans="1:5">
      <c r="A113" s="46" t="s">
        <v>524</v>
      </c>
      <c r="B113" s="44">
        <f t="shared" si="5"/>
        <v>66605</v>
      </c>
      <c r="C113" s="47">
        <v>46101</v>
      </c>
      <c r="D113" s="47">
        <v>20504</v>
      </c>
      <c r="E113" s="48">
        <f>96268/142895</f>
        <v>0.67369747017040482</v>
      </c>
    </row>
    <row r="114" spans="1:5">
      <c r="A114" s="46" t="s">
        <v>525</v>
      </c>
      <c r="B114" s="44">
        <f t="shared" si="5"/>
        <v>74459</v>
      </c>
      <c r="C114" s="47">
        <v>48626</v>
      </c>
      <c r="D114" s="47">
        <v>25833</v>
      </c>
      <c r="E114" s="48">
        <f>106075/159191</f>
        <v>0.66633792111363077</v>
      </c>
    </row>
    <row r="115" spans="1:5">
      <c r="A115" s="46" t="s">
        <v>526</v>
      </c>
      <c r="B115" s="44">
        <f t="shared" si="5"/>
        <v>78935</v>
      </c>
      <c r="C115" s="47">
        <v>47475</v>
      </c>
      <c r="D115" s="47">
        <v>31460</v>
      </c>
      <c r="E115" s="48">
        <f>107506/159177</f>
        <v>0.67538651940921113</v>
      </c>
    </row>
    <row r="116" spans="1:5">
      <c r="A116" s="46" t="s">
        <v>527</v>
      </c>
      <c r="B116" s="44">
        <f t="shared" si="5"/>
        <v>60797</v>
      </c>
      <c r="C116" s="47">
        <v>33096</v>
      </c>
      <c r="D116" s="47">
        <v>27701</v>
      </c>
      <c r="E116" s="48">
        <f>86694/155784</f>
        <v>0.55650130950546917</v>
      </c>
    </row>
    <row r="117" spans="1:5">
      <c r="A117" s="46" t="s">
        <v>528</v>
      </c>
      <c r="B117" s="44">
        <f t="shared" si="5"/>
        <v>78146</v>
      </c>
      <c r="C117" s="47">
        <v>34731</v>
      </c>
      <c r="D117" s="47">
        <v>43415</v>
      </c>
      <c r="E117" s="48">
        <f>93841/142910</f>
        <v>0.65664404170456936</v>
      </c>
    </row>
    <row r="118" spans="1:5">
      <c r="A118" s="46"/>
      <c r="B118" s="36"/>
      <c r="C118" s="36"/>
      <c r="D118" s="36"/>
      <c r="E118" s="50"/>
    </row>
    <row r="119" spans="1:5">
      <c r="A119" s="204" t="s">
        <v>365</v>
      </c>
      <c r="B119" s="214">
        <f>SUM(B120:B133)</f>
        <v>773349</v>
      </c>
      <c r="C119" s="214">
        <f>SUM(C120:C133)</f>
        <v>415779</v>
      </c>
      <c r="D119" s="214">
        <f>SUM(D120:D133)</f>
        <v>357570</v>
      </c>
      <c r="E119" s="217">
        <v>0.61334600548791662</v>
      </c>
    </row>
    <row r="120" spans="1:5">
      <c r="A120" s="46" t="s">
        <v>517</v>
      </c>
      <c r="B120" s="135">
        <v>98561</v>
      </c>
      <c r="C120" s="135">
        <v>38037</v>
      </c>
      <c r="D120" s="135">
        <v>60524</v>
      </c>
      <c r="E120" s="136">
        <v>0.78470632981569466</v>
      </c>
    </row>
    <row r="121" spans="1:5">
      <c r="A121" s="46" t="s">
        <v>518</v>
      </c>
      <c r="B121" s="135">
        <v>65424</v>
      </c>
      <c r="C121" s="135">
        <v>37320</v>
      </c>
      <c r="D121" s="135">
        <v>28104</v>
      </c>
      <c r="E121" s="136">
        <v>0.56841817373765002</v>
      </c>
    </row>
    <row r="122" spans="1:5">
      <c r="A122" s="46" t="s">
        <v>519</v>
      </c>
      <c r="B122" s="135">
        <v>54131</v>
      </c>
      <c r="C122" s="135">
        <v>23728</v>
      </c>
      <c r="D122" s="135">
        <v>30403</v>
      </c>
      <c r="E122" s="136">
        <v>0.48458499818379946</v>
      </c>
    </row>
    <row r="123" spans="1:5">
      <c r="A123" s="46" t="s">
        <v>520</v>
      </c>
      <c r="B123" s="135">
        <v>48442</v>
      </c>
      <c r="C123" s="135">
        <v>25186</v>
      </c>
      <c r="D123" s="135">
        <v>23256</v>
      </c>
      <c r="E123" s="136">
        <v>0.47743906673147696</v>
      </c>
    </row>
    <row r="124" spans="1:5">
      <c r="A124" s="46" t="s">
        <v>521</v>
      </c>
      <c r="B124" s="135">
        <v>55738</v>
      </c>
      <c r="C124" s="135">
        <v>30880</v>
      </c>
      <c r="D124" s="135">
        <v>24858</v>
      </c>
      <c r="E124" s="136">
        <v>0.56896783934558703</v>
      </c>
    </row>
    <row r="125" spans="1:5">
      <c r="A125" s="46" t="s">
        <v>522</v>
      </c>
      <c r="B125" s="135">
        <v>63368</v>
      </c>
      <c r="C125" s="135">
        <v>40470</v>
      </c>
      <c r="D125" s="135">
        <v>22898</v>
      </c>
      <c r="E125" s="136">
        <v>0.56588974180041873</v>
      </c>
    </row>
    <row r="126" spans="1:5">
      <c r="A126" s="49"/>
      <c r="B126" s="44"/>
      <c r="C126" s="47"/>
      <c r="D126" s="47"/>
      <c r="E126" s="48"/>
    </row>
    <row r="127" spans="1:5">
      <c r="A127" s="204">
        <v>2007</v>
      </c>
      <c r="B127" s="44"/>
      <c r="C127" s="47"/>
      <c r="D127" s="47"/>
      <c r="E127" s="48"/>
    </row>
    <row r="128" spans="1:5">
      <c r="A128" s="46" t="s">
        <v>523</v>
      </c>
      <c r="B128" s="135">
        <v>52119</v>
      </c>
      <c r="C128" s="135">
        <v>33396</v>
      </c>
      <c r="D128" s="135">
        <v>18723</v>
      </c>
      <c r="E128" s="136">
        <v>0.57894809516576684</v>
      </c>
    </row>
    <row r="129" spans="1:5">
      <c r="A129" s="46" t="s">
        <v>524</v>
      </c>
      <c r="B129" s="135">
        <v>59703</v>
      </c>
      <c r="C129" s="135">
        <v>40212</v>
      </c>
      <c r="D129" s="135">
        <v>19491</v>
      </c>
      <c r="E129" s="136">
        <v>0.66763095132938788</v>
      </c>
    </row>
    <row r="130" spans="1:5">
      <c r="A130" s="46" t="s">
        <v>525</v>
      </c>
      <c r="B130" s="135">
        <v>72373</v>
      </c>
      <c r="C130" s="135">
        <v>46647</v>
      </c>
      <c r="D130" s="135">
        <v>25726</v>
      </c>
      <c r="E130" s="136">
        <v>0.70141272194355886</v>
      </c>
    </row>
    <row r="131" spans="1:5">
      <c r="A131" s="46" t="s">
        <v>526</v>
      </c>
      <c r="B131" s="135">
        <v>72325</v>
      </c>
      <c r="C131" s="135">
        <v>40925</v>
      </c>
      <c r="D131" s="135">
        <v>31400</v>
      </c>
      <c r="E131" s="136">
        <v>0.69258956255113191</v>
      </c>
    </row>
    <row r="132" spans="1:5">
      <c r="A132" s="46" t="s">
        <v>527</v>
      </c>
      <c r="B132" s="135">
        <v>59193</v>
      </c>
      <c r="C132" s="135">
        <v>30500</v>
      </c>
      <c r="D132" s="135">
        <v>28693</v>
      </c>
      <c r="E132" s="136">
        <v>0.57954366962828396</v>
      </c>
    </row>
    <row r="133" spans="1:5">
      <c r="A133" s="46" t="s">
        <v>528</v>
      </c>
      <c r="B133" s="135">
        <v>71972</v>
      </c>
      <c r="C133" s="135">
        <v>28478</v>
      </c>
      <c r="D133" s="135">
        <v>43494</v>
      </c>
      <c r="E133" s="136">
        <v>0.66715857823502134</v>
      </c>
    </row>
    <row r="134" spans="1:5" ht="16.5">
      <c r="A134" s="159"/>
      <c r="B134" s="15"/>
      <c r="C134" s="15"/>
      <c r="D134" s="15"/>
      <c r="E134" s="15"/>
    </row>
    <row r="135" spans="1:5">
      <c r="A135" s="204" t="s">
        <v>366</v>
      </c>
      <c r="B135" s="214">
        <f>SUM(B136:B149)</f>
        <v>684554</v>
      </c>
      <c r="C135" s="214">
        <f>SUM(C136:C149)</f>
        <v>320067</v>
      </c>
      <c r="D135" s="214">
        <f>SUM(D136:D149)</f>
        <v>364487</v>
      </c>
      <c r="E135" s="217">
        <v>0.59121444660971334</v>
      </c>
    </row>
    <row r="136" spans="1:5">
      <c r="A136" s="46" t="s">
        <v>517</v>
      </c>
      <c r="B136" s="135">
        <v>91392</v>
      </c>
      <c r="C136" s="135">
        <v>27360</v>
      </c>
      <c r="D136" s="135">
        <v>64032</v>
      </c>
      <c r="E136" s="136">
        <v>0.75529827990886755</v>
      </c>
    </row>
    <row r="137" spans="1:5">
      <c r="A137" s="46" t="s">
        <v>518</v>
      </c>
      <c r="B137" s="135">
        <v>59726</v>
      </c>
      <c r="C137" s="135">
        <v>23846</v>
      </c>
      <c r="D137" s="135">
        <v>35880</v>
      </c>
      <c r="E137" s="136">
        <v>0.58054626333244985</v>
      </c>
    </row>
    <row r="138" spans="1:5">
      <c r="A138" s="46" t="s">
        <v>519</v>
      </c>
      <c r="B138" s="135">
        <v>42938</v>
      </c>
      <c r="C138" s="135">
        <v>14409</v>
      </c>
      <c r="D138" s="135">
        <v>28529</v>
      </c>
      <c r="E138" s="136">
        <v>0.46386255001790522</v>
      </c>
    </row>
    <row r="139" spans="1:5">
      <c r="A139" s="46" t="s">
        <v>520</v>
      </c>
      <c r="B139" s="135">
        <v>45794</v>
      </c>
      <c r="C139" s="135">
        <v>20075</v>
      </c>
      <c r="D139" s="135">
        <v>25719</v>
      </c>
      <c r="E139" s="136">
        <v>0.49803349885350706</v>
      </c>
    </row>
    <row r="140" spans="1:5">
      <c r="A140" s="46" t="s">
        <v>521</v>
      </c>
      <c r="B140" s="135">
        <v>48252</v>
      </c>
      <c r="C140" s="135">
        <v>24094</v>
      </c>
      <c r="D140" s="135">
        <v>24158</v>
      </c>
      <c r="E140" s="136">
        <v>0.54046815576624352</v>
      </c>
    </row>
    <row r="141" spans="1:5">
      <c r="A141" s="46" t="s">
        <v>522</v>
      </c>
      <c r="B141" s="135">
        <v>48606</v>
      </c>
      <c r="C141" s="135">
        <v>23474</v>
      </c>
      <c r="D141" s="135">
        <v>25132</v>
      </c>
      <c r="E141" s="136">
        <v>0.50141044242964361</v>
      </c>
    </row>
    <row r="142" spans="1:5">
      <c r="A142" s="49"/>
      <c r="B142" s="44"/>
      <c r="C142" s="47"/>
      <c r="D142" s="47"/>
      <c r="E142" s="48"/>
    </row>
    <row r="143" spans="1:5">
      <c r="A143" s="204">
        <v>2008</v>
      </c>
      <c r="B143" s="44"/>
      <c r="C143" s="47"/>
      <c r="D143" s="47"/>
      <c r="E143" s="48"/>
    </row>
    <row r="144" spans="1:5">
      <c r="A144" s="46" t="s">
        <v>523</v>
      </c>
      <c r="B144" s="135">
        <v>46513</v>
      </c>
      <c r="C144" s="135">
        <v>28119</v>
      </c>
      <c r="D144" s="135">
        <v>18394</v>
      </c>
      <c r="E144" s="136">
        <v>0.57927768666624069</v>
      </c>
    </row>
    <row r="145" spans="1:5">
      <c r="A145" s="46" t="s">
        <v>524</v>
      </c>
      <c r="B145" s="135">
        <v>52162</v>
      </c>
      <c r="C145" s="135">
        <v>32938</v>
      </c>
      <c r="D145" s="135">
        <v>19224</v>
      </c>
      <c r="E145" s="136">
        <v>0.63398955110618183</v>
      </c>
    </row>
    <row r="146" spans="1:5">
      <c r="A146" s="46" t="s">
        <v>525</v>
      </c>
      <c r="B146" s="135">
        <v>64764</v>
      </c>
      <c r="C146" s="135">
        <v>37316</v>
      </c>
      <c r="D146" s="135">
        <v>27448</v>
      </c>
      <c r="E146" s="136">
        <v>0.66320957390209245</v>
      </c>
    </row>
    <row r="147" spans="1:5">
      <c r="A147" s="46" t="s">
        <v>526</v>
      </c>
      <c r="B147" s="135">
        <v>55491</v>
      </c>
      <c r="C147" s="135">
        <v>32709</v>
      </c>
      <c r="D147" s="135">
        <v>22782</v>
      </c>
      <c r="E147" s="136">
        <v>0.6106992825533526</v>
      </c>
    </row>
    <row r="148" spans="1:5">
      <c r="A148" s="46" t="s">
        <v>527</v>
      </c>
      <c r="B148" s="135">
        <v>57003</v>
      </c>
      <c r="C148" s="135">
        <v>26652</v>
      </c>
      <c r="D148" s="135">
        <v>30351</v>
      </c>
      <c r="E148" s="136">
        <v>0.58284070822104384</v>
      </c>
    </row>
    <row r="149" spans="1:5">
      <c r="A149" s="46" t="s">
        <v>528</v>
      </c>
      <c r="B149" s="135">
        <v>71913</v>
      </c>
      <c r="C149" s="135">
        <v>29075</v>
      </c>
      <c r="D149" s="135">
        <v>42838</v>
      </c>
      <c r="E149" s="136">
        <v>0.65251523088310648</v>
      </c>
    </row>
    <row r="150" spans="1:5">
      <c r="A150" s="159"/>
      <c r="B150" s="44" t="s">
        <v>135</v>
      </c>
      <c r="C150" s="159"/>
      <c r="D150" s="159"/>
      <c r="E150" s="159"/>
    </row>
    <row r="151" spans="1:5">
      <c r="A151" s="204" t="s">
        <v>367</v>
      </c>
      <c r="B151" s="214">
        <f>SUM(B152:B165)</f>
        <v>680745</v>
      </c>
      <c r="C151" s="214">
        <f>SUM(C152:C165)</f>
        <v>308387</v>
      </c>
      <c r="D151" s="214">
        <f>SUM(D152:D165)</f>
        <v>372358</v>
      </c>
      <c r="E151" s="217">
        <v>0.55765416267437029</v>
      </c>
    </row>
    <row r="152" spans="1:5">
      <c r="A152" s="46" t="s">
        <v>517</v>
      </c>
      <c r="B152" s="135">
        <v>97318</v>
      </c>
      <c r="C152" s="135">
        <v>30719</v>
      </c>
      <c r="D152" s="135">
        <v>66599</v>
      </c>
      <c r="E152" s="136">
        <v>0.75105600127517136</v>
      </c>
    </row>
    <row r="153" spans="1:5">
      <c r="A153" s="46" t="s">
        <v>518</v>
      </c>
      <c r="B153" s="135">
        <v>67965</v>
      </c>
      <c r="C153" s="135">
        <v>28485</v>
      </c>
      <c r="D153" s="135">
        <v>39480</v>
      </c>
      <c r="E153" s="136">
        <v>0.61455612902336676</v>
      </c>
    </row>
    <row r="154" spans="1:5">
      <c r="A154" s="46" t="s">
        <v>519</v>
      </c>
      <c r="B154" s="135">
        <v>35575</v>
      </c>
      <c r="C154" s="135">
        <v>13087</v>
      </c>
      <c r="D154" s="135">
        <v>22488</v>
      </c>
      <c r="E154" s="136">
        <v>0.40765001273906287</v>
      </c>
    </row>
    <row r="155" spans="1:5">
      <c r="A155" s="46" t="s">
        <v>520</v>
      </c>
      <c r="B155" s="135">
        <v>48041</v>
      </c>
      <c r="C155" s="135">
        <v>20778</v>
      </c>
      <c r="D155" s="135">
        <v>27263</v>
      </c>
      <c r="E155" s="136">
        <v>0.49491033575914212</v>
      </c>
    </row>
    <row r="156" spans="1:5">
      <c r="A156" s="46" t="s">
        <v>521</v>
      </c>
      <c r="B156" s="135">
        <v>47289</v>
      </c>
      <c r="C156" s="135">
        <v>21153</v>
      </c>
      <c r="D156" s="135">
        <v>26136</v>
      </c>
      <c r="E156" s="136">
        <v>0.51219695999155967</v>
      </c>
    </row>
    <row r="157" spans="1:5">
      <c r="A157" s="46" t="s">
        <v>522</v>
      </c>
      <c r="B157" s="135">
        <v>45992</v>
      </c>
      <c r="C157" s="135">
        <v>22784</v>
      </c>
      <c r="D157" s="135">
        <v>23208</v>
      </c>
      <c r="E157" s="136">
        <v>0.45472440944881892</v>
      </c>
    </row>
    <row r="158" spans="1:5" ht="16.5">
      <c r="A158" s="49"/>
      <c r="B158" s="44" t="s">
        <v>135</v>
      </c>
      <c r="C158" s="20"/>
      <c r="D158" s="20"/>
      <c r="E158" s="20"/>
    </row>
    <row r="159" spans="1:5" ht="16.5">
      <c r="A159" s="204">
        <v>2009</v>
      </c>
      <c r="B159" s="44" t="s">
        <v>135</v>
      </c>
      <c r="C159" s="20"/>
      <c r="D159" s="20"/>
      <c r="E159" s="20"/>
    </row>
    <row r="160" spans="1:5">
      <c r="A160" s="46" t="s">
        <v>523</v>
      </c>
      <c r="B160" s="135">
        <v>44429</v>
      </c>
      <c r="C160" s="135">
        <v>25812</v>
      </c>
      <c r="D160" s="135">
        <v>18617</v>
      </c>
      <c r="E160" s="136">
        <v>0.51450872155570893</v>
      </c>
    </row>
    <row r="161" spans="1:5">
      <c r="A161" s="46" t="s">
        <v>524</v>
      </c>
      <c r="B161" s="135">
        <v>49808</v>
      </c>
      <c r="C161" s="135">
        <v>29961</v>
      </c>
      <c r="D161" s="135">
        <v>19847</v>
      </c>
      <c r="E161" s="136">
        <v>0.60429133519505007</v>
      </c>
    </row>
    <row r="162" spans="1:5">
      <c r="A162" s="46" t="s">
        <v>525</v>
      </c>
      <c r="B162" s="135">
        <v>53024</v>
      </c>
      <c r="C162" s="135">
        <v>28687</v>
      </c>
      <c r="D162" s="135">
        <v>24337</v>
      </c>
      <c r="E162" s="136">
        <v>0.57496816749118085</v>
      </c>
    </row>
    <row r="163" spans="1:5">
      <c r="A163" s="46" t="s">
        <v>526</v>
      </c>
      <c r="B163" s="135">
        <v>62081</v>
      </c>
      <c r="C163" s="135">
        <v>31915</v>
      </c>
      <c r="D163" s="135">
        <v>30166</v>
      </c>
      <c r="E163" s="136">
        <v>0.59717436488810016</v>
      </c>
    </row>
    <row r="164" spans="1:5">
      <c r="A164" s="46" t="s">
        <v>527</v>
      </c>
      <c r="B164" s="135">
        <v>59489</v>
      </c>
      <c r="C164" s="135">
        <v>27458</v>
      </c>
      <c r="D164" s="135">
        <v>32031</v>
      </c>
      <c r="E164" s="136">
        <v>0.51759446499705797</v>
      </c>
    </row>
    <row r="165" spans="1:5">
      <c r="A165" s="46" t="s">
        <v>528</v>
      </c>
      <c r="B165" s="135">
        <v>69734</v>
      </c>
      <c r="C165" s="135">
        <v>27548</v>
      </c>
      <c r="D165" s="135">
        <v>42186</v>
      </c>
      <c r="E165" s="136">
        <v>0.60448537157225868</v>
      </c>
    </row>
    <row r="166" spans="1:5">
      <c r="A166" s="159"/>
      <c r="B166" s="159"/>
      <c r="C166" s="159"/>
      <c r="D166" s="159"/>
      <c r="E166" s="159"/>
    </row>
    <row r="167" spans="1:5">
      <c r="A167" s="204" t="s">
        <v>11</v>
      </c>
      <c r="B167" s="214">
        <f>SUM(B168:B181)</f>
        <v>700990</v>
      </c>
      <c r="C167" s="214">
        <f>SUM(C168:C181)</f>
        <v>321783</v>
      </c>
      <c r="D167" s="214">
        <f>SUM(D168:D181)</f>
        <v>379207</v>
      </c>
      <c r="E167" s="216">
        <v>0.54730728742933954</v>
      </c>
    </row>
    <row r="168" spans="1:5">
      <c r="A168" s="137" t="s">
        <v>529</v>
      </c>
      <c r="B168" s="135">
        <v>97583</v>
      </c>
      <c r="C168" s="135">
        <v>27763</v>
      </c>
      <c r="D168" s="135">
        <v>69820</v>
      </c>
      <c r="E168" s="202">
        <v>0.75132625994694957</v>
      </c>
    </row>
    <row r="169" spans="1:5">
      <c r="A169" s="137" t="s">
        <v>530</v>
      </c>
      <c r="B169" s="135">
        <v>61101</v>
      </c>
      <c r="C169" s="135">
        <v>26557</v>
      </c>
      <c r="D169" s="135">
        <v>34544</v>
      </c>
      <c r="E169" s="202">
        <v>0.56006127599843436</v>
      </c>
    </row>
    <row r="170" spans="1:5">
      <c r="A170" s="137" t="s">
        <v>531</v>
      </c>
      <c r="B170" s="135">
        <v>47505</v>
      </c>
      <c r="C170" s="135">
        <v>16656</v>
      </c>
      <c r="D170" s="135">
        <v>30849</v>
      </c>
      <c r="E170" s="202">
        <v>0.43157291433683742</v>
      </c>
    </row>
    <row r="171" spans="1:5">
      <c r="A171" s="137" t="s">
        <v>532</v>
      </c>
      <c r="B171" s="135">
        <v>47660</v>
      </c>
      <c r="C171" s="135">
        <v>19540</v>
      </c>
      <c r="D171" s="135">
        <v>28120</v>
      </c>
      <c r="E171" s="202">
        <v>0.44630065054806445</v>
      </c>
    </row>
    <row r="172" spans="1:5">
      <c r="A172" s="137" t="s">
        <v>533</v>
      </c>
      <c r="B172" s="135">
        <v>48180</v>
      </c>
      <c r="C172" s="135">
        <v>22243</v>
      </c>
      <c r="D172" s="135">
        <v>25937</v>
      </c>
      <c r="E172" s="202">
        <v>0.46760026457472459</v>
      </c>
    </row>
    <row r="173" spans="1:5">
      <c r="A173" s="137" t="s">
        <v>534</v>
      </c>
      <c r="B173" s="135">
        <v>50868</v>
      </c>
      <c r="C173" s="135">
        <v>25177</v>
      </c>
      <c r="D173" s="135">
        <v>25691</v>
      </c>
      <c r="E173" s="202">
        <v>0.45480113309851061</v>
      </c>
    </row>
    <row r="174" spans="1:5">
      <c r="A174" s="137"/>
      <c r="B174" s="159"/>
      <c r="C174" s="159"/>
      <c r="D174" s="159"/>
      <c r="E174" s="159"/>
    </row>
    <row r="175" spans="1:5">
      <c r="A175" s="204">
        <v>2010</v>
      </c>
      <c r="B175" s="159"/>
      <c r="C175" s="159"/>
      <c r="D175" s="159"/>
      <c r="E175" s="159"/>
    </row>
    <row r="176" spans="1:5">
      <c r="A176" s="137" t="s">
        <v>535</v>
      </c>
      <c r="B176" s="135">
        <v>47136</v>
      </c>
      <c r="C176" s="135">
        <v>28143</v>
      </c>
      <c r="D176" s="135">
        <v>18993</v>
      </c>
      <c r="E176" s="202">
        <v>0.50493906942392908</v>
      </c>
    </row>
    <row r="177" spans="1:5">
      <c r="A177" s="137" t="s">
        <v>536</v>
      </c>
      <c r="B177" s="135">
        <v>54466</v>
      </c>
      <c r="C177" s="135">
        <v>34100</v>
      </c>
      <c r="D177" s="135">
        <v>20366</v>
      </c>
      <c r="E177" s="202">
        <v>0.61427425242325462</v>
      </c>
    </row>
    <row r="178" spans="1:5">
      <c r="A178" s="137" t="s">
        <v>537</v>
      </c>
      <c r="B178" s="135">
        <v>62039</v>
      </c>
      <c r="C178" s="135">
        <v>36948</v>
      </c>
      <c r="D178" s="135">
        <v>25091</v>
      </c>
      <c r="E178" s="202">
        <v>0.63577411510402593</v>
      </c>
    </row>
    <row r="179" spans="1:5">
      <c r="A179" s="137" t="s">
        <v>538</v>
      </c>
      <c r="B179" s="135">
        <v>59787</v>
      </c>
      <c r="C179" s="135">
        <v>31554</v>
      </c>
      <c r="D179" s="135">
        <v>28233</v>
      </c>
      <c r="E179" s="202">
        <v>0.57932746868788298</v>
      </c>
    </row>
    <row r="180" spans="1:5">
      <c r="A180" s="137" t="s">
        <v>539</v>
      </c>
      <c r="B180" s="135">
        <v>53494</v>
      </c>
      <c r="C180" s="135">
        <v>24303</v>
      </c>
      <c r="D180" s="135">
        <v>29191</v>
      </c>
      <c r="E180" s="202">
        <v>0.51128586783493657</v>
      </c>
    </row>
    <row r="181" spans="1:5">
      <c r="A181" s="137" t="s">
        <v>540</v>
      </c>
      <c r="B181" s="135">
        <v>71171</v>
      </c>
      <c r="C181" s="135">
        <v>28799</v>
      </c>
      <c r="D181" s="135">
        <v>42372</v>
      </c>
      <c r="E181" s="202">
        <v>0.60147644474299311</v>
      </c>
    </row>
    <row r="183" spans="1:5" s="159" customFormat="1">
      <c r="A183" s="204" t="s">
        <v>12</v>
      </c>
      <c r="B183" s="214">
        <f>SUM(B184:B197)</f>
        <v>733298</v>
      </c>
      <c r="C183" s="214">
        <f>SUM(C184:C197)</f>
        <v>329850</v>
      </c>
      <c r="D183" s="214">
        <f>SUM(D184:D197)</f>
        <v>403448</v>
      </c>
      <c r="E183" s="215">
        <v>0.55900000000000005</v>
      </c>
    </row>
    <row r="184" spans="1:5" s="159" customFormat="1">
      <c r="A184" s="137" t="s">
        <v>529</v>
      </c>
      <c r="B184" s="135">
        <v>95412</v>
      </c>
      <c r="C184" s="135">
        <v>28495</v>
      </c>
      <c r="D184" s="135">
        <v>66917</v>
      </c>
      <c r="E184" s="203">
        <v>0.76329433150698955</v>
      </c>
    </row>
    <row r="185" spans="1:5" s="159" customFormat="1">
      <c r="A185" s="137" t="s">
        <v>530</v>
      </c>
      <c r="B185" s="135">
        <v>62421</v>
      </c>
      <c r="C185" s="135">
        <v>25074</v>
      </c>
      <c r="D185" s="135">
        <v>37347</v>
      </c>
      <c r="E185" s="203">
        <v>0.54613777608430014</v>
      </c>
    </row>
    <row r="186" spans="1:5" s="159" customFormat="1">
      <c r="A186" s="137" t="s">
        <v>531</v>
      </c>
      <c r="B186" s="135">
        <v>51220</v>
      </c>
      <c r="C186" s="135">
        <v>18233</v>
      </c>
      <c r="D186" s="135">
        <v>32987</v>
      </c>
      <c r="E186" s="202">
        <v>0.43623743913809176</v>
      </c>
    </row>
    <row r="187" spans="1:5" s="159" customFormat="1">
      <c r="A187" s="137" t="s">
        <v>532</v>
      </c>
      <c r="B187" s="135">
        <v>50049</v>
      </c>
      <c r="C187" s="135">
        <v>19465</v>
      </c>
      <c r="D187" s="135">
        <v>30584</v>
      </c>
      <c r="E187" s="202">
        <v>0.44727114152494046</v>
      </c>
    </row>
    <row r="188" spans="1:5" s="159" customFormat="1">
      <c r="A188" s="137" t="s">
        <v>533</v>
      </c>
      <c r="B188" s="135">
        <v>48779</v>
      </c>
      <c r="C188" s="135">
        <v>22051</v>
      </c>
      <c r="D188" s="135">
        <v>26728</v>
      </c>
      <c r="E188" s="202">
        <v>0.47310621187292584</v>
      </c>
    </row>
    <row r="189" spans="1:5" s="159" customFormat="1">
      <c r="A189" s="137" t="s">
        <v>534</v>
      </c>
      <c r="B189" s="135">
        <v>51416</v>
      </c>
      <c r="C189" s="135">
        <v>25435</v>
      </c>
      <c r="D189" s="135">
        <v>25981</v>
      </c>
      <c r="E189" s="202">
        <v>0.46283390654495615</v>
      </c>
    </row>
    <row r="190" spans="1:5" s="159" customFormat="1"/>
    <row r="191" spans="1:5" s="159" customFormat="1">
      <c r="A191" s="204">
        <v>2011</v>
      </c>
    </row>
    <row r="192" spans="1:5">
      <c r="A192" s="137" t="s">
        <v>535</v>
      </c>
      <c r="B192" s="135">
        <v>49045</v>
      </c>
      <c r="C192" s="135">
        <v>28977</v>
      </c>
      <c r="D192" s="135">
        <v>20068</v>
      </c>
      <c r="E192" s="202">
        <v>0.53469086237353458</v>
      </c>
    </row>
    <row r="193" spans="1:5">
      <c r="A193" s="137" t="s">
        <v>536</v>
      </c>
      <c r="B193" s="135">
        <v>59559</v>
      </c>
      <c r="C193" s="135">
        <v>37282</v>
      </c>
      <c r="D193" s="135">
        <v>22277</v>
      </c>
      <c r="E193" s="202">
        <v>0.67160116417847948</v>
      </c>
    </row>
    <row r="194" spans="1:5">
      <c r="A194" s="137" t="s">
        <v>537</v>
      </c>
      <c r="B194" s="135">
        <v>62191</v>
      </c>
      <c r="C194" s="135">
        <v>36729</v>
      </c>
      <c r="D194" s="135">
        <v>25462</v>
      </c>
      <c r="E194" s="202">
        <v>0.62744740515322606</v>
      </c>
    </row>
    <row r="195" spans="1:5">
      <c r="A195" s="137" t="s">
        <v>538</v>
      </c>
      <c r="B195" s="135">
        <v>65556</v>
      </c>
      <c r="C195" s="135">
        <v>33304</v>
      </c>
      <c r="D195" s="135">
        <v>32252</v>
      </c>
      <c r="E195" s="202">
        <v>0.61378122085190179</v>
      </c>
    </row>
    <row r="196" spans="1:5">
      <c r="A196" s="137" t="s">
        <v>539</v>
      </c>
      <c r="B196" s="135">
        <v>60229</v>
      </c>
      <c r="C196" s="135">
        <v>27067</v>
      </c>
      <c r="D196" s="135">
        <v>33162</v>
      </c>
      <c r="E196" s="202">
        <v>0.49803759018665561</v>
      </c>
    </row>
    <row r="197" spans="1:5">
      <c r="A197" s="137" t="s">
        <v>540</v>
      </c>
      <c r="B197" s="135">
        <v>77421</v>
      </c>
      <c r="C197" s="135">
        <v>27738</v>
      </c>
      <c r="D197" s="135">
        <v>49683</v>
      </c>
      <c r="E197" s="202">
        <v>0.61710391466973036</v>
      </c>
    </row>
    <row r="199" spans="1:5" s="154" customFormat="1" ht="15" customHeight="1">
      <c r="A199" s="154" t="s">
        <v>27</v>
      </c>
    </row>
    <row r="200" spans="1:5" s="154" customFormat="1" ht="15" customHeight="1">
      <c r="A200" s="154" t="s">
        <v>28</v>
      </c>
    </row>
  </sheetData>
  <phoneticPr fontId="35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65D6-604D-4BA8-96D4-5A8E97B6F88B}">
  <sheetPr>
    <tabColor rgb="FFC00000"/>
  </sheetPr>
  <dimension ref="A1:E201"/>
  <sheetViews>
    <sheetView showGridLines="0" zoomScaleSheetLayoutView="115" workbookViewId="0">
      <selection activeCell="J9" sqref="J9"/>
    </sheetView>
  </sheetViews>
  <sheetFormatPr defaultRowHeight="15"/>
  <cols>
    <col min="1" max="1" width="14.7109375" customWidth="1"/>
    <col min="2" max="2" width="17.42578125" customWidth="1"/>
    <col min="3" max="3" width="14.85546875" customWidth="1"/>
    <col min="4" max="4" width="15.42578125" customWidth="1"/>
    <col min="5" max="5" width="16.5703125" customWidth="1"/>
  </cols>
  <sheetData>
    <row r="1" spans="1:5" s="79" customFormat="1" ht="15.75" thickTop="1">
      <c r="A1" s="298" t="s">
        <v>544</v>
      </c>
      <c r="B1" s="299"/>
      <c r="C1" s="299"/>
      <c r="D1" s="299"/>
      <c r="E1" s="300"/>
    </row>
    <row r="2" spans="1:5" s="79" customFormat="1">
      <c r="A2" s="301" t="s">
        <v>62</v>
      </c>
      <c r="B2" s="302"/>
      <c r="C2" s="302"/>
      <c r="D2" s="302"/>
      <c r="E2" s="303"/>
    </row>
    <row r="3" spans="1:5" s="79" customFormat="1" ht="15.75" thickBot="1">
      <c r="A3" s="304" t="s">
        <v>31</v>
      </c>
      <c r="B3" s="305"/>
      <c r="C3" s="305"/>
      <c r="D3" s="305"/>
      <c r="E3" s="306"/>
    </row>
    <row r="4" spans="1:5" ht="15.75" thickTop="1">
      <c r="A4" s="13"/>
      <c r="B4" s="13"/>
      <c r="C4" s="13"/>
      <c r="D4" s="13"/>
      <c r="E4" s="13"/>
    </row>
    <row r="5" spans="1:5" ht="25.5">
      <c r="A5" s="13"/>
      <c r="B5" s="181" t="s">
        <v>514</v>
      </c>
      <c r="C5" s="210" t="s">
        <v>515</v>
      </c>
      <c r="D5" s="181" t="s">
        <v>358</v>
      </c>
      <c r="E5" s="211" t="s">
        <v>516</v>
      </c>
    </row>
    <row r="6" spans="1:5">
      <c r="A6" s="13"/>
      <c r="B6" s="13"/>
      <c r="C6" s="13"/>
      <c r="D6" s="13"/>
      <c r="E6" s="13"/>
    </row>
    <row r="7" spans="1:5" ht="15" customHeight="1">
      <c r="A7" s="204" t="s">
        <v>50</v>
      </c>
      <c r="B7" s="218">
        <f>SUM(B8:B21)</f>
        <v>161032.22066738427</v>
      </c>
      <c r="C7" s="218">
        <f>SUM(C8:C21)</f>
        <v>31471.220667384285</v>
      </c>
      <c r="D7" s="218">
        <f>SUM(D8:D21)</f>
        <v>129561</v>
      </c>
      <c r="E7" s="219">
        <v>0.49099999999999999</v>
      </c>
    </row>
    <row r="8" spans="1:5">
      <c r="A8" s="46" t="s">
        <v>517</v>
      </c>
      <c r="B8" s="57">
        <f>SUM(C8:D8)</f>
        <v>23205</v>
      </c>
      <c r="C8" s="58">
        <v>3029</v>
      </c>
      <c r="D8" s="59">
        <v>20176</v>
      </c>
      <c r="E8" s="60">
        <v>0.76036972468010922</v>
      </c>
    </row>
    <row r="9" spans="1:5">
      <c r="A9" s="46" t="s">
        <v>518</v>
      </c>
      <c r="B9" s="57">
        <f t="shared" ref="B9:B21" si="0">SUM(C9:D9)</f>
        <v>14802</v>
      </c>
      <c r="C9" s="58">
        <v>3375</v>
      </c>
      <c r="D9" s="59">
        <v>11427</v>
      </c>
      <c r="E9" s="60">
        <v>0.45802355418119611</v>
      </c>
    </row>
    <row r="10" spans="1:5">
      <c r="A10" s="46" t="s">
        <v>519</v>
      </c>
      <c r="B10" s="57">
        <f t="shared" si="0"/>
        <v>9729</v>
      </c>
      <c r="C10" s="58">
        <v>1468</v>
      </c>
      <c r="D10" s="59">
        <v>8261</v>
      </c>
      <c r="E10" s="60">
        <v>0.35155191108701545</v>
      </c>
    </row>
    <row r="11" spans="1:5">
      <c r="A11" s="46" t="s">
        <v>520</v>
      </c>
      <c r="B11" s="57">
        <f t="shared" si="0"/>
        <v>9930</v>
      </c>
      <c r="C11" s="58">
        <v>1559</v>
      </c>
      <c r="D11" s="59">
        <v>8371</v>
      </c>
      <c r="E11" s="60">
        <v>0.36627172465599073</v>
      </c>
    </row>
    <row r="12" spans="1:5">
      <c r="A12" s="46" t="s">
        <v>521</v>
      </c>
      <c r="B12" s="57">
        <f t="shared" si="0"/>
        <v>10118</v>
      </c>
      <c r="C12" s="58">
        <v>1979</v>
      </c>
      <c r="D12" s="59">
        <v>8139</v>
      </c>
      <c r="E12" s="60">
        <v>0.4023091814159292</v>
      </c>
    </row>
    <row r="13" spans="1:5">
      <c r="A13" s="46" t="s">
        <v>522</v>
      </c>
      <c r="B13" s="57">
        <f t="shared" si="0"/>
        <v>10157</v>
      </c>
      <c r="C13" s="58">
        <v>2010</v>
      </c>
      <c r="D13" s="59">
        <v>8147</v>
      </c>
      <c r="E13" s="60">
        <v>0.39096385542168677</v>
      </c>
    </row>
    <row r="14" spans="1:5">
      <c r="A14" s="46"/>
      <c r="B14" s="57"/>
      <c r="C14" s="58"/>
      <c r="D14" s="59"/>
      <c r="E14" s="60"/>
    </row>
    <row r="15" spans="1:5">
      <c r="A15" s="204">
        <v>2000</v>
      </c>
      <c r="B15" s="57"/>
      <c r="C15" s="58"/>
      <c r="D15" s="59"/>
      <c r="E15" s="60"/>
    </row>
    <row r="16" spans="1:5">
      <c r="A16" s="46" t="s">
        <v>523</v>
      </c>
      <c r="B16" s="57">
        <f t="shared" si="0"/>
        <v>12234</v>
      </c>
      <c r="C16" s="58">
        <v>3001</v>
      </c>
      <c r="D16" s="59">
        <v>9233</v>
      </c>
      <c r="E16" s="60">
        <v>0.47324465398215187</v>
      </c>
    </row>
    <row r="17" spans="1:5">
      <c r="A17" s="46" t="s">
        <v>524</v>
      </c>
      <c r="B17" s="57">
        <f t="shared" si="0"/>
        <v>12201</v>
      </c>
      <c r="C17" s="58">
        <v>3620</v>
      </c>
      <c r="D17" s="59">
        <v>8581</v>
      </c>
      <c r="E17" s="60">
        <v>0.51100000000000001</v>
      </c>
    </row>
    <row r="18" spans="1:5">
      <c r="A18" s="46" t="s">
        <v>525</v>
      </c>
      <c r="B18" s="57">
        <f t="shared" si="0"/>
        <v>13052</v>
      </c>
      <c r="C18" s="58">
        <v>3474</v>
      </c>
      <c r="D18" s="59">
        <v>9578</v>
      </c>
      <c r="E18" s="60">
        <v>0.47099999999999997</v>
      </c>
    </row>
    <row r="19" spans="1:5">
      <c r="A19" s="46" t="s">
        <v>526</v>
      </c>
      <c r="B19" s="57">
        <f t="shared" si="0"/>
        <v>14921</v>
      </c>
      <c r="C19" s="58">
        <v>2582</v>
      </c>
      <c r="D19" s="59">
        <v>12339</v>
      </c>
      <c r="E19" s="60">
        <v>0.57999999999999996</v>
      </c>
    </row>
    <row r="20" spans="1:5">
      <c r="A20" s="46" t="s">
        <v>527</v>
      </c>
      <c r="B20" s="57">
        <f t="shared" si="0"/>
        <v>13179.220667384285</v>
      </c>
      <c r="C20" s="58">
        <v>2700.2206673842843</v>
      </c>
      <c r="D20" s="59">
        <v>10479</v>
      </c>
      <c r="E20" s="60">
        <v>0.49099999999999999</v>
      </c>
    </row>
    <row r="21" spans="1:5">
      <c r="A21" s="46" t="s">
        <v>528</v>
      </c>
      <c r="B21" s="57">
        <f t="shared" si="0"/>
        <v>17504</v>
      </c>
      <c r="C21" s="58">
        <v>2674</v>
      </c>
      <c r="D21" s="59">
        <v>14830</v>
      </c>
      <c r="E21" s="60">
        <v>0.63600000000000001</v>
      </c>
    </row>
    <row r="22" spans="1:5">
      <c r="A22" s="49"/>
      <c r="B22" s="57"/>
      <c r="C22" s="138"/>
      <c r="D22" s="138"/>
      <c r="E22" s="139"/>
    </row>
    <row r="23" spans="1:5">
      <c r="A23" s="204" t="s">
        <v>2</v>
      </c>
      <c r="B23" s="218">
        <f>SUM(B24:B37)</f>
        <v>171303</v>
      </c>
      <c r="C23" s="218">
        <f>SUM(C24:C37)</f>
        <v>31292</v>
      </c>
      <c r="D23" s="218">
        <f>SUM(D24:D37)</f>
        <v>140011</v>
      </c>
      <c r="E23" s="219">
        <v>0.495</v>
      </c>
    </row>
    <row r="24" spans="1:5">
      <c r="A24" s="46" t="s">
        <v>517</v>
      </c>
      <c r="B24" s="57">
        <f>SUM(C24:D24)</f>
        <v>27901</v>
      </c>
      <c r="C24" s="58">
        <v>3235</v>
      </c>
      <c r="D24" s="59">
        <v>24666</v>
      </c>
      <c r="E24" s="60">
        <v>0.76300082544923487</v>
      </c>
    </row>
    <row r="25" spans="1:5">
      <c r="A25" s="46" t="s">
        <v>518</v>
      </c>
      <c r="B25" s="57">
        <f t="shared" ref="B25:B37" si="1">SUM(C25:D25)</f>
        <v>14749</v>
      </c>
      <c r="C25" s="58">
        <v>2966</v>
      </c>
      <c r="D25" s="59">
        <v>11783</v>
      </c>
      <c r="E25" s="60">
        <v>0.46054533508541395</v>
      </c>
    </row>
    <row r="26" spans="1:5">
      <c r="A26" s="46" t="s">
        <v>519</v>
      </c>
      <c r="B26" s="57">
        <f t="shared" si="1"/>
        <v>11658</v>
      </c>
      <c r="C26" s="58">
        <v>1513</v>
      </c>
      <c r="D26" s="59">
        <v>10145</v>
      </c>
      <c r="E26" s="60">
        <v>0.43879472693032018</v>
      </c>
    </row>
    <row r="27" spans="1:5">
      <c r="A27" s="46" t="s">
        <v>520</v>
      </c>
      <c r="B27" s="57">
        <f t="shared" si="1"/>
        <v>10232</v>
      </c>
      <c r="C27" s="58">
        <v>1774</v>
      </c>
      <c r="D27" s="59">
        <v>8458</v>
      </c>
      <c r="E27" s="60">
        <v>0.37899466252280251</v>
      </c>
    </row>
    <row r="28" spans="1:5">
      <c r="A28" s="46" t="s">
        <v>521</v>
      </c>
      <c r="B28" s="57">
        <f t="shared" si="1"/>
        <v>11084</v>
      </c>
      <c r="C28" s="58">
        <v>2020</v>
      </c>
      <c r="D28" s="59">
        <v>9064</v>
      </c>
      <c r="E28" s="60">
        <v>0.41387470840799218</v>
      </c>
    </row>
    <row r="29" spans="1:5">
      <c r="A29" s="46" t="s">
        <v>522</v>
      </c>
      <c r="B29" s="57">
        <f t="shared" si="1"/>
        <v>12730</v>
      </c>
      <c r="C29" s="58">
        <v>2728</v>
      </c>
      <c r="D29" s="59">
        <v>10002</v>
      </c>
      <c r="E29" s="60">
        <v>0.44354786230233617</v>
      </c>
    </row>
    <row r="30" spans="1:5">
      <c r="A30" s="49"/>
      <c r="B30" s="57"/>
      <c r="C30" s="58"/>
      <c r="D30" s="59"/>
      <c r="E30" s="60"/>
    </row>
    <row r="31" spans="1:5">
      <c r="A31" s="204">
        <v>2001</v>
      </c>
      <c r="B31" s="57"/>
      <c r="C31" s="58"/>
      <c r="D31" s="59"/>
      <c r="E31" s="60"/>
    </row>
    <row r="32" spans="1:5">
      <c r="A32" s="46" t="s">
        <v>523</v>
      </c>
      <c r="B32" s="57">
        <f t="shared" si="1"/>
        <v>13263</v>
      </c>
      <c r="C32" s="58">
        <v>3032</v>
      </c>
      <c r="D32" s="59">
        <v>10231</v>
      </c>
      <c r="E32" s="60">
        <v>0.4631313614753837</v>
      </c>
    </row>
    <row r="33" spans="1:5">
      <c r="A33" s="46" t="s">
        <v>524</v>
      </c>
      <c r="B33" s="57">
        <f t="shared" si="1"/>
        <v>11505</v>
      </c>
      <c r="C33" s="58">
        <v>3057</v>
      </c>
      <c r="D33" s="59">
        <v>8448</v>
      </c>
      <c r="E33" s="60">
        <v>0.47693150684931507</v>
      </c>
    </row>
    <row r="34" spans="1:5">
      <c r="A34" s="46" t="s">
        <v>525</v>
      </c>
      <c r="B34" s="57">
        <f t="shared" si="1"/>
        <v>13954</v>
      </c>
      <c r="C34" s="58">
        <v>3746</v>
      </c>
      <c r="D34" s="59">
        <v>10208</v>
      </c>
      <c r="E34" s="60">
        <v>0.50986666666666669</v>
      </c>
    </row>
    <row r="35" spans="1:5">
      <c r="A35" s="46" t="s">
        <v>526</v>
      </c>
      <c r="B35" s="57">
        <f t="shared" si="1"/>
        <v>13584</v>
      </c>
      <c r="C35" s="58">
        <v>2498</v>
      </c>
      <c r="D35" s="59">
        <v>11086</v>
      </c>
      <c r="E35" s="60">
        <v>0.54237924560505202</v>
      </c>
    </row>
    <row r="36" spans="1:5">
      <c r="A36" s="46" t="s">
        <v>527</v>
      </c>
      <c r="B36" s="57">
        <f t="shared" si="1"/>
        <v>12680</v>
      </c>
      <c r="C36" s="58">
        <v>2480</v>
      </c>
      <c r="D36" s="59">
        <v>10200</v>
      </c>
      <c r="E36" s="60">
        <v>0.43862206028486256</v>
      </c>
    </row>
    <row r="37" spans="1:5">
      <c r="A37" s="46" t="s">
        <v>528</v>
      </c>
      <c r="B37" s="57">
        <f t="shared" si="1"/>
        <v>17963</v>
      </c>
      <c r="C37" s="58">
        <v>2243</v>
      </c>
      <c r="D37" s="59">
        <v>15720</v>
      </c>
      <c r="E37" s="60">
        <v>0.59684469334790324</v>
      </c>
    </row>
    <row r="38" spans="1:5">
      <c r="A38" s="46"/>
      <c r="B38" s="140"/>
      <c r="C38" s="140"/>
      <c r="D38" s="140"/>
      <c r="E38" s="139"/>
    </row>
    <row r="39" spans="1:5">
      <c r="A39" s="204" t="s">
        <v>3</v>
      </c>
      <c r="B39" s="218">
        <f>SUM(B40:B53)</f>
        <v>171293</v>
      </c>
      <c r="C39" s="218">
        <f>SUM(C40:C53)</f>
        <v>33555</v>
      </c>
      <c r="D39" s="218">
        <f>SUM(D40:D53)</f>
        <v>137738</v>
      </c>
      <c r="E39" s="219">
        <v>0.46200000000000002</v>
      </c>
    </row>
    <row r="40" spans="1:5">
      <c r="A40" s="46" t="s">
        <v>517</v>
      </c>
      <c r="B40" s="57">
        <f>SUM(C40:D40)</f>
        <v>23530</v>
      </c>
      <c r="C40" s="58">
        <v>2616</v>
      </c>
      <c r="D40" s="59">
        <v>20914</v>
      </c>
      <c r="E40" s="60">
        <v>0.76048026742163255</v>
      </c>
    </row>
    <row r="41" spans="1:5">
      <c r="A41" s="46" t="s">
        <v>518</v>
      </c>
      <c r="B41" s="57">
        <f t="shared" ref="B41:B53" si="2">SUM(C41:D41)</f>
        <v>13902</v>
      </c>
      <c r="C41" s="58">
        <v>2911</v>
      </c>
      <c r="D41" s="59">
        <v>10991</v>
      </c>
      <c r="E41" s="60">
        <v>0.42957042957042957</v>
      </c>
    </row>
    <row r="42" spans="1:5">
      <c r="A42" s="46" t="s">
        <v>519</v>
      </c>
      <c r="B42" s="57">
        <f t="shared" si="2"/>
        <v>9375</v>
      </c>
      <c r="C42" s="58">
        <v>1298</v>
      </c>
      <c r="D42" s="59">
        <v>8077</v>
      </c>
      <c r="E42" s="60">
        <v>0.34894398530762166</v>
      </c>
    </row>
    <row r="43" spans="1:5">
      <c r="A43" s="46" t="s">
        <v>520</v>
      </c>
      <c r="B43" s="57">
        <f t="shared" si="2"/>
        <v>9799</v>
      </c>
      <c r="C43" s="58">
        <v>1309</v>
      </c>
      <c r="D43" s="59">
        <v>8490</v>
      </c>
      <c r="E43" s="60">
        <v>0.32447405091255138</v>
      </c>
    </row>
    <row r="44" spans="1:5">
      <c r="A44" s="46" t="s">
        <v>521</v>
      </c>
      <c r="B44" s="57">
        <f t="shared" si="2"/>
        <v>12240</v>
      </c>
      <c r="C44" s="58">
        <v>2020</v>
      </c>
      <c r="D44" s="59">
        <v>10220</v>
      </c>
      <c r="E44" s="60">
        <v>0.40075165661161111</v>
      </c>
    </row>
    <row r="45" spans="1:5">
      <c r="A45" s="46" t="s">
        <v>522</v>
      </c>
      <c r="B45" s="57">
        <f t="shared" si="2"/>
        <v>13030</v>
      </c>
      <c r="C45" s="58">
        <v>2747</v>
      </c>
      <c r="D45" s="59">
        <v>10283</v>
      </c>
      <c r="E45" s="60">
        <v>0.42205787781350484</v>
      </c>
    </row>
    <row r="46" spans="1:5">
      <c r="A46" s="49"/>
      <c r="B46" s="57"/>
      <c r="C46" s="58"/>
      <c r="D46" s="59"/>
      <c r="E46" s="60"/>
    </row>
    <row r="47" spans="1:5">
      <c r="A47" s="204">
        <v>2002</v>
      </c>
      <c r="B47" s="57"/>
      <c r="C47" s="58"/>
      <c r="D47" s="59"/>
      <c r="E47" s="60"/>
    </row>
    <row r="48" spans="1:5">
      <c r="A48" s="46" t="s">
        <v>523</v>
      </c>
      <c r="B48" s="57">
        <f t="shared" si="2"/>
        <v>12359</v>
      </c>
      <c r="C48" s="58">
        <v>3512</v>
      </c>
      <c r="D48" s="59">
        <v>8847</v>
      </c>
      <c r="E48" s="60">
        <v>0.40616770836638216</v>
      </c>
    </row>
    <row r="49" spans="1:5">
      <c r="A49" s="46" t="s">
        <v>524</v>
      </c>
      <c r="B49" s="57">
        <f t="shared" si="2"/>
        <v>12702</v>
      </c>
      <c r="C49" s="58">
        <v>3827</v>
      </c>
      <c r="D49" s="59">
        <v>8875</v>
      </c>
      <c r="E49" s="60">
        <v>0.44952024834203469</v>
      </c>
    </row>
    <row r="50" spans="1:5">
      <c r="A50" s="46" t="s">
        <v>525</v>
      </c>
      <c r="B50" s="57">
        <f t="shared" si="2"/>
        <v>16824</v>
      </c>
      <c r="C50" s="58">
        <v>4494</v>
      </c>
      <c r="D50" s="59">
        <v>12330</v>
      </c>
      <c r="E50" s="60">
        <v>0.54123186561466019</v>
      </c>
    </row>
    <row r="51" spans="1:5">
      <c r="A51" s="46" t="s">
        <v>526</v>
      </c>
      <c r="B51" s="57">
        <f t="shared" si="2"/>
        <v>12386</v>
      </c>
      <c r="C51" s="58">
        <v>3046</v>
      </c>
      <c r="D51" s="59">
        <v>9340</v>
      </c>
      <c r="E51" s="60">
        <v>0.43474590030849164</v>
      </c>
    </row>
    <row r="52" spans="1:5">
      <c r="A52" s="46" t="s">
        <v>527</v>
      </c>
      <c r="B52" s="57">
        <f t="shared" si="2"/>
        <v>14422</v>
      </c>
      <c r="C52" s="58">
        <v>2843</v>
      </c>
      <c r="D52" s="59">
        <v>11579</v>
      </c>
      <c r="E52" s="60">
        <v>0.41211221330637521</v>
      </c>
    </row>
    <row r="53" spans="1:5">
      <c r="A53" s="46" t="s">
        <v>528</v>
      </c>
      <c r="B53" s="57">
        <f t="shared" si="2"/>
        <v>20724</v>
      </c>
      <c r="C53" s="58">
        <v>2932</v>
      </c>
      <c r="D53" s="59">
        <v>17792</v>
      </c>
      <c r="E53" s="60">
        <v>0.61062178710585768</v>
      </c>
    </row>
    <row r="54" spans="1:5">
      <c r="A54" s="49"/>
      <c r="B54" s="141"/>
      <c r="C54" s="61"/>
      <c r="D54" s="61"/>
      <c r="E54" s="142"/>
    </row>
    <row r="55" spans="1:5">
      <c r="A55" s="204" t="s">
        <v>4</v>
      </c>
      <c r="B55" s="218">
        <f>SUM(B56:B69)</f>
        <v>181788</v>
      </c>
      <c r="C55" s="218">
        <f>SUM(C56:C69)</f>
        <v>36986</v>
      </c>
      <c r="D55" s="218">
        <f>SUM(D56:D69)</f>
        <v>144802</v>
      </c>
      <c r="E55" s="219">
        <v>0.46300000000000002</v>
      </c>
    </row>
    <row r="56" spans="1:5">
      <c r="A56" s="46" t="s">
        <v>517</v>
      </c>
      <c r="B56" s="57">
        <f>SUM(C56:D56)</f>
        <v>25755</v>
      </c>
      <c r="C56" s="58">
        <v>3135</v>
      </c>
      <c r="D56" s="59">
        <v>22620</v>
      </c>
      <c r="E56" s="60">
        <v>0.76100000000000001</v>
      </c>
    </row>
    <row r="57" spans="1:5">
      <c r="A57" s="46" t="s">
        <v>518</v>
      </c>
      <c r="B57" s="57">
        <f t="shared" ref="B57:B69" si="3">SUM(C57:D57)</f>
        <v>16360</v>
      </c>
      <c r="C57" s="58">
        <v>3355</v>
      </c>
      <c r="D57" s="59">
        <v>13005</v>
      </c>
      <c r="E57" s="60">
        <v>0.49199999999999999</v>
      </c>
    </row>
    <row r="58" spans="1:5">
      <c r="A58" s="46" t="s">
        <v>519</v>
      </c>
      <c r="B58" s="57">
        <f t="shared" si="3"/>
        <v>10318</v>
      </c>
      <c r="C58" s="58">
        <v>1891</v>
      </c>
      <c r="D58" s="59">
        <v>8427</v>
      </c>
      <c r="E58" s="60">
        <v>0.33700000000000002</v>
      </c>
    </row>
    <row r="59" spans="1:5">
      <c r="A59" s="46" t="s">
        <v>520</v>
      </c>
      <c r="B59" s="57">
        <f t="shared" si="3"/>
        <v>11449</v>
      </c>
      <c r="C59" s="58">
        <v>1864</v>
      </c>
      <c r="D59" s="59">
        <v>9585</v>
      </c>
      <c r="E59" s="60">
        <v>0.33800000000000002</v>
      </c>
    </row>
    <row r="60" spans="1:5">
      <c r="A60" s="46" t="s">
        <v>521</v>
      </c>
      <c r="B60" s="57">
        <f t="shared" si="3"/>
        <v>13664</v>
      </c>
      <c r="C60" s="58">
        <v>2576</v>
      </c>
      <c r="D60" s="59">
        <v>11088</v>
      </c>
      <c r="E60" s="60">
        <v>0.39900000000000002</v>
      </c>
    </row>
    <row r="61" spans="1:5">
      <c r="A61" s="46" t="s">
        <v>522</v>
      </c>
      <c r="B61" s="57">
        <f t="shared" si="3"/>
        <v>13664</v>
      </c>
      <c r="C61" s="58">
        <v>3168</v>
      </c>
      <c r="D61" s="59">
        <v>10496</v>
      </c>
      <c r="E61" s="60">
        <v>0.42</v>
      </c>
    </row>
    <row r="62" spans="1:5">
      <c r="A62" s="46"/>
      <c r="B62" s="57"/>
      <c r="C62" s="58"/>
      <c r="D62" s="59"/>
      <c r="E62" s="60"/>
    </row>
    <row r="63" spans="1:5">
      <c r="A63" s="204">
        <v>2003</v>
      </c>
      <c r="B63" s="57"/>
      <c r="C63" s="58"/>
      <c r="D63" s="59"/>
      <c r="E63" s="60"/>
    </row>
    <row r="64" spans="1:5">
      <c r="A64" s="46" t="s">
        <v>523</v>
      </c>
      <c r="B64" s="57">
        <f t="shared" si="3"/>
        <v>14166</v>
      </c>
      <c r="C64" s="58">
        <v>4189</v>
      </c>
      <c r="D64" s="59">
        <v>9977</v>
      </c>
      <c r="E64" s="60">
        <v>0.42099999999999999</v>
      </c>
    </row>
    <row r="65" spans="1:5">
      <c r="A65" s="46" t="s">
        <v>524</v>
      </c>
      <c r="B65" s="57">
        <f t="shared" si="3"/>
        <v>13322</v>
      </c>
      <c r="C65" s="58">
        <v>4346</v>
      </c>
      <c r="D65" s="59">
        <v>8976</v>
      </c>
      <c r="E65" s="60">
        <v>0.45</v>
      </c>
    </row>
    <row r="66" spans="1:5">
      <c r="A66" s="46" t="s">
        <v>525</v>
      </c>
      <c r="B66" s="57">
        <f t="shared" si="3"/>
        <v>14647</v>
      </c>
      <c r="C66" s="58">
        <v>4312</v>
      </c>
      <c r="D66" s="59">
        <v>10335</v>
      </c>
      <c r="E66" s="60">
        <v>0.44500000000000001</v>
      </c>
    </row>
    <row r="67" spans="1:5">
      <c r="A67" s="46" t="s">
        <v>526</v>
      </c>
      <c r="B67" s="57">
        <f t="shared" si="3"/>
        <v>15084</v>
      </c>
      <c r="C67" s="58">
        <v>2647</v>
      </c>
      <c r="D67" s="59">
        <v>12437</v>
      </c>
      <c r="E67" s="60">
        <v>0.48</v>
      </c>
    </row>
    <row r="68" spans="1:5">
      <c r="A68" s="46" t="s">
        <v>527</v>
      </c>
      <c r="B68" s="57">
        <f t="shared" si="3"/>
        <v>15226</v>
      </c>
      <c r="C68" s="58">
        <v>2779</v>
      </c>
      <c r="D68" s="59">
        <v>12447</v>
      </c>
      <c r="E68" s="60">
        <v>0.46600000000000003</v>
      </c>
    </row>
    <row r="69" spans="1:5">
      <c r="A69" s="46" t="s">
        <v>528</v>
      </c>
      <c r="B69" s="57">
        <f t="shared" si="3"/>
        <v>18133</v>
      </c>
      <c r="C69" s="58">
        <v>2724</v>
      </c>
      <c r="D69" s="59">
        <v>15409</v>
      </c>
      <c r="E69" s="60">
        <v>0.55700000000000005</v>
      </c>
    </row>
    <row r="70" spans="1:5">
      <c r="A70" s="46"/>
      <c r="B70" s="140"/>
      <c r="C70" s="140"/>
      <c r="D70" s="140"/>
      <c r="E70" s="139"/>
    </row>
    <row r="71" spans="1:5">
      <c r="A71" s="204" t="s">
        <v>5</v>
      </c>
      <c r="B71" s="218">
        <f>SUM(B72:B85)</f>
        <v>169744</v>
      </c>
      <c r="C71" s="218">
        <f>SUM(C72:C85)</f>
        <v>32630</v>
      </c>
      <c r="D71" s="218">
        <f>SUM(D72:D85)</f>
        <v>137114</v>
      </c>
      <c r="E71" s="219">
        <v>0.45200000000000001</v>
      </c>
    </row>
    <row r="72" spans="1:5">
      <c r="A72" s="46" t="s">
        <v>517</v>
      </c>
      <c r="B72" s="57">
        <f>SUM(C72:D72)</f>
        <v>26052</v>
      </c>
      <c r="C72" s="58">
        <v>3415</v>
      </c>
      <c r="D72" s="59">
        <v>22637</v>
      </c>
      <c r="E72" s="60">
        <v>0.73399999999999999</v>
      </c>
    </row>
    <row r="73" spans="1:5">
      <c r="A73" s="46" t="s">
        <v>518</v>
      </c>
      <c r="B73" s="57">
        <f t="shared" ref="B73:B85" si="4">SUM(C73:D73)</f>
        <v>14518</v>
      </c>
      <c r="C73" s="58">
        <v>2668</v>
      </c>
      <c r="D73" s="59">
        <v>11850</v>
      </c>
      <c r="E73" s="60">
        <v>0.45400000000000001</v>
      </c>
    </row>
    <row r="74" spans="1:5">
      <c r="A74" s="46" t="s">
        <v>519</v>
      </c>
      <c r="B74" s="57">
        <f t="shared" si="4"/>
        <v>8920</v>
      </c>
      <c r="C74" s="58">
        <v>1433</v>
      </c>
      <c r="D74" s="59">
        <v>7487</v>
      </c>
      <c r="E74" s="60">
        <v>0.30499999999999999</v>
      </c>
    </row>
    <row r="75" spans="1:5">
      <c r="A75" s="46" t="s">
        <v>520</v>
      </c>
      <c r="B75" s="57">
        <f t="shared" si="4"/>
        <v>11224</v>
      </c>
      <c r="C75" s="58">
        <v>1528</v>
      </c>
      <c r="D75" s="59">
        <v>9696</v>
      </c>
      <c r="E75" s="60">
        <v>0.34599999999999997</v>
      </c>
    </row>
    <row r="76" spans="1:5">
      <c r="A76" s="46" t="s">
        <v>521</v>
      </c>
      <c r="B76" s="57">
        <f t="shared" si="4"/>
        <v>11692</v>
      </c>
      <c r="C76" s="58">
        <v>1837</v>
      </c>
      <c r="D76" s="59">
        <v>9855</v>
      </c>
      <c r="E76" s="60">
        <v>0.36799999999999999</v>
      </c>
    </row>
    <row r="77" spans="1:5">
      <c r="A77" s="46" t="s">
        <v>522</v>
      </c>
      <c r="B77" s="57">
        <f t="shared" si="4"/>
        <v>12556</v>
      </c>
      <c r="C77" s="58">
        <v>2726</v>
      </c>
      <c r="D77" s="59">
        <v>9830</v>
      </c>
      <c r="E77" s="60">
        <v>0.41899999999999998</v>
      </c>
    </row>
    <row r="78" spans="1:5">
      <c r="A78" s="49"/>
      <c r="B78" s="57"/>
      <c r="C78" s="58"/>
      <c r="D78" s="59"/>
      <c r="E78" s="60"/>
    </row>
    <row r="79" spans="1:5">
      <c r="A79" s="204">
        <v>2004</v>
      </c>
      <c r="B79" s="57"/>
      <c r="C79" s="58"/>
      <c r="D79" s="59"/>
      <c r="E79" s="60"/>
    </row>
    <row r="80" spans="1:5">
      <c r="A80" s="46" t="s">
        <v>523</v>
      </c>
      <c r="B80" s="57">
        <f t="shared" si="4"/>
        <v>13555</v>
      </c>
      <c r="C80" s="58">
        <v>3893</v>
      </c>
      <c r="D80" s="59">
        <v>9662</v>
      </c>
      <c r="E80" s="60">
        <v>0.432</v>
      </c>
    </row>
    <row r="81" spans="1:5">
      <c r="A81" s="46" t="s">
        <v>524</v>
      </c>
      <c r="B81" s="57">
        <f t="shared" si="4"/>
        <v>12864</v>
      </c>
      <c r="C81" s="58">
        <v>3961</v>
      </c>
      <c r="D81" s="59">
        <v>8903</v>
      </c>
      <c r="E81" s="60">
        <v>0.46100000000000002</v>
      </c>
    </row>
    <row r="82" spans="1:5">
      <c r="A82" s="46" t="s">
        <v>525</v>
      </c>
      <c r="B82" s="57">
        <f t="shared" si="4"/>
        <v>13073</v>
      </c>
      <c r="C82" s="58">
        <v>3609</v>
      </c>
      <c r="D82" s="59">
        <v>9464</v>
      </c>
      <c r="E82" s="60">
        <v>0.43</v>
      </c>
    </row>
    <row r="83" spans="1:5">
      <c r="A83" s="46" t="s">
        <v>526</v>
      </c>
      <c r="B83" s="57">
        <f t="shared" si="4"/>
        <v>15069</v>
      </c>
      <c r="C83" s="58">
        <v>2867</v>
      </c>
      <c r="D83" s="59">
        <v>12202</v>
      </c>
      <c r="E83" s="60">
        <v>0.50700000000000001</v>
      </c>
    </row>
    <row r="84" spans="1:5">
      <c r="A84" s="46" t="s">
        <v>527</v>
      </c>
      <c r="B84" s="57">
        <f t="shared" si="4"/>
        <v>12721</v>
      </c>
      <c r="C84" s="58">
        <v>2205</v>
      </c>
      <c r="D84" s="59">
        <v>10516</v>
      </c>
      <c r="E84" s="60">
        <v>0.40100000000000002</v>
      </c>
    </row>
    <row r="85" spans="1:5">
      <c r="A85" s="46" t="s">
        <v>528</v>
      </c>
      <c r="B85" s="57">
        <f t="shared" si="4"/>
        <v>17500</v>
      </c>
      <c r="C85" s="58">
        <v>2488</v>
      </c>
      <c r="D85" s="59">
        <v>15012</v>
      </c>
      <c r="E85" s="60">
        <v>0.53200000000000003</v>
      </c>
    </row>
    <row r="86" spans="1:5">
      <c r="A86" s="46"/>
      <c r="B86" s="140"/>
      <c r="C86" s="140"/>
      <c r="D86" s="140"/>
      <c r="E86" s="139"/>
    </row>
    <row r="87" spans="1:5">
      <c r="A87" s="204" t="s">
        <v>363</v>
      </c>
      <c r="B87" s="218">
        <f>SUM(B88:B101)</f>
        <v>167403</v>
      </c>
      <c r="C87" s="218">
        <f>SUM(C88:C101)</f>
        <v>30430</v>
      </c>
      <c r="D87" s="218">
        <f>SUM(D88:D101)</f>
        <v>136973</v>
      </c>
      <c r="E87" s="219">
        <v>0.443</v>
      </c>
    </row>
    <row r="88" spans="1:5">
      <c r="A88" s="46" t="s">
        <v>517</v>
      </c>
      <c r="B88" s="57">
        <f>SUM(C88:D88)</f>
        <v>24350</v>
      </c>
      <c r="C88" s="58">
        <v>2700</v>
      </c>
      <c r="D88" s="59">
        <v>21650</v>
      </c>
      <c r="E88" s="60">
        <v>0.747</v>
      </c>
    </row>
    <row r="89" spans="1:5">
      <c r="A89" s="46" t="s">
        <v>518</v>
      </c>
      <c r="B89" s="57">
        <f t="shared" ref="B89:B101" si="5">SUM(C89:D89)</f>
        <v>13803</v>
      </c>
      <c r="C89" s="58">
        <v>2931</v>
      </c>
      <c r="D89" s="59">
        <v>10872</v>
      </c>
      <c r="E89" s="60">
        <v>0.41199999999999998</v>
      </c>
    </row>
    <row r="90" spans="1:5">
      <c r="A90" s="46" t="s">
        <v>519</v>
      </c>
      <c r="B90" s="57">
        <f t="shared" si="5"/>
        <v>8959</v>
      </c>
      <c r="C90" s="58">
        <v>1253</v>
      </c>
      <c r="D90" s="59">
        <v>7706</v>
      </c>
      <c r="E90" s="60">
        <v>0.30599999999999999</v>
      </c>
    </row>
    <row r="91" spans="1:5">
      <c r="A91" s="46" t="s">
        <v>520</v>
      </c>
      <c r="B91" s="57">
        <f t="shared" si="5"/>
        <v>11234</v>
      </c>
      <c r="C91" s="58">
        <v>1557</v>
      </c>
      <c r="D91" s="59">
        <v>9677</v>
      </c>
      <c r="E91" s="60">
        <v>0.35399999999999998</v>
      </c>
    </row>
    <row r="92" spans="1:5">
      <c r="A92" s="46" t="s">
        <v>521</v>
      </c>
      <c r="B92" s="57">
        <f t="shared" si="5"/>
        <v>11556</v>
      </c>
      <c r="C92" s="58">
        <v>2056</v>
      </c>
      <c r="D92" s="59">
        <v>9500</v>
      </c>
      <c r="E92" s="60">
        <v>0.36499999999999999</v>
      </c>
    </row>
    <row r="93" spans="1:5">
      <c r="A93" s="46" t="s">
        <v>522</v>
      </c>
      <c r="B93" s="57">
        <f t="shared" si="5"/>
        <v>13366</v>
      </c>
      <c r="C93" s="58">
        <v>2910</v>
      </c>
      <c r="D93" s="59">
        <v>10456</v>
      </c>
      <c r="E93" s="60">
        <v>0.41299999999999998</v>
      </c>
    </row>
    <row r="94" spans="1:5">
      <c r="A94" s="49"/>
      <c r="B94" s="57"/>
      <c r="C94" s="58"/>
      <c r="D94" s="59"/>
      <c r="E94" s="60"/>
    </row>
    <row r="95" spans="1:5">
      <c r="A95" s="204">
        <v>2005</v>
      </c>
      <c r="B95" s="57"/>
      <c r="C95" s="58"/>
      <c r="D95" s="59"/>
      <c r="E95" s="60"/>
    </row>
    <row r="96" spans="1:5">
      <c r="A96" s="46" t="s">
        <v>523</v>
      </c>
      <c r="B96" s="57">
        <f t="shared" si="5"/>
        <v>12559</v>
      </c>
      <c r="C96" s="58">
        <v>3338</v>
      </c>
      <c r="D96" s="59">
        <v>9221</v>
      </c>
      <c r="E96" s="60">
        <v>0.40699999999999997</v>
      </c>
    </row>
    <row r="97" spans="1:5">
      <c r="A97" s="46" t="s">
        <v>524</v>
      </c>
      <c r="B97" s="57">
        <f t="shared" si="5"/>
        <v>11958</v>
      </c>
      <c r="C97" s="58">
        <v>3322</v>
      </c>
      <c r="D97" s="59">
        <v>8636</v>
      </c>
      <c r="E97" s="60">
        <v>0.44900000000000001</v>
      </c>
    </row>
    <row r="98" spans="1:5">
      <c r="A98" s="46" t="s">
        <v>525</v>
      </c>
      <c r="B98" s="57">
        <f t="shared" si="5"/>
        <v>15954</v>
      </c>
      <c r="C98" s="58">
        <v>3624</v>
      </c>
      <c r="D98" s="59">
        <v>12330</v>
      </c>
      <c r="E98" s="60">
        <v>0.48499999999999999</v>
      </c>
    </row>
    <row r="99" spans="1:5">
      <c r="A99" s="46" t="s">
        <v>526</v>
      </c>
      <c r="B99" s="57">
        <f t="shared" si="5"/>
        <v>12646</v>
      </c>
      <c r="C99" s="58">
        <v>2522</v>
      </c>
      <c r="D99" s="59">
        <v>10124</v>
      </c>
      <c r="E99" s="60">
        <v>0.42399999999999999</v>
      </c>
    </row>
    <row r="100" spans="1:5">
      <c r="A100" s="46" t="s">
        <v>527</v>
      </c>
      <c r="B100" s="57">
        <f t="shared" si="5"/>
        <v>12790</v>
      </c>
      <c r="C100" s="58">
        <v>1856</v>
      </c>
      <c r="D100" s="59">
        <v>10934</v>
      </c>
      <c r="E100" s="60">
        <v>0.38</v>
      </c>
    </row>
    <row r="101" spans="1:5">
      <c r="A101" s="46" t="s">
        <v>528</v>
      </c>
      <c r="B101" s="57">
        <f t="shared" si="5"/>
        <v>18228</v>
      </c>
      <c r="C101" s="58">
        <v>2361</v>
      </c>
      <c r="D101" s="59">
        <v>15867</v>
      </c>
      <c r="E101" s="60">
        <v>0.55700000000000005</v>
      </c>
    </row>
    <row r="102" spans="1:5">
      <c r="A102" s="46"/>
      <c r="B102" s="140"/>
      <c r="C102" s="140"/>
      <c r="D102" s="140"/>
      <c r="E102" s="139"/>
    </row>
    <row r="103" spans="1:5">
      <c r="A103" s="204" t="s">
        <v>7</v>
      </c>
      <c r="B103" s="218">
        <f>SUM(B104:B117)</f>
        <v>142164</v>
      </c>
      <c r="C103" s="218">
        <f>SUM(C104:C117)</f>
        <v>26186</v>
      </c>
      <c r="D103" s="218">
        <f>SUM(D104:D117)</f>
        <v>115978</v>
      </c>
      <c r="E103" s="219">
        <v>0.41399999999999998</v>
      </c>
    </row>
    <row r="104" spans="1:5">
      <c r="A104" s="46" t="s">
        <v>517</v>
      </c>
      <c r="B104" s="57">
        <f>SUM(C104:D104)</f>
        <v>23842</v>
      </c>
      <c r="C104" s="58">
        <v>2233</v>
      </c>
      <c r="D104" s="59">
        <v>21609</v>
      </c>
      <c r="E104" s="60">
        <v>0.74</v>
      </c>
    </row>
    <row r="105" spans="1:5">
      <c r="A105" s="46" t="s">
        <v>518</v>
      </c>
      <c r="B105" s="57">
        <f t="shared" ref="B105:B117" si="6">SUM(C105:D105)</f>
        <v>10831</v>
      </c>
      <c r="C105" s="58">
        <v>2310</v>
      </c>
      <c r="D105" s="59">
        <v>8521</v>
      </c>
      <c r="E105" s="60">
        <v>0.38200000000000001</v>
      </c>
    </row>
    <row r="106" spans="1:5">
      <c r="A106" s="46" t="s">
        <v>519</v>
      </c>
      <c r="B106" s="57">
        <f t="shared" si="6"/>
        <v>8025</v>
      </c>
      <c r="C106" s="58">
        <v>1525</v>
      </c>
      <c r="D106" s="59">
        <v>6500</v>
      </c>
      <c r="E106" s="60">
        <v>0.316</v>
      </c>
    </row>
    <row r="107" spans="1:5">
      <c r="A107" s="46" t="s">
        <v>520</v>
      </c>
      <c r="B107" s="57">
        <f t="shared" si="6"/>
        <v>7809</v>
      </c>
      <c r="C107" s="58">
        <v>1051</v>
      </c>
      <c r="D107" s="59">
        <v>6758</v>
      </c>
      <c r="E107" s="60">
        <v>0.29899999999999999</v>
      </c>
    </row>
    <row r="108" spans="1:5">
      <c r="A108" s="46" t="s">
        <v>521</v>
      </c>
      <c r="B108" s="57">
        <f t="shared" si="6"/>
        <v>9677</v>
      </c>
      <c r="C108" s="58">
        <v>1613</v>
      </c>
      <c r="D108" s="59">
        <v>8064</v>
      </c>
      <c r="E108" s="60">
        <v>0.34799999999999998</v>
      </c>
    </row>
    <row r="109" spans="1:5">
      <c r="A109" s="46" t="s">
        <v>522</v>
      </c>
      <c r="B109" s="57">
        <f t="shared" si="6"/>
        <v>10172</v>
      </c>
      <c r="C109" s="58">
        <v>2002</v>
      </c>
      <c r="D109" s="59">
        <v>8170</v>
      </c>
      <c r="E109" s="60">
        <v>0.35899999999999999</v>
      </c>
    </row>
    <row r="110" spans="1:5">
      <c r="A110" s="49"/>
      <c r="B110" s="57"/>
      <c r="C110" s="58"/>
      <c r="D110" s="59"/>
      <c r="E110" s="60"/>
    </row>
    <row r="111" spans="1:5">
      <c r="A111" s="204">
        <v>2006</v>
      </c>
      <c r="B111" s="57"/>
      <c r="C111" s="58"/>
      <c r="D111" s="59"/>
      <c r="E111" s="60"/>
    </row>
    <row r="112" spans="1:5">
      <c r="A112" s="46" t="s">
        <v>523</v>
      </c>
      <c r="B112" s="57">
        <f t="shared" si="6"/>
        <v>10312</v>
      </c>
      <c r="C112" s="58">
        <v>2865</v>
      </c>
      <c r="D112" s="59">
        <v>7447</v>
      </c>
      <c r="E112" s="60">
        <v>0.36599999999999999</v>
      </c>
    </row>
    <row r="113" spans="1:5">
      <c r="A113" s="46" t="s">
        <v>524</v>
      </c>
      <c r="B113" s="57">
        <f t="shared" si="6"/>
        <v>11202</v>
      </c>
      <c r="C113" s="58">
        <v>4008</v>
      </c>
      <c r="D113" s="59">
        <v>7194</v>
      </c>
      <c r="E113" s="60">
        <v>0.41499999999999998</v>
      </c>
    </row>
    <row r="114" spans="1:5">
      <c r="A114" s="46" t="s">
        <v>525</v>
      </c>
      <c r="B114" s="57">
        <f t="shared" si="6"/>
        <v>11828</v>
      </c>
      <c r="C114" s="58">
        <v>3158</v>
      </c>
      <c r="D114" s="59">
        <v>8670</v>
      </c>
      <c r="E114" s="60">
        <v>0.371</v>
      </c>
    </row>
    <row r="115" spans="1:5">
      <c r="A115" s="46" t="s">
        <v>526</v>
      </c>
      <c r="B115" s="57">
        <f t="shared" si="6"/>
        <v>12797</v>
      </c>
      <c r="C115" s="58">
        <v>2024</v>
      </c>
      <c r="D115" s="59">
        <v>10773</v>
      </c>
      <c r="E115" s="60">
        <v>0.46500000000000002</v>
      </c>
    </row>
    <row r="116" spans="1:5">
      <c r="A116" s="46" t="s">
        <v>527</v>
      </c>
      <c r="B116" s="57">
        <f t="shared" si="6"/>
        <v>10284</v>
      </c>
      <c r="C116" s="58">
        <v>1656</v>
      </c>
      <c r="D116" s="59">
        <v>8628</v>
      </c>
      <c r="E116" s="60">
        <v>0.35499999999999998</v>
      </c>
    </row>
    <row r="117" spans="1:5">
      <c r="A117" s="46" t="s">
        <v>528</v>
      </c>
      <c r="B117" s="57">
        <f t="shared" si="6"/>
        <v>15385</v>
      </c>
      <c r="C117" s="58">
        <v>1741</v>
      </c>
      <c r="D117" s="59">
        <v>13644</v>
      </c>
      <c r="E117" s="60">
        <v>0.52800000000000002</v>
      </c>
    </row>
    <row r="118" spans="1:5">
      <c r="A118" s="46"/>
      <c r="B118" s="140"/>
      <c r="C118" s="140"/>
      <c r="D118" s="140"/>
      <c r="E118" s="139"/>
    </row>
    <row r="119" spans="1:5">
      <c r="A119" s="204" t="s">
        <v>8</v>
      </c>
      <c r="B119" s="218">
        <f>SUM(B120:B133)</f>
        <v>141463</v>
      </c>
      <c r="C119" s="218">
        <f>SUM(C120:C133)</f>
        <v>27810</v>
      </c>
      <c r="D119" s="218">
        <f>SUM(D120:D133)</f>
        <v>113653</v>
      </c>
      <c r="E119" s="219">
        <v>0.42399999999999999</v>
      </c>
    </row>
    <row r="120" spans="1:5">
      <c r="A120" s="46" t="s">
        <v>517</v>
      </c>
      <c r="B120" s="57">
        <f>SUM(C120:D120)</f>
        <v>22545</v>
      </c>
      <c r="C120" s="58">
        <v>1952</v>
      </c>
      <c r="D120" s="59">
        <v>20593</v>
      </c>
      <c r="E120" s="60">
        <v>0.77500000000000002</v>
      </c>
    </row>
    <row r="121" spans="1:5">
      <c r="A121" s="46" t="s">
        <v>518</v>
      </c>
      <c r="B121" s="57">
        <f t="shared" ref="B121:B133" si="7">SUM(C121:D121)</f>
        <v>10606</v>
      </c>
      <c r="C121" s="58">
        <v>2028</v>
      </c>
      <c r="D121" s="59">
        <v>8578</v>
      </c>
      <c r="E121" s="60">
        <v>0.379</v>
      </c>
    </row>
    <row r="122" spans="1:5">
      <c r="A122" s="46" t="s">
        <v>519</v>
      </c>
      <c r="B122" s="57">
        <f t="shared" si="7"/>
        <v>8829</v>
      </c>
      <c r="C122" s="58">
        <v>1243</v>
      </c>
      <c r="D122" s="59">
        <v>7586</v>
      </c>
      <c r="E122" s="60">
        <v>0.35199999999999998</v>
      </c>
    </row>
    <row r="123" spans="1:5">
      <c r="A123" s="46" t="s">
        <v>520</v>
      </c>
      <c r="B123" s="57">
        <f t="shared" si="7"/>
        <v>8226</v>
      </c>
      <c r="C123" s="58">
        <v>1101</v>
      </c>
      <c r="D123" s="59">
        <v>7125</v>
      </c>
      <c r="E123" s="60">
        <v>0.29799999999999999</v>
      </c>
    </row>
    <row r="124" spans="1:5">
      <c r="A124" s="46" t="s">
        <v>521</v>
      </c>
      <c r="B124" s="57">
        <f t="shared" si="7"/>
        <v>9367</v>
      </c>
      <c r="C124" s="58">
        <v>1725</v>
      </c>
      <c r="D124" s="59">
        <v>7642</v>
      </c>
      <c r="E124" s="60">
        <v>0.36799999999999999</v>
      </c>
    </row>
    <row r="125" spans="1:5">
      <c r="A125" s="46" t="s">
        <v>522</v>
      </c>
      <c r="B125" s="57">
        <f t="shared" si="7"/>
        <v>11031</v>
      </c>
      <c r="C125" s="58">
        <v>2771</v>
      </c>
      <c r="D125" s="59">
        <v>8260</v>
      </c>
      <c r="E125" s="60">
        <v>0.38400000000000001</v>
      </c>
    </row>
    <row r="126" spans="1:5">
      <c r="A126" s="49"/>
      <c r="B126" s="57"/>
      <c r="C126" s="58"/>
      <c r="D126" s="59"/>
      <c r="E126" s="60"/>
    </row>
    <row r="127" spans="1:5">
      <c r="A127" s="204">
        <v>2007</v>
      </c>
      <c r="B127" s="57"/>
      <c r="C127" s="58"/>
      <c r="D127" s="59"/>
      <c r="E127" s="60"/>
    </row>
    <row r="128" spans="1:5">
      <c r="A128" s="46" t="s">
        <v>523</v>
      </c>
      <c r="B128" s="57">
        <f t="shared" si="7"/>
        <v>10378</v>
      </c>
      <c r="C128" s="58">
        <v>2917</v>
      </c>
      <c r="D128" s="59">
        <v>7461</v>
      </c>
      <c r="E128" s="60">
        <v>0.38</v>
      </c>
    </row>
    <row r="129" spans="1:5">
      <c r="A129" s="46" t="s">
        <v>524</v>
      </c>
      <c r="B129" s="57">
        <f t="shared" si="7"/>
        <v>10720</v>
      </c>
      <c r="C129" s="58">
        <v>4073</v>
      </c>
      <c r="D129" s="59">
        <v>6647</v>
      </c>
      <c r="E129" s="60">
        <v>0.41099999999999998</v>
      </c>
    </row>
    <row r="130" spans="1:5">
      <c r="A130" s="46" t="s">
        <v>525</v>
      </c>
      <c r="B130" s="57">
        <f t="shared" si="7"/>
        <v>11598</v>
      </c>
      <c r="C130" s="58">
        <v>3542</v>
      </c>
      <c r="D130" s="59">
        <v>8056</v>
      </c>
      <c r="E130" s="60">
        <v>0.40100000000000002</v>
      </c>
    </row>
    <row r="131" spans="1:5">
      <c r="A131" s="46" t="s">
        <v>526</v>
      </c>
      <c r="B131" s="57">
        <f t="shared" si="7"/>
        <v>12387</v>
      </c>
      <c r="C131" s="58">
        <v>2533</v>
      </c>
      <c r="D131" s="59">
        <v>9854</v>
      </c>
      <c r="E131" s="60">
        <v>0.46100000000000002</v>
      </c>
    </row>
    <row r="132" spans="1:5">
      <c r="A132" s="46" t="s">
        <v>527</v>
      </c>
      <c r="B132" s="57">
        <f t="shared" si="7"/>
        <v>9793</v>
      </c>
      <c r="C132" s="58">
        <v>1780</v>
      </c>
      <c r="D132" s="59">
        <v>8013</v>
      </c>
      <c r="E132" s="60">
        <v>0.33600000000000002</v>
      </c>
    </row>
    <row r="133" spans="1:5">
      <c r="A133" s="46" t="s">
        <v>528</v>
      </c>
      <c r="B133" s="57">
        <f t="shared" si="7"/>
        <v>15983</v>
      </c>
      <c r="C133" s="58">
        <v>2145</v>
      </c>
      <c r="D133" s="59">
        <v>13838</v>
      </c>
      <c r="E133" s="60">
        <v>0.52900000000000003</v>
      </c>
    </row>
    <row r="134" spans="1:5">
      <c r="A134" s="159"/>
      <c r="B134" s="143"/>
      <c r="C134" s="143"/>
      <c r="D134" s="143"/>
      <c r="E134" s="144"/>
    </row>
    <row r="135" spans="1:5">
      <c r="A135" s="204" t="s">
        <v>366</v>
      </c>
      <c r="B135" s="218">
        <f>SUM(B136:B149)</f>
        <v>131517</v>
      </c>
      <c r="C135" s="218">
        <f>SUM(C136:C149)</f>
        <v>26772</v>
      </c>
      <c r="D135" s="218">
        <f>SUM(D136:D149)</f>
        <v>104745</v>
      </c>
      <c r="E135" s="219">
        <v>0.40600000000000003</v>
      </c>
    </row>
    <row r="136" spans="1:5">
      <c r="A136" s="46" t="s">
        <v>517</v>
      </c>
      <c r="B136" s="57">
        <f t="shared" ref="B136:B141" si="8">SUM(C136:D136)</f>
        <v>22462</v>
      </c>
      <c r="C136" s="57">
        <v>2517</v>
      </c>
      <c r="D136" s="58">
        <v>19945</v>
      </c>
      <c r="E136" s="60">
        <v>0.70799999999999996</v>
      </c>
    </row>
    <row r="137" spans="1:5">
      <c r="A137" s="46" t="s">
        <v>518</v>
      </c>
      <c r="B137" s="57">
        <f t="shared" si="8"/>
        <v>10577</v>
      </c>
      <c r="C137" s="58">
        <v>2268</v>
      </c>
      <c r="D137" s="59">
        <v>8309</v>
      </c>
      <c r="E137" s="60">
        <v>0.36599999999999999</v>
      </c>
    </row>
    <row r="138" spans="1:5">
      <c r="A138" s="46" t="s">
        <v>519</v>
      </c>
      <c r="B138" s="57">
        <f t="shared" si="8"/>
        <v>7646</v>
      </c>
      <c r="C138" s="58">
        <v>952</v>
      </c>
      <c r="D138" s="59">
        <v>6694</v>
      </c>
      <c r="E138" s="60">
        <v>0.314</v>
      </c>
    </row>
    <row r="139" spans="1:5">
      <c r="A139" s="46" t="s">
        <v>520</v>
      </c>
      <c r="B139" s="57">
        <f t="shared" si="8"/>
        <v>7675</v>
      </c>
      <c r="C139" s="145">
        <v>1125</v>
      </c>
      <c r="D139" s="145">
        <v>6550</v>
      </c>
      <c r="E139" s="146">
        <v>0.30144012625764449</v>
      </c>
    </row>
    <row r="140" spans="1:5">
      <c r="A140" s="46" t="s">
        <v>521</v>
      </c>
      <c r="B140" s="57">
        <f t="shared" si="8"/>
        <v>9284</v>
      </c>
      <c r="C140" s="145">
        <v>1735</v>
      </c>
      <c r="D140" s="145">
        <v>7549</v>
      </c>
      <c r="E140" s="146">
        <v>0.33994719577566207</v>
      </c>
    </row>
    <row r="141" spans="1:5">
      <c r="A141" s="46" t="s">
        <v>522</v>
      </c>
      <c r="B141" s="57">
        <f t="shared" si="8"/>
        <v>9828</v>
      </c>
      <c r="C141" s="145">
        <v>2630</v>
      </c>
      <c r="D141" s="145">
        <v>7198</v>
      </c>
      <c r="E141" s="146">
        <v>0.37075497096265531</v>
      </c>
    </row>
    <row r="142" spans="1:5">
      <c r="A142" s="49"/>
      <c r="B142" s="57"/>
      <c r="C142" s="58"/>
      <c r="D142" s="59"/>
      <c r="E142" s="60"/>
    </row>
    <row r="143" spans="1:5">
      <c r="A143" s="204">
        <v>2008</v>
      </c>
      <c r="B143" s="57"/>
      <c r="C143" s="58"/>
      <c r="D143" s="59"/>
      <c r="E143" s="60"/>
    </row>
    <row r="144" spans="1:5">
      <c r="A144" s="46" t="s">
        <v>523</v>
      </c>
      <c r="B144" s="57">
        <f t="shared" ref="B144:B149" si="9">SUM(C144:D144)</f>
        <v>8483</v>
      </c>
      <c r="C144" s="58">
        <v>2861</v>
      </c>
      <c r="D144" s="59">
        <v>5622</v>
      </c>
      <c r="E144" s="60">
        <v>0.33</v>
      </c>
    </row>
    <row r="145" spans="1:5">
      <c r="A145" s="46" t="s">
        <v>524</v>
      </c>
      <c r="B145" s="57">
        <f t="shared" si="9"/>
        <v>9492</v>
      </c>
      <c r="C145" s="58">
        <v>3447</v>
      </c>
      <c r="D145" s="59">
        <v>6045</v>
      </c>
      <c r="E145" s="60">
        <v>0.41899999999999998</v>
      </c>
    </row>
    <row r="146" spans="1:5">
      <c r="A146" s="46" t="s">
        <v>525</v>
      </c>
      <c r="B146" s="57">
        <f t="shared" si="9"/>
        <v>11970</v>
      </c>
      <c r="C146" s="58">
        <v>3179</v>
      </c>
      <c r="D146" s="59">
        <v>8791</v>
      </c>
      <c r="E146" s="60">
        <v>0.44400000000000001</v>
      </c>
    </row>
    <row r="147" spans="1:5">
      <c r="A147" s="46" t="s">
        <v>526</v>
      </c>
      <c r="B147" s="57">
        <f>SUM(C147:D147)</f>
        <v>8759</v>
      </c>
      <c r="C147" s="58">
        <v>2176</v>
      </c>
      <c r="D147" s="59">
        <v>6583</v>
      </c>
      <c r="E147" s="60">
        <v>0.36199999999999999</v>
      </c>
    </row>
    <row r="148" spans="1:5">
      <c r="A148" s="46" t="s">
        <v>527</v>
      </c>
      <c r="B148" s="57">
        <f t="shared" si="9"/>
        <v>10523</v>
      </c>
      <c r="C148" s="58">
        <v>1843</v>
      </c>
      <c r="D148" s="59">
        <v>8680</v>
      </c>
      <c r="E148" s="60">
        <v>0.371</v>
      </c>
    </row>
    <row r="149" spans="1:5">
      <c r="A149" s="46" t="s">
        <v>528</v>
      </c>
      <c r="B149" s="57">
        <f t="shared" si="9"/>
        <v>14818</v>
      </c>
      <c r="C149" s="147">
        <v>2039</v>
      </c>
      <c r="D149" s="147">
        <v>12779</v>
      </c>
      <c r="E149" s="148">
        <v>0.51026264397592758</v>
      </c>
    </row>
    <row r="150" spans="1:5">
      <c r="A150" s="159"/>
      <c r="B150" s="143"/>
      <c r="C150" s="143"/>
      <c r="D150" s="143"/>
      <c r="E150" s="144"/>
    </row>
    <row r="151" spans="1:5">
      <c r="A151" s="204" t="s">
        <v>367</v>
      </c>
      <c r="B151" s="218">
        <f>SUM(B152:B165)</f>
        <v>120254</v>
      </c>
      <c r="C151" s="218">
        <f>SUM(C152:C165)</f>
        <v>24026</v>
      </c>
      <c r="D151" s="218">
        <f>SUM(D152:D165)</f>
        <v>96228</v>
      </c>
      <c r="E151" s="217">
        <v>0.35886733856211739</v>
      </c>
    </row>
    <row r="152" spans="1:5">
      <c r="A152" s="46" t="s">
        <v>517</v>
      </c>
      <c r="B152" s="135">
        <v>20571</v>
      </c>
      <c r="C152" s="135">
        <v>2294</v>
      </c>
      <c r="D152" s="135">
        <v>18277</v>
      </c>
      <c r="E152" s="136">
        <v>0.69804896710022957</v>
      </c>
    </row>
    <row r="153" spans="1:5">
      <c r="A153" s="46" t="s">
        <v>518</v>
      </c>
      <c r="B153" s="135">
        <v>11134</v>
      </c>
      <c r="C153" s="135">
        <v>2329</v>
      </c>
      <c r="D153" s="135">
        <v>8805</v>
      </c>
      <c r="E153" s="136">
        <v>0.39504497518610421</v>
      </c>
    </row>
    <row r="154" spans="1:5">
      <c r="A154" s="46" t="s">
        <v>519</v>
      </c>
      <c r="B154" s="135">
        <v>6034</v>
      </c>
      <c r="C154" s="135">
        <v>1091</v>
      </c>
      <c r="D154" s="135">
        <v>4943</v>
      </c>
      <c r="E154" s="136">
        <v>0.23013631339801055</v>
      </c>
    </row>
    <row r="155" spans="1:5">
      <c r="A155" s="46" t="s">
        <v>520</v>
      </c>
      <c r="B155" s="135">
        <v>6571</v>
      </c>
      <c r="C155" s="135">
        <v>1130</v>
      </c>
      <c r="D155" s="135">
        <v>5441</v>
      </c>
      <c r="E155" s="136">
        <v>0.24488198222883314</v>
      </c>
    </row>
    <row r="156" spans="1:5">
      <c r="A156" s="46" t="s">
        <v>521</v>
      </c>
      <c r="B156" s="135">
        <v>7338</v>
      </c>
      <c r="C156" s="135">
        <v>1531</v>
      </c>
      <c r="D156" s="135">
        <v>5807</v>
      </c>
      <c r="E156" s="136">
        <v>0.28357080315211336</v>
      </c>
    </row>
    <row r="157" spans="1:5">
      <c r="A157" s="46" t="s">
        <v>522</v>
      </c>
      <c r="B157" s="135">
        <v>8287</v>
      </c>
      <c r="C157" s="135">
        <v>2013</v>
      </c>
      <c r="D157" s="135">
        <v>6274</v>
      </c>
      <c r="E157" s="136">
        <v>0.28893878973247128</v>
      </c>
    </row>
    <row r="158" spans="1:5">
      <c r="A158" s="49"/>
      <c r="B158" s="149"/>
      <c r="C158" s="143"/>
      <c r="D158" s="143"/>
      <c r="E158" s="144"/>
    </row>
    <row r="159" spans="1:5">
      <c r="A159" s="204">
        <v>2009</v>
      </c>
      <c r="B159" s="149"/>
      <c r="C159" s="143"/>
      <c r="D159" s="143"/>
      <c r="E159" s="144"/>
    </row>
    <row r="160" spans="1:5">
      <c r="A160" s="46" t="s">
        <v>523</v>
      </c>
      <c r="B160" s="135">
        <v>8109</v>
      </c>
      <c r="C160" s="135">
        <v>2494</v>
      </c>
      <c r="D160" s="135">
        <v>5615</v>
      </c>
      <c r="E160" s="136">
        <v>0.28421052631578947</v>
      </c>
    </row>
    <row r="161" spans="1:5">
      <c r="A161" s="46" t="s">
        <v>524</v>
      </c>
      <c r="B161" s="135">
        <v>7714</v>
      </c>
      <c r="C161" s="135">
        <v>2663</v>
      </c>
      <c r="D161" s="135">
        <v>5051</v>
      </c>
      <c r="E161" s="136">
        <v>0.37500561318424713</v>
      </c>
    </row>
    <row r="162" spans="1:5">
      <c r="A162" s="46" t="s">
        <v>525</v>
      </c>
      <c r="B162" s="135">
        <v>8176</v>
      </c>
      <c r="C162" s="135">
        <v>2783</v>
      </c>
      <c r="D162" s="135">
        <v>5393</v>
      </c>
      <c r="E162" s="136">
        <v>0.30710413463872482</v>
      </c>
    </row>
    <row r="163" spans="1:5">
      <c r="A163" s="46" t="s">
        <v>526</v>
      </c>
      <c r="B163" s="135">
        <v>10883</v>
      </c>
      <c r="C163" s="135">
        <v>2066</v>
      </c>
      <c r="D163" s="135">
        <v>8817</v>
      </c>
      <c r="E163" s="136">
        <v>0.39897195871118724</v>
      </c>
    </row>
    <row r="164" spans="1:5">
      <c r="A164" s="46" t="s">
        <v>527</v>
      </c>
      <c r="B164" s="135">
        <v>10366</v>
      </c>
      <c r="C164" s="135">
        <v>1777</v>
      </c>
      <c r="D164" s="135">
        <v>8589</v>
      </c>
      <c r="E164" s="136">
        <v>0.32535061701270646</v>
      </c>
    </row>
    <row r="165" spans="1:5">
      <c r="A165" s="46" t="s">
        <v>528</v>
      </c>
      <c r="B165" s="135">
        <v>15071</v>
      </c>
      <c r="C165" s="135">
        <v>1855</v>
      </c>
      <c r="D165" s="135">
        <v>13216</v>
      </c>
      <c r="E165" s="136">
        <v>0.46345621945212745</v>
      </c>
    </row>
    <row r="166" spans="1:5">
      <c r="A166" s="159"/>
      <c r="B166" s="159"/>
      <c r="C166" s="159"/>
      <c r="D166" s="159"/>
      <c r="E166" s="159"/>
    </row>
    <row r="167" spans="1:5">
      <c r="A167" s="159"/>
      <c r="B167" s="159"/>
      <c r="C167" s="159"/>
      <c r="D167" s="159"/>
      <c r="E167" s="159"/>
    </row>
    <row r="168" spans="1:5">
      <c r="A168" s="204" t="s">
        <v>11</v>
      </c>
      <c r="B168" s="218">
        <f>SUM(B169:B182)</f>
        <v>121569</v>
      </c>
      <c r="C168" s="218">
        <f>SUM(C169:C182)</f>
        <v>20573</v>
      </c>
      <c r="D168" s="218">
        <f>SUM(D169:D182)</f>
        <v>100996</v>
      </c>
      <c r="E168" s="216">
        <v>0.36898998631222535</v>
      </c>
    </row>
    <row r="169" spans="1:5">
      <c r="A169" s="137" t="s">
        <v>529</v>
      </c>
      <c r="B169" s="135">
        <v>22284</v>
      </c>
      <c r="C169" s="135">
        <v>2143</v>
      </c>
      <c r="D169" s="135">
        <v>20141</v>
      </c>
      <c r="E169" s="202">
        <v>0.64444606520312153</v>
      </c>
    </row>
    <row r="170" spans="1:5">
      <c r="A170" s="137" t="s">
        <v>530</v>
      </c>
      <c r="B170" s="135">
        <v>9913</v>
      </c>
      <c r="C170" s="135">
        <v>1623</v>
      </c>
      <c r="D170" s="135">
        <v>8290</v>
      </c>
      <c r="E170" s="202">
        <v>0.35708470799948583</v>
      </c>
    </row>
    <row r="171" spans="1:5">
      <c r="A171" s="137" t="s">
        <v>531</v>
      </c>
      <c r="B171" s="135">
        <v>7117</v>
      </c>
      <c r="C171" s="135">
        <v>735</v>
      </c>
      <c r="D171" s="135">
        <v>6382</v>
      </c>
      <c r="E171" s="202">
        <v>0.27287297983170827</v>
      </c>
    </row>
    <row r="172" spans="1:5">
      <c r="A172" s="137" t="s">
        <v>532</v>
      </c>
      <c r="B172" s="135">
        <v>8813</v>
      </c>
      <c r="C172" s="135">
        <v>950</v>
      </c>
      <c r="D172" s="135">
        <v>7863</v>
      </c>
      <c r="E172" s="202">
        <v>0.33144586124918957</v>
      </c>
    </row>
    <row r="173" spans="1:5">
      <c r="A173" s="137" t="s">
        <v>533</v>
      </c>
      <c r="B173" s="135">
        <v>6903</v>
      </c>
      <c r="C173" s="135">
        <v>1052</v>
      </c>
      <c r="D173" s="135">
        <v>5851</v>
      </c>
      <c r="E173" s="202">
        <v>0.27860202931228861</v>
      </c>
    </row>
    <row r="174" spans="1:5">
      <c r="A174" s="137" t="s">
        <v>534</v>
      </c>
      <c r="B174" s="135">
        <v>8865</v>
      </c>
      <c r="C174" s="135">
        <v>1987</v>
      </c>
      <c r="D174" s="135">
        <v>6878</v>
      </c>
      <c r="E174" s="202">
        <v>0.30058586918502972</v>
      </c>
    </row>
    <row r="175" spans="1:5">
      <c r="A175" s="137"/>
      <c r="B175" s="159"/>
      <c r="C175" s="159"/>
      <c r="D175" s="159"/>
      <c r="E175" s="159"/>
    </row>
    <row r="176" spans="1:5">
      <c r="A176" s="204">
        <v>2010</v>
      </c>
      <c r="B176" s="159"/>
      <c r="C176" s="159"/>
      <c r="D176" s="159"/>
      <c r="E176" s="159"/>
    </row>
    <row r="177" spans="1:5">
      <c r="A177" s="137" t="s">
        <v>535</v>
      </c>
      <c r="B177" s="135">
        <v>8045</v>
      </c>
      <c r="C177" s="135">
        <v>2401</v>
      </c>
      <c r="D177" s="135">
        <v>5644</v>
      </c>
      <c r="E177" s="202">
        <v>0.3128815891306217</v>
      </c>
    </row>
    <row r="178" spans="1:5">
      <c r="A178" s="137" t="s">
        <v>536</v>
      </c>
      <c r="B178" s="135">
        <v>7907</v>
      </c>
      <c r="C178" s="135">
        <v>2512</v>
      </c>
      <c r="D178" s="135">
        <v>5395</v>
      </c>
      <c r="E178" s="202">
        <v>0.35801993547455097</v>
      </c>
    </row>
    <row r="179" spans="1:5">
      <c r="A179" s="137" t="s">
        <v>537</v>
      </c>
      <c r="B179" s="135">
        <v>8966</v>
      </c>
      <c r="C179" s="135">
        <v>2343</v>
      </c>
      <c r="D179" s="135">
        <v>6623</v>
      </c>
      <c r="E179" s="202">
        <v>0.33784136371542878</v>
      </c>
    </row>
    <row r="180" spans="1:5">
      <c r="A180" s="137" t="s">
        <v>538</v>
      </c>
      <c r="B180" s="135">
        <v>10196</v>
      </c>
      <c r="C180" s="135">
        <v>1631</v>
      </c>
      <c r="D180" s="135">
        <v>8565</v>
      </c>
      <c r="E180" s="202">
        <v>0.40461282039731522</v>
      </c>
    </row>
    <row r="181" spans="1:5">
      <c r="A181" s="137" t="s">
        <v>539</v>
      </c>
      <c r="B181" s="135">
        <v>9609</v>
      </c>
      <c r="C181" s="135">
        <v>1419</v>
      </c>
      <c r="D181" s="135">
        <v>8190</v>
      </c>
      <c r="E181" s="202">
        <v>0.34141352598137348</v>
      </c>
    </row>
    <row r="182" spans="1:5">
      <c r="A182" s="137" t="s">
        <v>540</v>
      </c>
      <c r="B182" s="135">
        <v>12951</v>
      </c>
      <c r="C182" s="135">
        <v>1777</v>
      </c>
      <c r="D182" s="135">
        <v>11174</v>
      </c>
      <c r="E182" s="202">
        <v>0.42780414688983265</v>
      </c>
    </row>
    <row r="184" spans="1:5" s="154" customFormat="1" ht="15" customHeight="1">
      <c r="A184" s="204" t="s">
        <v>12</v>
      </c>
      <c r="B184" s="218">
        <f>SUM(B185:B198)</f>
        <v>112818</v>
      </c>
      <c r="C184" s="218">
        <f>SUM(C185:C198)</f>
        <v>20979</v>
      </c>
      <c r="D184" s="218">
        <f>SUM(D185:D198)</f>
        <v>91839</v>
      </c>
      <c r="E184" s="215">
        <v>0.34</v>
      </c>
    </row>
    <row r="185" spans="1:5" s="154" customFormat="1" ht="15" customHeight="1">
      <c r="A185" s="137" t="s">
        <v>529</v>
      </c>
      <c r="B185" s="135">
        <v>21250</v>
      </c>
      <c r="C185" s="135">
        <v>2014</v>
      </c>
      <c r="D185" s="135">
        <v>19236</v>
      </c>
      <c r="E185" s="203">
        <v>0.69669263793925906</v>
      </c>
    </row>
    <row r="186" spans="1:5">
      <c r="A186" s="137" t="s">
        <v>530</v>
      </c>
      <c r="B186" s="135">
        <v>9329</v>
      </c>
      <c r="C186" s="135">
        <v>2023</v>
      </c>
      <c r="D186" s="135">
        <v>7306</v>
      </c>
      <c r="E186" s="203">
        <v>0.29906579367614183</v>
      </c>
    </row>
    <row r="187" spans="1:5">
      <c r="A187" s="137" t="s">
        <v>531</v>
      </c>
      <c r="B187" s="135">
        <v>7799</v>
      </c>
      <c r="C187" s="135">
        <v>969</v>
      </c>
      <c r="D187" s="135">
        <v>6830</v>
      </c>
      <c r="E187" s="202">
        <v>0.2473622995763064</v>
      </c>
    </row>
    <row r="188" spans="1:5">
      <c r="A188" s="137" t="s">
        <v>532</v>
      </c>
      <c r="B188" s="135">
        <v>7345</v>
      </c>
      <c r="C188" s="135">
        <v>1091</v>
      </c>
      <c r="D188" s="135">
        <v>6254</v>
      </c>
      <c r="E188" s="202">
        <v>0.25508516619811478</v>
      </c>
    </row>
    <row r="189" spans="1:5">
      <c r="A189" s="137" t="s">
        <v>533</v>
      </c>
      <c r="B189" s="135">
        <v>6608</v>
      </c>
      <c r="C189" s="135">
        <v>1065</v>
      </c>
      <c r="D189" s="135">
        <v>5543</v>
      </c>
      <c r="E189" s="202">
        <v>0.24951737451737452</v>
      </c>
    </row>
    <row r="190" spans="1:5">
      <c r="A190" s="137" t="s">
        <v>534</v>
      </c>
      <c r="B190" s="135">
        <v>7465</v>
      </c>
      <c r="C190" s="135">
        <v>1805</v>
      </c>
      <c r="D190" s="135">
        <v>5660</v>
      </c>
      <c r="E190" s="202">
        <v>0.24654148054989375</v>
      </c>
    </row>
    <row r="192" spans="1:5">
      <c r="A192" s="204">
        <v>2011</v>
      </c>
      <c r="B192" s="159"/>
      <c r="C192" s="159"/>
      <c r="D192" s="159"/>
      <c r="E192" s="159"/>
    </row>
    <row r="193" spans="1:5">
      <c r="A193" s="137" t="s">
        <v>535</v>
      </c>
      <c r="B193" s="135">
        <v>7547</v>
      </c>
      <c r="C193" s="135">
        <v>2157</v>
      </c>
      <c r="D193" s="135">
        <v>5390</v>
      </c>
      <c r="E193" s="202">
        <v>0.29216630196936544</v>
      </c>
    </row>
    <row r="194" spans="1:5">
      <c r="A194" s="137" t="s">
        <v>536</v>
      </c>
      <c r="B194" s="135">
        <v>8317</v>
      </c>
      <c r="C194" s="135">
        <v>2601</v>
      </c>
      <c r="D194" s="135">
        <v>5716</v>
      </c>
      <c r="E194" s="202">
        <v>0.38374030177542956</v>
      </c>
    </row>
    <row r="195" spans="1:5">
      <c r="A195" s="137" t="s">
        <v>537</v>
      </c>
      <c r="B195" s="135">
        <v>8025</v>
      </c>
      <c r="C195" s="135">
        <v>2446</v>
      </c>
      <c r="D195" s="135">
        <v>5579</v>
      </c>
      <c r="E195" s="202">
        <v>0.33157379421906263</v>
      </c>
    </row>
    <row r="196" spans="1:5">
      <c r="A196" s="137" t="s">
        <v>538</v>
      </c>
      <c r="B196" s="135">
        <v>10491</v>
      </c>
      <c r="C196" s="135">
        <v>1672</v>
      </c>
      <c r="D196" s="135">
        <v>8819</v>
      </c>
      <c r="E196" s="202">
        <v>0.38686099247060896</v>
      </c>
    </row>
    <row r="197" spans="1:5">
      <c r="A197" s="137" t="s">
        <v>539</v>
      </c>
      <c r="B197" s="135">
        <v>7672</v>
      </c>
      <c r="C197" s="135">
        <v>1353</v>
      </c>
      <c r="D197" s="135">
        <v>6319</v>
      </c>
      <c r="E197" s="202">
        <v>0.29160561923640438</v>
      </c>
    </row>
    <row r="198" spans="1:5">
      <c r="A198" s="137" t="s">
        <v>540</v>
      </c>
      <c r="B198" s="135">
        <v>10970</v>
      </c>
      <c r="C198" s="135">
        <v>1783</v>
      </c>
      <c r="D198" s="135">
        <v>9187</v>
      </c>
      <c r="E198" s="202">
        <v>0.38651294322384161</v>
      </c>
    </row>
    <row r="200" spans="1:5">
      <c r="A200" s="154" t="s">
        <v>27</v>
      </c>
      <c r="B200" s="159"/>
      <c r="C200" s="159"/>
      <c r="D200" s="159"/>
      <c r="E200" s="159"/>
    </row>
    <row r="201" spans="1:5">
      <c r="A201" s="154" t="s">
        <v>28</v>
      </c>
      <c r="B201" s="159"/>
      <c r="C201" s="159"/>
      <c r="D201" s="159"/>
      <c r="E201" s="159"/>
    </row>
  </sheetData>
  <mergeCells count="3">
    <mergeCell ref="A1:E1"/>
    <mergeCell ref="A2:E2"/>
    <mergeCell ref="A3:E3"/>
  </mergeCells>
  <phoneticPr fontId="35" type="noConversion"/>
  <printOptions horizontalCentered="1"/>
  <pageMargins left="0.7" right="0.7" top="0.75" bottom="0.75" header="0.3" footer="0.3"/>
  <pageSetup orientation="portrait" r:id="rId1"/>
  <rowBreaks count="4" manualBreakCount="4">
    <brk id="38" max="4" man="1"/>
    <brk id="70" max="4" man="1"/>
    <brk id="102" max="4" man="1"/>
    <brk id="134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256D-EEA8-4118-8CEE-8AE53D49DD0F}">
  <sheetPr>
    <tabColor rgb="FFC00000"/>
    <pageSetUpPr fitToPage="1"/>
  </sheetPr>
  <dimension ref="A1:P28"/>
  <sheetViews>
    <sheetView showGridLines="0" workbookViewId="0">
      <selection sqref="A1:P1"/>
    </sheetView>
  </sheetViews>
  <sheetFormatPr defaultRowHeight="12.75"/>
  <cols>
    <col min="1" max="1" width="21.140625" style="3" customWidth="1"/>
    <col min="2" max="2" width="14.28515625" style="21" hidden="1" customWidth="1"/>
    <col min="3" max="3" width="13.85546875" style="21" hidden="1" customWidth="1"/>
    <col min="4" max="4" width="14.28515625" style="21" hidden="1" customWidth="1"/>
    <col min="5" max="5" width="12.7109375" style="3" hidden="1" customWidth="1"/>
    <col min="6" max="16" width="12.7109375" style="3" customWidth="1"/>
    <col min="17" max="16384" width="9.140625" style="3"/>
  </cols>
  <sheetData>
    <row r="1" spans="1:16" s="13" customFormat="1" ht="15">
      <c r="A1" s="273" t="s">
        <v>545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13" customFormat="1" ht="15">
      <c r="A2" s="275" t="s">
        <v>546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4" spans="1:16">
      <c r="A4" s="310"/>
      <c r="B4" s="23">
        <v>2000</v>
      </c>
      <c r="C4" s="23">
        <v>2001</v>
      </c>
      <c r="D4" s="23">
        <v>2002</v>
      </c>
      <c r="E4" s="23">
        <v>2002</v>
      </c>
      <c r="F4" s="161">
        <v>2000</v>
      </c>
      <c r="G4" s="161">
        <v>2001</v>
      </c>
      <c r="H4" s="161">
        <v>2002</v>
      </c>
      <c r="I4" s="161">
        <v>2003</v>
      </c>
      <c r="J4" s="161">
        <v>2004</v>
      </c>
      <c r="K4" s="161">
        <v>2005</v>
      </c>
      <c r="L4" s="161">
        <v>2006</v>
      </c>
      <c r="M4" s="239">
        <v>2007</v>
      </c>
      <c r="N4" s="239">
        <v>2008</v>
      </c>
      <c r="O4" s="239">
        <v>2009</v>
      </c>
      <c r="P4" s="239" t="s">
        <v>547</v>
      </c>
    </row>
    <row r="5" spans="1:16">
      <c r="A5" s="22"/>
      <c r="B5" s="22"/>
      <c r="C5" s="22"/>
      <c r="D5" s="22"/>
      <c r="E5" s="312"/>
      <c r="F5" s="312"/>
      <c r="G5" s="312"/>
      <c r="H5" s="312"/>
      <c r="I5" s="312"/>
      <c r="J5" s="312"/>
      <c r="K5" s="312"/>
      <c r="L5" s="312"/>
      <c r="M5" s="21"/>
      <c r="N5" s="21"/>
      <c r="O5" s="21"/>
      <c r="P5" s="21"/>
    </row>
    <row r="6" spans="1:16">
      <c r="A6" s="62" t="s">
        <v>548</v>
      </c>
      <c r="B6" s="312">
        <v>712.3</v>
      </c>
      <c r="C6" s="312">
        <v>729.3</v>
      </c>
      <c r="D6" s="312">
        <v>702.5</v>
      </c>
      <c r="E6" s="312">
        <v>626.29999999999995</v>
      </c>
      <c r="F6" s="333">
        <v>712.3</v>
      </c>
      <c r="G6" s="63">
        <v>729.3</v>
      </c>
      <c r="H6" s="312">
        <v>702.5</v>
      </c>
      <c r="I6" s="312">
        <v>626.29999999999995</v>
      </c>
      <c r="J6" s="312">
        <v>691.5</v>
      </c>
      <c r="K6" s="333">
        <v>756.8</v>
      </c>
      <c r="L6" s="333">
        <v>694.4</v>
      </c>
      <c r="M6" s="63">
        <v>508</v>
      </c>
      <c r="N6" s="63">
        <v>826.8</v>
      </c>
      <c r="O6" s="63">
        <v>812.6</v>
      </c>
      <c r="P6" s="63">
        <v>825.5</v>
      </c>
    </row>
    <row r="7" spans="1:16">
      <c r="A7" s="74"/>
      <c r="B7" s="312"/>
      <c r="C7" s="312"/>
      <c r="D7" s="312"/>
      <c r="E7" s="312"/>
      <c r="F7" s="333"/>
      <c r="G7" s="63" t="s">
        <v>135</v>
      </c>
      <c r="H7" s="334" t="s">
        <v>135</v>
      </c>
      <c r="I7" s="312"/>
      <c r="J7" s="312"/>
      <c r="K7" s="333"/>
      <c r="L7" s="333"/>
      <c r="M7" s="63"/>
      <c r="N7" s="63"/>
      <c r="O7" s="63"/>
      <c r="P7" s="63"/>
    </row>
    <row r="8" spans="1:16">
      <c r="A8" s="62" t="s">
        <v>549</v>
      </c>
      <c r="B8" s="334">
        <v>1562.9</v>
      </c>
      <c r="C8" s="334">
        <v>1582.8</v>
      </c>
      <c r="D8" s="334">
        <v>1355.4</v>
      </c>
      <c r="E8" s="334">
        <v>1413.1</v>
      </c>
      <c r="F8" s="333">
        <v>1562.9</v>
      </c>
      <c r="G8" s="63">
        <v>1582.8</v>
      </c>
      <c r="H8" s="335">
        <v>1355.4</v>
      </c>
      <c r="I8" s="335">
        <v>1413.1</v>
      </c>
      <c r="J8" s="335">
        <v>1592.7</v>
      </c>
      <c r="K8" s="335">
        <v>1445.9</v>
      </c>
      <c r="L8" s="335">
        <v>1491.63</v>
      </c>
      <c r="M8" s="73">
        <v>1398</v>
      </c>
      <c r="N8" s="73">
        <v>1462.4</v>
      </c>
      <c r="O8" s="73">
        <v>1327</v>
      </c>
      <c r="P8" s="73">
        <v>1368.1</v>
      </c>
    </row>
    <row r="9" spans="1:16">
      <c r="A9" s="74"/>
      <c r="B9" s="312"/>
      <c r="C9" s="312"/>
      <c r="D9" s="312"/>
      <c r="E9" s="312"/>
      <c r="F9" s="333"/>
      <c r="G9" s="63"/>
      <c r="H9" s="335"/>
      <c r="I9" s="335"/>
      <c r="J9" s="312"/>
      <c r="K9" s="335"/>
      <c r="L9" s="335"/>
      <c r="M9" s="73"/>
      <c r="N9" s="73"/>
      <c r="O9" s="73"/>
      <c r="P9" s="73"/>
    </row>
    <row r="10" spans="1:16">
      <c r="A10" s="62" t="s">
        <v>550</v>
      </c>
      <c r="B10" s="312">
        <v>532.1</v>
      </c>
      <c r="C10" s="312">
        <v>537.29999999999995</v>
      </c>
      <c r="D10" s="312">
        <v>478.9</v>
      </c>
      <c r="E10" s="312">
        <v>522.20000000000005</v>
      </c>
      <c r="F10" s="333">
        <v>532.1</v>
      </c>
      <c r="G10" s="63">
        <v>537.29999999999995</v>
      </c>
      <c r="H10" s="335">
        <v>478.9</v>
      </c>
      <c r="I10" s="335">
        <v>522.20000000000005</v>
      </c>
      <c r="J10" s="312">
        <v>549</v>
      </c>
      <c r="K10" s="336">
        <v>547.20000000000005</v>
      </c>
      <c r="L10" s="336">
        <v>562.6</v>
      </c>
      <c r="M10" s="75">
        <v>574.5</v>
      </c>
      <c r="N10" s="75">
        <v>567.70000000000005</v>
      </c>
      <c r="O10" s="75">
        <v>518.6</v>
      </c>
      <c r="P10" s="75">
        <v>532.20000000000005</v>
      </c>
    </row>
    <row r="11" spans="1:16">
      <c r="A11" s="74"/>
      <c r="B11" s="312"/>
      <c r="C11" s="312"/>
      <c r="D11" s="312"/>
      <c r="E11" s="312"/>
      <c r="F11" s="333"/>
      <c r="G11" s="63"/>
      <c r="H11" s="335"/>
      <c r="I11" s="335"/>
      <c r="J11" s="312"/>
      <c r="K11" s="312"/>
      <c r="L11" s="312"/>
      <c r="M11" s="21"/>
      <c r="N11" s="21"/>
      <c r="O11" s="75"/>
      <c r="P11" s="75"/>
    </row>
    <row r="12" spans="1:16">
      <c r="A12" s="62" t="s">
        <v>551</v>
      </c>
      <c r="B12" s="334">
        <v>1662.5</v>
      </c>
      <c r="C12" s="334">
        <v>1870.3</v>
      </c>
      <c r="D12" s="334">
        <v>1642.4</v>
      </c>
      <c r="E12" s="334">
        <v>1819.3</v>
      </c>
      <c r="F12" s="333">
        <v>1662.5</v>
      </c>
      <c r="G12" s="63">
        <v>1870.3</v>
      </c>
      <c r="H12" s="335">
        <v>1642.4</v>
      </c>
      <c r="I12" s="335">
        <v>1819.3</v>
      </c>
      <c r="J12" s="335">
        <v>2024.5</v>
      </c>
      <c r="K12" s="335">
        <v>2140.5</v>
      </c>
      <c r="L12" s="335">
        <v>2220.6</v>
      </c>
      <c r="M12" s="73">
        <v>2152.1999999999998</v>
      </c>
      <c r="N12" s="73">
        <v>2348.3000000000002</v>
      </c>
      <c r="O12" s="73">
        <v>2429.8000000000002</v>
      </c>
      <c r="P12" s="73">
        <v>2531.6999999999998</v>
      </c>
    </row>
    <row r="13" spans="1:16">
      <c r="A13" s="74"/>
      <c r="B13" s="312"/>
      <c r="C13" s="312"/>
      <c r="D13" s="312"/>
      <c r="E13" s="312"/>
      <c r="F13" s="333"/>
      <c r="G13" s="63"/>
      <c r="H13" s="335"/>
      <c r="I13" s="335"/>
      <c r="J13" s="335"/>
      <c r="K13" s="335"/>
      <c r="L13" s="335"/>
      <c r="M13" s="73"/>
      <c r="N13" s="73"/>
      <c r="O13" s="73"/>
      <c r="P13" s="73"/>
    </row>
    <row r="14" spans="1:16">
      <c r="A14" s="62" t="s">
        <v>552</v>
      </c>
      <c r="B14" s="334">
        <v>2901</v>
      </c>
      <c r="C14" s="334">
        <v>3010.8</v>
      </c>
      <c r="D14" s="334">
        <v>2673.3</v>
      </c>
      <c r="E14" s="334">
        <v>3040.5</v>
      </c>
      <c r="F14" s="333">
        <v>2901</v>
      </c>
      <c r="G14" s="63">
        <v>3010.8</v>
      </c>
      <c r="H14" s="335">
        <v>2673.3</v>
      </c>
      <c r="I14" s="335">
        <v>3040.5</v>
      </c>
      <c r="J14" s="335">
        <v>3398.6</v>
      </c>
      <c r="K14" s="335">
        <v>3584.6</v>
      </c>
      <c r="L14" s="335">
        <v>3965.1</v>
      </c>
      <c r="M14" s="73">
        <v>3979.6</v>
      </c>
      <c r="N14" s="73">
        <v>3979.6</v>
      </c>
      <c r="O14" s="73">
        <v>3992.3</v>
      </c>
      <c r="P14" s="73">
        <v>4124.5</v>
      </c>
    </row>
    <row r="15" spans="1:16">
      <c r="A15" s="74"/>
      <c r="B15" s="312"/>
      <c r="C15" s="312"/>
      <c r="D15" s="312"/>
      <c r="E15" s="312"/>
      <c r="F15" s="333"/>
      <c r="G15" s="63"/>
      <c r="H15" s="335"/>
      <c r="I15" s="335"/>
      <c r="J15" s="335"/>
      <c r="K15" s="335"/>
      <c r="L15" s="335"/>
      <c r="M15" s="73"/>
      <c r="N15" s="73"/>
      <c r="O15" s="73"/>
      <c r="P15" s="73"/>
    </row>
    <row r="16" spans="1:16">
      <c r="A16" s="62" t="s">
        <v>553</v>
      </c>
      <c r="B16" s="334">
        <v>1285.3</v>
      </c>
      <c r="C16" s="334">
        <v>1346.7</v>
      </c>
      <c r="D16" s="334">
        <v>1201.5</v>
      </c>
      <c r="E16" s="334">
        <v>1310.7</v>
      </c>
      <c r="F16" s="333">
        <v>1285.3</v>
      </c>
      <c r="G16" s="63">
        <v>1346.7</v>
      </c>
      <c r="H16" s="335">
        <v>1201.5</v>
      </c>
      <c r="I16" s="335">
        <v>1310.7</v>
      </c>
      <c r="J16" s="335">
        <v>1414.3</v>
      </c>
      <c r="K16" s="335">
        <v>1434.5</v>
      </c>
      <c r="L16" s="335">
        <v>1678.9</v>
      </c>
      <c r="M16" s="73">
        <v>1700.8</v>
      </c>
      <c r="N16" s="73">
        <v>1767.2</v>
      </c>
      <c r="O16" s="73">
        <v>1831.1</v>
      </c>
      <c r="P16" s="73">
        <v>1921.7</v>
      </c>
    </row>
    <row r="17" spans="1:16">
      <c r="A17" s="74"/>
      <c r="B17" s="312"/>
      <c r="C17" s="312"/>
      <c r="D17" s="312"/>
      <c r="E17" s="312"/>
      <c r="F17" s="333"/>
      <c r="G17" s="63"/>
      <c r="H17" s="335"/>
      <c r="I17" s="335"/>
      <c r="J17" s="335"/>
      <c r="K17" s="335"/>
      <c r="L17" s="335"/>
      <c r="M17" s="73"/>
      <c r="N17" s="73"/>
      <c r="O17" s="73"/>
      <c r="P17" s="73"/>
    </row>
    <row r="18" spans="1:16">
      <c r="A18" s="62" t="s">
        <v>554</v>
      </c>
      <c r="B18" s="334">
        <v>3341.4</v>
      </c>
      <c r="C18" s="312" t="s">
        <v>555</v>
      </c>
      <c r="D18" s="334">
        <v>3087.1</v>
      </c>
      <c r="E18" s="334">
        <v>3238.4</v>
      </c>
      <c r="F18" s="333">
        <v>3341.4</v>
      </c>
      <c r="G18" s="63">
        <v>3551.2</v>
      </c>
      <c r="H18" s="335">
        <v>3087.1</v>
      </c>
      <c r="I18" s="335">
        <v>3238.4</v>
      </c>
      <c r="J18" s="335">
        <v>3541</v>
      </c>
      <c r="K18" s="335">
        <v>3685.9</v>
      </c>
      <c r="L18" s="335">
        <v>3722</v>
      </c>
      <c r="M18" s="73">
        <v>3687</v>
      </c>
      <c r="N18" s="73">
        <v>3716.2</v>
      </c>
      <c r="O18" s="73">
        <v>3550.5</v>
      </c>
      <c r="P18" s="73">
        <v>3678.9</v>
      </c>
    </row>
    <row r="19" spans="1:16">
      <c r="A19" s="74"/>
      <c r="B19" s="312"/>
      <c r="C19" s="312"/>
      <c r="D19" s="312"/>
      <c r="E19" s="312"/>
      <c r="F19" s="312"/>
      <c r="G19" s="21"/>
      <c r="H19" s="335"/>
      <c r="I19" s="335"/>
      <c r="J19" s="312"/>
      <c r="K19" s="312"/>
      <c r="L19" s="312"/>
      <c r="M19" s="21"/>
      <c r="N19" s="21"/>
      <c r="O19" s="21"/>
      <c r="P19" s="21"/>
    </row>
    <row r="20" spans="1:16">
      <c r="A20" s="62" t="s">
        <v>556</v>
      </c>
      <c r="B20" s="312">
        <v>590.9</v>
      </c>
      <c r="C20" s="312">
        <v>639.4</v>
      </c>
      <c r="D20" s="312">
        <v>588.5</v>
      </c>
      <c r="E20" s="312">
        <v>594.5</v>
      </c>
      <c r="F20" s="312">
        <v>590.9</v>
      </c>
      <c r="G20" s="21">
        <v>639.4</v>
      </c>
      <c r="H20" s="335">
        <v>588.5</v>
      </c>
      <c r="I20" s="335">
        <v>594.5</v>
      </c>
      <c r="J20" s="312">
        <v>651.4</v>
      </c>
      <c r="K20" s="312">
        <v>687.5</v>
      </c>
      <c r="L20" s="312">
        <v>671.4</v>
      </c>
      <c r="M20" s="21">
        <v>693.4</v>
      </c>
      <c r="N20" s="21">
        <v>678.9</v>
      </c>
      <c r="O20" s="21">
        <v>666.1</v>
      </c>
      <c r="P20" s="21">
        <v>691.2</v>
      </c>
    </row>
    <row r="22" spans="1:16" s="154" customFormat="1" ht="15" customHeight="1">
      <c r="A22" s="154" t="s">
        <v>27</v>
      </c>
    </row>
    <row r="23" spans="1:16" s="154" customFormat="1" ht="15" customHeight="1">
      <c r="A23" s="154" t="s">
        <v>28</v>
      </c>
    </row>
    <row r="24" spans="1:16" ht="15" customHeight="1">
      <c r="A24" s="3" t="s">
        <v>557</v>
      </c>
    </row>
    <row r="25" spans="1:16">
      <c r="A25" s="3" t="s">
        <v>558</v>
      </c>
    </row>
    <row r="26" spans="1:16">
      <c r="A26" s="3" t="s">
        <v>559</v>
      </c>
    </row>
    <row r="27" spans="1:16">
      <c r="H27" s="72"/>
    </row>
    <row r="28" spans="1:16">
      <c r="H28" s="72"/>
    </row>
  </sheetData>
  <mergeCells count="2">
    <mergeCell ref="A1:P1"/>
    <mergeCell ref="A2:P2"/>
  </mergeCells>
  <phoneticPr fontId="35" type="noConversion"/>
  <pageMargins left="0.7" right="0.7" top="0.75" bottom="0.75" header="0.3" footer="0.3"/>
  <pageSetup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C24F-2CC7-4F6A-867A-496BCAFA35DF}">
  <sheetPr>
    <tabColor rgb="FFC00000"/>
    <pageSetUpPr fitToPage="1"/>
  </sheetPr>
  <dimension ref="A1:O37"/>
  <sheetViews>
    <sheetView showGridLines="0" workbookViewId="0">
      <selection activeCell="G30" sqref="G30"/>
    </sheetView>
  </sheetViews>
  <sheetFormatPr defaultRowHeight="12.75"/>
  <cols>
    <col min="1" max="1" width="18.7109375" style="3" bestFit="1" customWidth="1"/>
    <col min="2" max="12" width="12.7109375" style="66" customWidth="1"/>
    <col min="13" max="16384" width="9.140625" style="3"/>
  </cols>
  <sheetData>
    <row r="1" spans="1:12" ht="15.75" thickTop="1">
      <c r="A1" s="277" t="s">
        <v>560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15.75" thickBot="1">
      <c r="A2" s="280" t="s">
        <v>546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2"/>
    </row>
    <row r="3" spans="1:12" ht="13.5" thickTop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2"/>
      <c r="B4" s="161">
        <v>2000</v>
      </c>
      <c r="C4" s="161">
        <v>2001</v>
      </c>
      <c r="D4" s="161">
        <v>2002</v>
      </c>
      <c r="E4" s="161">
        <v>2003</v>
      </c>
      <c r="F4" s="161">
        <v>2004</v>
      </c>
      <c r="G4" s="161">
        <v>2005</v>
      </c>
      <c r="H4" s="161">
        <v>2006</v>
      </c>
      <c r="I4" s="161">
        <v>2007</v>
      </c>
      <c r="J4" s="161">
        <v>2008</v>
      </c>
      <c r="K4" s="161" t="s">
        <v>561</v>
      </c>
      <c r="L4" s="161" t="s">
        <v>547</v>
      </c>
    </row>
    <row r="5" spans="1:12" ht="15">
      <c r="A5" s="70"/>
      <c r="B5" s="71"/>
      <c r="C5" s="71"/>
      <c r="D5" s="71"/>
      <c r="E5" s="337"/>
      <c r="F5" s="337"/>
      <c r="G5" s="337"/>
      <c r="H5" s="337"/>
      <c r="I5" s="337"/>
      <c r="J5" s="337"/>
      <c r="K5" s="337"/>
      <c r="L5" s="337"/>
    </row>
    <row r="6" spans="1:12">
      <c r="A6" s="62" t="s">
        <v>562</v>
      </c>
      <c r="B6" s="338">
        <v>422</v>
      </c>
      <c r="C6" s="338">
        <v>484.1</v>
      </c>
      <c r="D6" s="338">
        <v>610.5</v>
      </c>
      <c r="E6" s="338">
        <v>544.29999999999995</v>
      </c>
      <c r="F6" s="339">
        <v>537.1</v>
      </c>
      <c r="G6" s="339">
        <v>580.79999999999995</v>
      </c>
      <c r="H6" s="339">
        <v>591.5</v>
      </c>
      <c r="I6" s="339">
        <v>481.8</v>
      </c>
      <c r="J6" s="339">
        <v>556.1</v>
      </c>
      <c r="K6" s="339">
        <v>606.79999999999995</v>
      </c>
      <c r="L6" s="339">
        <v>529.4</v>
      </c>
    </row>
    <row r="7" spans="1:12">
      <c r="A7" s="22"/>
      <c r="B7" s="338"/>
      <c r="C7" s="338"/>
      <c r="D7" s="338"/>
      <c r="E7" s="338"/>
      <c r="F7" s="339"/>
      <c r="G7" s="339"/>
      <c r="H7" s="339"/>
      <c r="I7" s="339"/>
      <c r="J7" s="339"/>
      <c r="K7" s="339"/>
      <c r="L7" s="339"/>
    </row>
    <row r="8" spans="1:12">
      <c r="A8" s="62" t="s">
        <v>549</v>
      </c>
      <c r="B8" s="338">
        <v>2251.3000000000002</v>
      </c>
      <c r="C8" s="338">
        <v>2595.5</v>
      </c>
      <c r="D8" s="338">
        <v>2647.5</v>
      </c>
      <c r="E8" s="338">
        <v>2865.2</v>
      </c>
      <c r="F8" s="338">
        <v>3277.6</v>
      </c>
      <c r="G8" s="338">
        <v>3231.1</v>
      </c>
      <c r="H8" s="338">
        <v>3076.4</v>
      </c>
      <c r="I8" s="338">
        <v>2970.7</v>
      </c>
      <c r="J8" s="338">
        <v>2861.1</v>
      </c>
      <c r="K8" s="133">
        <v>3255.8</v>
      </c>
      <c r="L8" s="133">
        <v>3803.1</v>
      </c>
    </row>
    <row r="9" spans="1:12">
      <c r="A9" s="22"/>
      <c r="B9" s="338"/>
      <c r="C9" s="338"/>
      <c r="D9" s="338"/>
      <c r="E9" s="338"/>
      <c r="F9" s="338"/>
      <c r="G9" s="338"/>
      <c r="H9" s="338"/>
      <c r="I9" s="339"/>
      <c r="J9" s="338"/>
      <c r="K9" s="339"/>
      <c r="L9" s="339"/>
    </row>
    <row r="10" spans="1:12">
      <c r="A10" s="62" t="s">
        <v>563</v>
      </c>
      <c r="B10" s="338">
        <v>494.7</v>
      </c>
      <c r="C10" s="338">
        <v>577.29999999999995</v>
      </c>
      <c r="D10" s="338">
        <v>507</v>
      </c>
      <c r="E10" s="338">
        <v>537.70000000000005</v>
      </c>
      <c r="F10" s="338">
        <v>656.3</v>
      </c>
      <c r="G10" s="338">
        <v>657.5</v>
      </c>
      <c r="H10" s="338">
        <v>539.1</v>
      </c>
      <c r="I10" s="339">
        <v>616.4</v>
      </c>
      <c r="J10" s="338">
        <v>597.5</v>
      </c>
      <c r="K10" s="132">
        <v>635.20000000000005</v>
      </c>
      <c r="L10" s="132">
        <v>664.7</v>
      </c>
    </row>
    <row r="11" spans="1:12">
      <c r="A11" s="22"/>
      <c r="B11" s="338"/>
      <c r="C11" s="338"/>
      <c r="D11" s="338"/>
      <c r="E11" s="338"/>
      <c r="F11" s="338"/>
      <c r="G11" s="338"/>
      <c r="H11" s="338"/>
      <c r="I11" s="339"/>
      <c r="J11" s="338"/>
      <c r="K11" s="339"/>
      <c r="L11" s="339"/>
    </row>
    <row r="12" spans="1:12">
      <c r="A12" s="62" t="s">
        <v>564</v>
      </c>
      <c r="B12" s="338">
        <v>1062.0999999999999</v>
      </c>
      <c r="C12" s="338">
        <v>1075.9000000000001</v>
      </c>
      <c r="D12" s="338">
        <v>1437</v>
      </c>
      <c r="E12" s="338">
        <v>1655.9</v>
      </c>
      <c r="F12" s="338">
        <v>1957</v>
      </c>
      <c r="G12" s="338">
        <v>1653.4</v>
      </c>
      <c r="H12" s="338">
        <v>1930.1</v>
      </c>
      <c r="I12" s="338">
        <v>1715.7</v>
      </c>
      <c r="J12" s="338">
        <v>1553.1</v>
      </c>
      <c r="K12" s="338">
        <v>1520.4</v>
      </c>
      <c r="L12" s="338">
        <v>1597.8</v>
      </c>
    </row>
    <row r="13" spans="1:12">
      <c r="A13" s="22"/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1:12">
      <c r="A14" s="62" t="s">
        <v>565</v>
      </c>
      <c r="B14" s="338">
        <v>1388.3</v>
      </c>
      <c r="C14" s="338">
        <v>1539.5</v>
      </c>
      <c r="D14" s="338">
        <v>1883.2</v>
      </c>
      <c r="E14" s="338">
        <v>2635.2</v>
      </c>
      <c r="F14" s="338">
        <v>2843.3</v>
      </c>
      <c r="G14" s="338">
        <v>2926.7</v>
      </c>
      <c r="H14" s="338">
        <v>2322.8000000000002</v>
      </c>
      <c r="I14" s="338">
        <v>2488.1999999999998</v>
      </c>
      <c r="J14" s="338">
        <v>2569.4</v>
      </c>
      <c r="K14" s="133">
        <v>2221.6999999999998</v>
      </c>
      <c r="L14" s="133">
        <v>2911.1</v>
      </c>
    </row>
    <row r="15" spans="1:12" ht="15">
      <c r="A15" s="340"/>
      <c r="B15" s="341"/>
      <c r="C15" s="341"/>
      <c r="D15" s="341"/>
      <c r="E15" s="338"/>
      <c r="F15" s="338"/>
      <c r="G15" s="338"/>
      <c r="H15" s="338"/>
      <c r="I15" s="338"/>
      <c r="J15" s="338"/>
      <c r="K15" s="338"/>
      <c r="L15" s="338"/>
    </row>
    <row r="16" spans="1:12">
      <c r="A16" s="62" t="s">
        <v>566</v>
      </c>
      <c r="B16" s="338">
        <v>183.2</v>
      </c>
      <c r="C16" s="338">
        <v>211.4</v>
      </c>
      <c r="D16" s="338">
        <v>180.8</v>
      </c>
      <c r="E16" s="338">
        <v>303.3</v>
      </c>
      <c r="F16" s="338">
        <v>443.4</v>
      </c>
      <c r="G16" s="338">
        <v>348.7</v>
      </c>
      <c r="H16" s="338">
        <v>303.5</v>
      </c>
      <c r="I16" s="338">
        <v>384.9</v>
      </c>
      <c r="J16" s="338">
        <v>348.9</v>
      </c>
      <c r="K16" s="122">
        <v>496.7</v>
      </c>
      <c r="L16" s="122">
        <v>352.5</v>
      </c>
    </row>
    <row r="17" spans="1:15">
      <c r="A17" s="22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</row>
    <row r="18" spans="1:15">
      <c r="A18" s="62" t="s">
        <v>567</v>
      </c>
      <c r="B18" s="338">
        <v>837.8</v>
      </c>
      <c r="C18" s="338">
        <v>915.8</v>
      </c>
      <c r="D18" s="338">
        <v>784</v>
      </c>
      <c r="E18" s="338">
        <v>1034.9000000000001</v>
      </c>
      <c r="F18" s="338">
        <v>1151.2</v>
      </c>
      <c r="G18" s="338">
        <v>1101.3</v>
      </c>
      <c r="H18" s="338">
        <v>1315.3</v>
      </c>
      <c r="I18" s="338">
        <v>1179.5</v>
      </c>
      <c r="J18" s="338">
        <v>1088.9000000000001</v>
      </c>
      <c r="K18" s="122">
        <v>922.3</v>
      </c>
      <c r="L18" s="122">
        <v>909.6</v>
      </c>
    </row>
    <row r="19" spans="1:15">
      <c r="A19" s="22"/>
      <c r="B19" s="338"/>
      <c r="C19" s="338"/>
      <c r="D19" s="338" t="s">
        <v>135</v>
      </c>
      <c r="E19" s="338"/>
      <c r="F19" s="338"/>
      <c r="G19" s="338"/>
      <c r="H19" s="338"/>
      <c r="I19" s="338"/>
      <c r="J19" s="338"/>
      <c r="K19" s="338"/>
      <c r="L19" s="338"/>
    </row>
    <row r="20" spans="1:15">
      <c r="A20" s="62" t="s">
        <v>568</v>
      </c>
      <c r="B20" s="338">
        <v>1200.9000000000001</v>
      </c>
      <c r="C20" s="338">
        <v>1356.6</v>
      </c>
      <c r="D20" s="338">
        <v>1276.3</v>
      </c>
      <c r="E20" s="338">
        <v>1164.2</v>
      </c>
      <c r="F20" s="338">
        <v>1348.2</v>
      </c>
      <c r="G20" s="338">
        <v>1386.9</v>
      </c>
      <c r="H20" s="338">
        <v>1300.0999999999999</v>
      </c>
      <c r="I20" s="338">
        <v>1437.2</v>
      </c>
      <c r="J20" s="338">
        <v>1392.6</v>
      </c>
      <c r="K20" s="338">
        <v>1179</v>
      </c>
      <c r="L20" s="338">
        <v>1191.0999999999999</v>
      </c>
    </row>
    <row r="21" spans="1:15">
      <c r="A21" s="22"/>
      <c r="B21" s="338" t="s">
        <v>135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</row>
    <row r="22" spans="1:15">
      <c r="A22" s="62" t="s">
        <v>569</v>
      </c>
      <c r="B22" s="338">
        <v>705.9</v>
      </c>
      <c r="C22" s="338">
        <v>937.4</v>
      </c>
      <c r="D22" s="338">
        <v>867.3</v>
      </c>
      <c r="E22" s="338">
        <v>1123.0999999999999</v>
      </c>
      <c r="F22" s="338">
        <v>1307</v>
      </c>
      <c r="G22" s="338">
        <v>1437.8</v>
      </c>
      <c r="H22" s="338">
        <v>1438.2</v>
      </c>
      <c r="I22" s="338">
        <v>1421.9</v>
      </c>
      <c r="J22" s="338">
        <v>1345.8</v>
      </c>
      <c r="K22" s="130">
        <v>1215.0999999999999</v>
      </c>
      <c r="L22" s="130">
        <v>1512.6</v>
      </c>
    </row>
    <row r="23" spans="1:15">
      <c r="A23" s="22"/>
      <c r="B23" s="335"/>
      <c r="C23" s="335"/>
      <c r="D23" s="335"/>
      <c r="E23" s="335"/>
      <c r="F23" s="335"/>
      <c r="G23" s="338"/>
      <c r="H23" s="335"/>
      <c r="I23" s="335"/>
      <c r="J23" s="335"/>
      <c r="K23" s="335"/>
      <c r="L23" s="335"/>
    </row>
    <row r="24" spans="1:15">
      <c r="A24" s="62" t="s">
        <v>570</v>
      </c>
      <c r="B24" s="335">
        <v>1768.4</v>
      </c>
      <c r="C24" s="335">
        <v>1891.4</v>
      </c>
      <c r="D24" s="335">
        <v>1738.7</v>
      </c>
      <c r="E24" s="335">
        <v>1773.9</v>
      </c>
      <c r="F24" s="335">
        <v>1964.7</v>
      </c>
      <c r="G24" s="338">
        <v>1912.5</v>
      </c>
      <c r="H24" s="335">
        <v>1903.5</v>
      </c>
      <c r="I24" s="335">
        <v>1917.9</v>
      </c>
      <c r="J24" s="335">
        <v>1757.1</v>
      </c>
      <c r="K24" s="131">
        <v>1582.3</v>
      </c>
      <c r="L24" s="131">
        <v>1858.9</v>
      </c>
    </row>
    <row r="25" spans="1:15" ht="15">
      <c r="A25" s="12"/>
      <c r="B25" s="64"/>
      <c r="C25" s="64"/>
      <c r="D25" s="64"/>
      <c r="E25" s="65"/>
      <c r="F25" s="65"/>
      <c r="G25" s="65"/>
      <c r="H25" s="65"/>
      <c r="I25" s="65"/>
      <c r="J25" s="65"/>
      <c r="K25" s="65"/>
    </row>
    <row r="26" spans="1:15" s="154" customFormat="1" ht="15" customHeight="1">
      <c r="A26" s="154" t="s">
        <v>27</v>
      </c>
    </row>
    <row r="27" spans="1:15" s="154" customFormat="1" ht="15" customHeight="1">
      <c r="A27" s="154" t="s">
        <v>28</v>
      </c>
    </row>
    <row r="28" spans="1:15" ht="15" customHeight="1">
      <c r="A28" s="3" t="s">
        <v>557</v>
      </c>
      <c r="B28" s="21"/>
      <c r="C28" s="21"/>
      <c r="D28" s="21"/>
      <c r="E28" s="3"/>
      <c r="F28" s="3"/>
      <c r="G28" s="3"/>
      <c r="H28" s="3"/>
      <c r="I28" s="3"/>
      <c r="J28" s="3"/>
      <c r="K28" s="3"/>
      <c r="L28" s="3"/>
      <c r="O28" s="21"/>
    </row>
    <row r="29" spans="1:15" ht="15">
      <c r="A29" s="307" t="s">
        <v>571</v>
      </c>
      <c r="B29" s="307"/>
      <c r="C29" s="307"/>
      <c r="D29" s="307"/>
      <c r="E29" s="307"/>
      <c r="F29" s="67"/>
      <c r="G29" s="68"/>
      <c r="H29" s="3"/>
      <c r="I29" s="3"/>
      <c r="J29" s="3"/>
      <c r="K29" s="3"/>
      <c r="L29" s="3"/>
    </row>
    <row r="30" spans="1:15" ht="15">
      <c r="A30" s="272"/>
      <c r="B30" s="68"/>
      <c r="C30" s="68"/>
      <c r="D30" s="68"/>
      <c r="E30" s="68"/>
      <c r="F30" s="68"/>
      <c r="G30" s="68"/>
      <c r="H30" s="3"/>
      <c r="I30" s="3"/>
      <c r="J30" s="3"/>
      <c r="K30" s="3"/>
      <c r="L30" s="3"/>
    </row>
    <row r="31" spans="1:15" ht="15">
      <c r="A31" s="308"/>
      <c r="B31" s="308"/>
      <c r="C31" s="308"/>
      <c r="D31" s="308"/>
      <c r="E31" s="308"/>
      <c r="F31" s="308"/>
      <c r="G31" s="308"/>
      <c r="H31" s="3"/>
      <c r="I31" s="3"/>
      <c r="J31" s="3"/>
      <c r="K31" s="3"/>
      <c r="L31" s="3"/>
    </row>
    <row r="32" spans="1:15">
      <c r="H32" s="3"/>
      <c r="I32" s="3"/>
      <c r="J32" s="3"/>
      <c r="K32" s="3"/>
      <c r="L32" s="3"/>
    </row>
    <row r="33" spans="8:12">
      <c r="H33" s="3"/>
      <c r="I33" s="3"/>
      <c r="J33" s="3"/>
      <c r="K33" s="3"/>
      <c r="L33" s="3"/>
    </row>
    <row r="34" spans="8:12">
      <c r="H34" s="3"/>
      <c r="I34" s="3"/>
      <c r="J34" s="3"/>
      <c r="K34" s="3"/>
      <c r="L34" s="3"/>
    </row>
    <row r="35" spans="8:12">
      <c r="H35" s="3"/>
      <c r="I35" s="3"/>
      <c r="J35" s="3"/>
      <c r="K35" s="3"/>
      <c r="L35" s="3"/>
    </row>
    <row r="36" spans="8:12">
      <c r="H36" s="3"/>
      <c r="I36" s="3"/>
      <c r="J36" s="3"/>
      <c r="K36" s="3"/>
      <c r="L36" s="3"/>
    </row>
    <row r="37" spans="8:12">
      <c r="H37" s="3"/>
      <c r="I37" s="3"/>
      <c r="J37" s="3"/>
      <c r="K37" s="3"/>
      <c r="L37" s="3"/>
    </row>
  </sheetData>
  <mergeCells count="4">
    <mergeCell ref="A29:E29"/>
    <mergeCell ref="A31:G31"/>
    <mergeCell ref="A1:L1"/>
    <mergeCell ref="A2:L2"/>
  </mergeCells>
  <phoneticPr fontId="35" type="noConversion"/>
  <pageMargins left="0.7" right="0.7" top="0.75" bottom="0.75" header="0.3" footer="0.3"/>
  <pageSetup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03B-F1BC-4596-91BC-EAC98ED0BB61}">
  <sheetPr>
    <tabColor rgb="FFC00000"/>
    <pageSetUpPr fitToPage="1"/>
  </sheetPr>
  <dimension ref="A1:L27"/>
  <sheetViews>
    <sheetView showGridLines="0" workbookViewId="0">
      <selection sqref="A1:L1"/>
    </sheetView>
  </sheetViews>
  <sheetFormatPr defaultRowHeight="15"/>
  <cols>
    <col min="1" max="1" width="23" customWidth="1"/>
    <col min="2" max="3" width="13.5703125" customWidth="1"/>
    <col min="4" max="9" width="12.7109375" customWidth="1"/>
    <col min="10" max="10" width="12.7109375" style="150" customWidth="1"/>
    <col min="11" max="11" width="12.7109375" style="159" customWidth="1"/>
    <col min="12" max="12" width="12.7109375" customWidth="1"/>
    <col min="13" max="13" width="10" bestFit="1" customWidth="1"/>
  </cols>
  <sheetData>
    <row r="1" spans="1:12" ht="15.75" thickTop="1">
      <c r="A1" s="277" t="s">
        <v>572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ht="15.75" thickBot="1">
      <c r="A2" s="280" t="s">
        <v>546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 ht="15.75" thickTop="1">
      <c r="A3" s="159"/>
      <c r="B3" s="159"/>
      <c r="C3" s="159"/>
      <c r="D3" s="159"/>
      <c r="E3" s="159"/>
      <c r="F3" s="159"/>
      <c r="G3" s="159"/>
      <c r="H3" s="159"/>
      <c r="I3" s="159"/>
      <c r="J3" s="159"/>
      <c r="L3" s="159"/>
    </row>
    <row r="4" spans="1:12" s="3" customFormat="1" ht="12.75">
      <c r="A4" s="310"/>
      <c r="B4" s="161">
        <v>2000</v>
      </c>
      <c r="C4" s="161">
        <v>2001</v>
      </c>
      <c r="D4" s="161">
        <v>2002</v>
      </c>
      <c r="E4" s="161">
        <v>2003</v>
      </c>
      <c r="F4" s="161">
        <v>2004</v>
      </c>
      <c r="G4" s="161">
        <v>2005</v>
      </c>
      <c r="H4" s="161">
        <v>2006</v>
      </c>
      <c r="I4" s="239">
        <v>2007</v>
      </c>
      <c r="J4" s="239">
        <v>2008</v>
      </c>
      <c r="K4" s="239" t="s">
        <v>561</v>
      </c>
      <c r="L4" s="239" t="s">
        <v>547</v>
      </c>
    </row>
    <row r="5" spans="1:12" s="3" customFormat="1">
      <c r="A5" s="342"/>
      <c r="B5" s="342"/>
      <c r="C5" s="342"/>
      <c r="D5" s="312"/>
      <c r="E5" s="312"/>
      <c r="F5" s="312"/>
      <c r="G5" s="312"/>
      <c r="H5" s="312"/>
      <c r="I5" s="21"/>
      <c r="J5" s="21"/>
      <c r="K5" s="21"/>
      <c r="L5" s="21"/>
    </row>
    <row r="6" spans="1:12" s="3" customFormat="1">
      <c r="A6" s="62" t="s">
        <v>573</v>
      </c>
      <c r="B6" s="343">
        <v>6980</v>
      </c>
      <c r="C6" s="343">
        <v>7004</v>
      </c>
      <c r="D6" s="343">
        <v>6831</v>
      </c>
      <c r="E6" s="343">
        <v>6912</v>
      </c>
      <c r="F6" s="343">
        <v>7198</v>
      </c>
      <c r="G6" s="343">
        <v>6532</v>
      </c>
      <c r="H6" s="343">
        <v>6834</v>
      </c>
      <c r="I6" s="69">
        <v>6786</v>
      </c>
      <c r="J6" s="69">
        <v>7323</v>
      </c>
      <c r="K6" s="69">
        <v>7459</v>
      </c>
      <c r="L6" s="21" t="s">
        <v>574</v>
      </c>
    </row>
    <row r="7" spans="1:12" s="3" customFormat="1" ht="12.75">
      <c r="A7" s="310"/>
      <c r="B7" s="312"/>
      <c r="C7" s="312"/>
      <c r="D7" s="312"/>
      <c r="E7" s="312"/>
      <c r="F7" s="312"/>
      <c r="G7" s="312"/>
      <c r="H7" s="312"/>
      <c r="I7" s="69"/>
      <c r="J7" s="69"/>
      <c r="K7" s="69"/>
      <c r="L7" s="69"/>
    </row>
    <row r="8" spans="1:12" s="3" customFormat="1">
      <c r="A8" s="62" t="s">
        <v>575</v>
      </c>
      <c r="B8" s="343">
        <v>14701</v>
      </c>
      <c r="C8" s="343">
        <v>15195</v>
      </c>
      <c r="D8" s="343">
        <v>15145</v>
      </c>
      <c r="E8" s="343">
        <v>15393</v>
      </c>
      <c r="F8" s="343">
        <v>15508</v>
      </c>
      <c r="G8" s="343">
        <v>14800</v>
      </c>
      <c r="H8" s="343">
        <v>14929</v>
      </c>
      <c r="I8" s="69">
        <v>15111</v>
      </c>
      <c r="J8" s="69">
        <v>16297</v>
      </c>
      <c r="K8" s="69">
        <v>15276</v>
      </c>
      <c r="L8" s="69">
        <v>15236</v>
      </c>
    </row>
    <row r="9" spans="1:12" s="3" customFormat="1" ht="12.75">
      <c r="A9" s="310"/>
      <c r="B9" s="312"/>
      <c r="C9" s="312"/>
      <c r="D9" s="312"/>
      <c r="E9" s="312"/>
      <c r="F9" s="312"/>
      <c r="G9" s="312"/>
      <c r="H9" s="312"/>
      <c r="I9" s="21"/>
      <c r="J9" s="21"/>
      <c r="K9" s="21"/>
      <c r="L9" s="21"/>
    </row>
    <row r="10" spans="1:12" s="3" customFormat="1">
      <c r="A10" s="62" t="s">
        <v>576</v>
      </c>
      <c r="B10" s="343">
        <v>38072</v>
      </c>
      <c r="C10" s="343">
        <f>39264+481+148+105</f>
        <v>39998</v>
      </c>
      <c r="D10" s="343">
        <f>40410+494+153+105</f>
        <v>41162</v>
      </c>
      <c r="E10" s="343">
        <f>42716+494+208+105</f>
        <v>43523</v>
      </c>
      <c r="F10" s="343">
        <v>55593</v>
      </c>
      <c r="G10" s="343">
        <v>56196</v>
      </c>
      <c r="H10" s="343">
        <v>55229</v>
      </c>
      <c r="I10" s="69">
        <v>55656</v>
      </c>
      <c r="J10" s="69">
        <v>56970</v>
      </c>
      <c r="K10" s="69">
        <v>60606</v>
      </c>
      <c r="L10" s="21" t="s">
        <v>574</v>
      </c>
    </row>
    <row r="11" spans="1:12" s="3" customFormat="1" ht="12.75">
      <c r="A11" s="344"/>
      <c r="B11" s="312"/>
      <c r="C11" s="312"/>
      <c r="D11" s="312"/>
      <c r="E11" s="312"/>
      <c r="F11" s="312"/>
      <c r="G11" s="312"/>
      <c r="H11" s="312"/>
      <c r="I11" s="69"/>
      <c r="J11" s="69"/>
      <c r="K11" s="69"/>
      <c r="L11" s="69"/>
    </row>
    <row r="12" spans="1:12" s="3" customFormat="1">
      <c r="A12" s="62" t="s">
        <v>577</v>
      </c>
      <c r="B12" s="343">
        <v>51916</v>
      </c>
      <c r="C12" s="343">
        <v>54034</v>
      </c>
      <c r="D12" s="343">
        <v>54730</v>
      </c>
      <c r="E12" s="343">
        <v>56519</v>
      </c>
      <c r="F12" s="343">
        <v>59054</v>
      </c>
      <c r="G12" s="343">
        <v>59992</v>
      </c>
      <c r="H12" s="343">
        <v>63372</v>
      </c>
      <c r="I12" s="69">
        <v>64898</v>
      </c>
      <c r="J12" s="69">
        <v>66192</v>
      </c>
      <c r="K12" s="69">
        <v>67197</v>
      </c>
      <c r="L12" s="69">
        <v>66968</v>
      </c>
    </row>
    <row r="13" spans="1:12" s="3" customFormat="1" ht="12.75">
      <c r="A13" s="310"/>
      <c r="B13" s="312"/>
      <c r="C13" s="312"/>
      <c r="D13" s="312"/>
      <c r="E13" s="312"/>
      <c r="F13" s="312"/>
      <c r="G13" s="312"/>
      <c r="H13" s="312"/>
      <c r="I13" s="21"/>
      <c r="J13" s="21"/>
      <c r="K13" s="21"/>
      <c r="L13" s="21"/>
    </row>
    <row r="14" spans="1:12" s="3" customFormat="1">
      <c r="A14" s="62" t="s">
        <v>578</v>
      </c>
      <c r="B14" s="343">
        <v>23630</v>
      </c>
      <c r="C14" s="343">
        <v>24007</v>
      </c>
      <c r="D14" s="343">
        <v>24239</v>
      </c>
      <c r="E14" s="343">
        <v>24625</v>
      </c>
      <c r="F14" s="343">
        <v>24947</v>
      </c>
      <c r="G14" s="343">
        <v>26039</v>
      </c>
      <c r="H14" s="343">
        <v>26675</v>
      </c>
      <c r="I14" s="69">
        <v>27711</v>
      </c>
      <c r="J14" s="69">
        <v>29794</v>
      </c>
      <c r="K14" s="21" t="s">
        <v>574</v>
      </c>
      <c r="L14" s="21" t="s">
        <v>574</v>
      </c>
    </row>
    <row r="15" spans="1:12" s="3" customFormat="1" ht="12.75">
      <c r="A15" s="310"/>
      <c r="B15" s="312"/>
      <c r="C15" s="312"/>
      <c r="D15" s="312"/>
      <c r="E15" s="312"/>
      <c r="F15" s="312"/>
      <c r="G15" s="312"/>
      <c r="H15" s="312"/>
      <c r="I15" s="21"/>
      <c r="J15" s="21"/>
      <c r="K15" s="21"/>
      <c r="L15" s="21"/>
    </row>
    <row r="16" spans="1:12" s="3" customFormat="1">
      <c r="A16" s="62" t="s">
        <v>579</v>
      </c>
      <c r="B16" s="343">
        <v>11053</v>
      </c>
      <c r="C16" s="343">
        <v>11408</v>
      </c>
      <c r="D16" s="343">
        <v>11729</v>
      </c>
      <c r="E16" s="343">
        <v>12710</v>
      </c>
      <c r="F16" s="343">
        <v>12626</v>
      </c>
      <c r="G16" s="343">
        <v>13215</v>
      </c>
      <c r="H16" s="343">
        <v>13479</v>
      </c>
      <c r="I16" s="343">
        <v>13585</v>
      </c>
      <c r="J16" s="343">
        <v>13838</v>
      </c>
      <c r="K16" s="343">
        <v>13424</v>
      </c>
      <c r="L16" s="343">
        <v>14300</v>
      </c>
    </row>
    <row r="17" spans="1:12" s="3" customFormat="1" ht="12.75">
      <c r="A17" s="310"/>
      <c r="B17" s="312"/>
      <c r="C17" s="312"/>
      <c r="D17" s="312"/>
      <c r="E17" s="312"/>
      <c r="F17" s="312"/>
      <c r="G17" s="312"/>
      <c r="H17" s="312"/>
      <c r="I17" s="21"/>
      <c r="J17" s="21"/>
      <c r="K17" s="21"/>
      <c r="L17" s="21"/>
    </row>
    <row r="18" spans="1:12" s="3" customFormat="1">
      <c r="A18" s="62" t="s">
        <v>580</v>
      </c>
      <c r="B18" s="343">
        <v>4997</v>
      </c>
      <c r="C18" s="343">
        <v>5048</v>
      </c>
      <c r="D18" s="343">
        <v>5092</v>
      </c>
      <c r="E18" s="343">
        <v>5044</v>
      </c>
      <c r="F18" s="343">
        <v>4959</v>
      </c>
      <c r="G18" s="343">
        <v>4761</v>
      </c>
      <c r="H18" s="343">
        <v>4817</v>
      </c>
      <c r="I18" s="69">
        <v>4757</v>
      </c>
      <c r="J18" s="69">
        <v>4857</v>
      </c>
      <c r="K18" s="69">
        <v>4948</v>
      </c>
      <c r="L18" s="69">
        <v>5008</v>
      </c>
    </row>
    <row r="19" spans="1:12" ht="16.5">
      <c r="A19" s="14"/>
      <c r="B19" s="14"/>
      <c r="C19" s="14"/>
      <c r="D19" s="2"/>
      <c r="E19" s="2"/>
      <c r="F19" s="2"/>
      <c r="G19" s="2"/>
      <c r="H19" s="2"/>
      <c r="I19" s="2"/>
      <c r="J19" s="2"/>
      <c r="K19" s="2"/>
      <c r="L19" s="2"/>
    </row>
    <row r="20" spans="1:12" ht="30.75" customHeight="1">
      <c r="A20" s="309" t="s">
        <v>581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</row>
    <row r="21" spans="1:12" ht="17.25" customHeight="1">
      <c r="A21" s="309" t="s">
        <v>582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</row>
    <row r="22" spans="1:12" ht="17.25" customHeight="1">
      <c r="A22" s="309" t="s">
        <v>583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</row>
    <row r="23" spans="1:12" ht="17.25" customHeight="1">
      <c r="A23" s="309" t="s">
        <v>584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</row>
    <row r="24" spans="1:12" ht="17.25" customHeight="1">
      <c r="A24" s="309" t="s">
        <v>585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</row>
    <row r="25" spans="1:12" ht="17.25">
      <c r="A25" s="309" t="s">
        <v>586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</row>
    <row r="26" spans="1:12" ht="17.25" customHeight="1">
      <c r="A26" s="309" t="s">
        <v>587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</row>
    <row r="27" spans="1:12" ht="17.25" customHeight="1">
      <c r="A27" s="309" t="s">
        <v>588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</row>
  </sheetData>
  <mergeCells count="10">
    <mergeCell ref="A25:L25"/>
    <mergeCell ref="A26:L26"/>
    <mergeCell ref="A27:L27"/>
    <mergeCell ref="A1:L1"/>
    <mergeCell ref="A2:L2"/>
    <mergeCell ref="A22:L22"/>
    <mergeCell ref="A21:L21"/>
    <mergeCell ref="A20:L20"/>
    <mergeCell ref="A23:L23"/>
    <mergeCell ref="A24:L24"/>
  </mergeCells>
  <phoneticPr fontId="35" type="noConversion"/>
  <pageMargins left="0.7" right="0.7" top="0.75" bottom="0.75" header="0.3" footer="0.3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8D4B-AFFC-4AD5-B1BB-02C78677FA97}">
  <dimension ref="A1"/>
  <sheetViews>
    <sheetView workbookViewId="0">
      <selection activeCell="B5" sqref="B5:B8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0DAA-7D47-4FEF-9B0F-5A116ADDD44E}">
  <sheetPr>
    <tabColor rgb="FFC00000"/>
  </sheetPr>
  <dimension ref="A1:F40"/>
  <sheetViews>
    <sheetView showGridLines="0" workbookViewId="0">
      <selection activeCell="B32" sqref="B32"/>
    </sheetView>
  </sheetViews>
  <sheetFormatPr defaultRowHeight="15"/>
  <cols>
    <col min="1" max="1" width="9.42578125" style="7" customWidth="1"/>
    <col min="2" max="2" width="35.85546875" style="7" customWidth="1"/>
    <col min="3" max="3" width="4.140625" customWidth="1"/>
    <col min="4" max="4" width="42.28515625" customWidth="1"/>
  </cols>
  <sheetData>
    <row r="1" spans="1:4" ht="15.75" thickTop="1">
      <c r="A1" s="277" t="s">
        <v>30</v>
      </c>
      <c r="B1" s="278"/>
      <c r="C1" s="278"/>
      <c r="D1" s="279"/>
    </row>
    <row r="2" spans="1:4" ht="15.75" thickBot="1">
      <c r="A2" s="280" t="s">
        <v>31</v>
      </c>
      <c r="B2" s="281"/>
      <c r="C2" s="281"/>
      <c r="D2" s="282"/>
    </row>
    <row r="3" spans="1:4" ht="15.75" thickTop="1">
      <c r="C3" s="159"/>
      <c r="D3" s="159"/>
    </row>
    <row r="4" spans="1:4">
      <c r="B4" s="191" t="s">
        <v>32</v>
      </c>
      <c r="C4" s="9"/>
      <c r="D4" s="192" t="s">
        <v>33</v>
      </c>
    </row>
    <row r="5" spans="1:4">
      <c r="B5" s="191"/>
      <c r="C5" s="9"/>
      <c r="D5" s="193" t="s">
        <v>34</v>
      </c>
    </row>
    <row r="7" spans="1:4" ht="20.100000000000001" customHeight="1">
      <c r="A7" s="190" t="s">
        <v>35</v>
      </c>
      <c r="B7" s="8">
        <v>30225</v>
      </c>
      <c r="C7" s="159"/>
      <c r="D7" s="8">
        <v>7300</v>
      </c>
    </row>
    <row r="8" spans="1:4" ht="20.100000000000001" customHeight="1">
      <c r="A8" s="190" t="s">
        <v>36</v>
      </c>
      <c r="B8" s="8">
        <v>31715</v>
      </c>
      <c r="C8" s="159"/>
      <c r="D8" s="8">
        <v>7100</v>
      </c>
    </row>
    <row r="9" spans="1:4" ht="20.100000000000001" customHeight="1">
      <c r="A9" s="190" t="s">
        <v>37</v>
      </c>
      <c r="B9" s="8">
        <v>37895</v>
      </c>
      <c r="C9" s="159"/>
      <c r="D9" s="8">
        <v>7700</v>
      </c>
    </row>
    <row r="10" spans="1:4" ht="20.100000000000001" customHeight="1">
      <c r="A10" s="190" t="s">
        <v>38</v>
      </c>
      <c r="B10" s="8">
        <v>43066</v>
      </c>
      <c r="C10" s="159"/>
      <c r="D10" s="8">
        <v>8800</v>
      </c>
    </row>
    <row r="11" spans="1:4" ht="20.100000000000001" customHeight="1">
      <c r="A11" s="190" t="s">
        <v>39</v>
      </c>
      <c r="B11" s="8">
        <v>46561</v>
      </c>
      <c r="C11" s="159"/>
      <c r="D11" s="8">
        <v>9700</v>
      </c>
    </row>
    <row r="12" spans="1:4" ht="20.100000000000001" customHeight="1">
      <c r="A12" s="190" t="s">
        <v>40</v>
      </c>
      <c r="B12" s="8">
        <v>48731</v>
      </c>
      <c r="C12" s="159"/>
      <c r="D12" s="8">
        <v>9500</v>
      </c>
    </row>
    <row r="13" spans="1:4" ht="20.100000000000001" customHeight="1">
      <c r="A13" s="190" t="s">
        <v>41</v>
      </c>
      <c r="B13" s="8">
        <v>48681</v>
      </c>
      <c r="C13" s="159"/>
      <c r="D13" s="8">
        <v>9500</v>
      </c>
    </row>
    <row r="14" spans="1:4" ht="20.100000000000001" customHeight="1">
      <c r="A14" s="190" t="s">
        <v>42</v>
      </c>
      <c r="B14" s="8">
        <v>50221</v>
      </c>
      <c r="C14" s="159"/>
      <c r="D14" s="8">
        <v>9800</v>
      </c>
    </row>
    <row r="15" spans="1:4" ht="20.100000000000001" customHeight="1">
      <c r="A15" s="190" t="s">
        <v>43</v>
      </c>
      <c r="B15" s="8">
        <v>52072</v>
      </c>
      <c r="C15" s="159"/>
      <c r="D15" s="8">
        <v>10300</v>
      </c>
    </row>
    <row r="16" spans="1:4" ht="20.100000000000001" customHeight="1">
      <c r="A16" s="190" t="s">
        <v>44</v>
      </c>
      <c r="B16" s="8">
        <v>53504</v>
      </c>
      <c r="C16" s="159"/>
      <c r="D16" s="8">
        <v>11400</v>
      </c>
    </row>
    <row r="17" spans="1:6" ht="20.100000000000001" customHeight="1">
      <c r="A17" s="190" t="s">
        <v>45</v>
      </c>
      <c r="B17" s="8">
        <v>55245</v>
      </c>
      <c r="C17" s="159"/>
      <c r="D17" s="8">
        <v>11900</v>
      </c>
      <c r="E17" s="159"/>
      <c r="F17" s="159"/>
    </row>
    <row r="18" spans="1:6" ht="20.100000000000001" customHeight="1">
      <c r="A18" s="190" t="s">
        <v>46</v>
      </c>
      <c r="B18" s="8">
        <v>54770</v>
      </c>
      <c r="C18" s="159"/>
      <c r="D18" s="8">
        <v>12200</v>
      </c>
      <c r="E18" s="159"/>
      <c r="F18" s="159"/>
    </row>
    <row r="19" spans="1:6" ht="20.100000000000001" customHeight="1">
      <c r="A19" s="190" t="s">
        <v>47</v>
      </c>
      <c r="B19" s="8">
        <v>57413</v>
      </c>
      <c r="C19" s="159"/>
      <c r="D19" s="8">
        <v>13400</v>
      </c>
      <c r="E19" s="159"/>
      <c r="F19" s="159"/>
    </row>
    <row r="20" spans="1:6" ht="20.100000000000001" customHeight="1">
      <c r="A20" s="190" t="s">
        <v>48</v>
      </c>
      <c r="B20" s="8">
        <v>59310</v>
      </c>
      <c r="C20" s="159"/>
      <c r="D20" s="8">
        <v>14500</v>
      </c>
      <c r="E20" s="159"/>
      <c r="F20" s="159"/>
    </row>
    <row r="21" spans="1:6" ht="20.100000000000001" customHeight="1">
      <c r="A21" s="190" t="s">
        <v>49</v>
      </c>
      <c r="B21" s="8">
        <v>54263</v>
      </c>
      <c r="C21" s="159"/>
      <c r="D21" s="8">
        <v>14400</v>
      </c>
      <c r="E21" s="159"/>
      <c r="F21" s="159"/>
    </row>
    <row r="22" spans="1:6" ht="20.100000000000001" customHeight="1">
      <c r="A22" s="190" t="s">
        <v>50</v>
      </c>
      <c r="B22" s="8">
        <v>58183</v>
      </c>
      <c r="C22" s="159"/>
      <c r="D22" s="8">
        <v>14300</v>
      </c>
      <c r="E22" s="159"/>
      <c r="F22" s="159"/>
    </row>
    <row r="23" spans="1:6" ht="20.100000000000001" customHeight="1">
      <c r="A23" s="190" t="s">
        <v>2</v>
      </c>
      <c r="B23" s="8">
        <v>62749</v>
      </c>
      <c r="C23" s="159"/>
      <c r="D23" s="8">
        <v>14400</v>
      </c>
      <c r="E23" s="159"/>
      <c r="F23" s="159"/>
    </row>
    <row r="24" spans="1:6" ht="20.100000000000001" customHeight="1">
      <c r="A24" s="190" t="s">
        <v>3</v>
      </c>
      <c r="B24" s="8">
        <v>56793</v>
      </c>
      <c r="C24" s="159"/>
      <c r="D24" s="8">
        <v>13800</v>
      </c>
      <c r="E24" s="159"/>
      <c r="F24" s="159"/>
    </row>
    <row r="25" spans="1:6" ht="20.100000000000001" customHeight="1">
      <c r="A25" s="190" t="s">
        <v>4</v>
      </c>
      <c r="B25" s="8">
        <v>55425</v>
      </c>
      <c r="C25" s="159"/>
      <c r="D25" s="8">
        <v>14100</v>
      </c>
      <c r="E25" s="159"/>
      <c r="F25" s="159"/>
    </row>
    <row r="26" spans="1:6" ht="20.100000000000001" customHeight="1">
      <c r="A26" s="190" t="s">
        <v>5</v>
      </c>
      <c r="B26" s="8">
        <v>63479</v>
      </c>
      <c r="C26" s="159"/>
      <c r="D26" s="8">
        <v>15000</v>
      </c>
      <c r="E26" s="159"/>
      <c r="F26" s="159"/>
    </row>
    <row r="27" spans="1:6" ht="20.100000000000001" customHeight="1">
      <c r="A27" s="190" t="s">
        <v>51</v>
      </c>
      <c r="B27" s="8">
        <v>62717</v>
      </c>
      <c r="C27" s="159"/>
      <c r="D27" s="8">
        <v>15600</v>
      </c>
      <c r="E27" s="159"/>
      <c r="F27" s="159"/>
    </row>
    <row r="28" spans="1:6" ht="20.100000000000001" customHeight="1">
      <c r="A28" s="190" t="s">
        <v>7</v>
      </c>
      <c r="B28" s="8">
        <v>65142</v>
      </c>
      <c r="C28" s="159"/>
      <c r="D28" s="8">
        <v>15400</v>
      </c>
      <c r="E28" s="159"/>
      <c r="F28" s="159"/>
    </row>
    <row r="29" spans="1:6" ht="20.100000000000001" customHeight="1">
      <c r="A29" s="190" t="s">
        <v>8</v>
      </c>
      <c r="B29" s="8">
        <v>63325</v>
      </c>
      <c r="C29" s="159"/>
      <c r="D29" s="8">
        <v>14900</v>
      </c>
      <c r="E29" s="159"/>
      <c r="F29" s="159"/>
    </row>
    <row r="30" spans="1:6" ht="20.100000000000001" customHeight="1">
      <c r="A30" s="190" t="s">
        <v>9</v>
      </c>
      <c r="B30" s="8">
        <v>61915</v>
      </c>
      <c r="C30" s="159"/>
      <c r="D30" s="8">
        <v>14500</v>
      </c>
      <c r="E30" s="159"/>
      <c r="F30" s="159"/>
    </row>
    <row r="31" spans="1:6" ht="19.5" customHeight="1">
      <c r="A31" s="190" t="s">
        <v>52</v>
      </c>
      <c r="B31" s="8">
        <f>D31*4.27</f>
        <v>57644.999999999993</v>
      </c>
      <c r="C31" s="87"/>
      <c r="D31" s="8">
        <v>13500</v>
      </c>
      <c r="E31" s="159"/>
      <c r="F31" s="159"/>
    </row>
    <row r="32" spans="1:6" s="129" customFormat="1" ht="19.5" customHeight="1">
      <c r="A32" s="190" t="s">
        <v>53</v>
      </c>
      <c r="B32" s="8">
        <f>D32*4.27</f>
        <v>54655.999999999993</v>
      </c>
      <c r="C32" s="87"/>
      <c r="D32" s="8">
        <v>12800</v>
      </c>
      <c r="E32" s="159"/>
      <c r="F32" s="159"/>
    </row>
    <row r="33" spans="1:4" s="159" customFormat="1" ht="19.5" customHeight="1">
      <c r="A33" s="190" t="s">
        <v>54</v>
      </c>
      <c r="B33" s="8">
        <f>D33*4.27</f>
        <v>53844.7</v>
      </c>
      <c r="C33" s="8"/>
      <c r="D33" s="8">
        <v>12610</v>
      </c>
    </row>
    <row r="34" spans="1:4">
      <c r="A34" s="88"/>
      <c r="B34" s="8"/>
      <c r="C34" s="87"/>
      <c r="D34" s="8"/>
    </row>
    <row r="35" spans="1:4">
      <c r="A35" s="89" t="s">
        <v>55</v>
      </c>
      <c r="B35" s="90" t="s">
        <v>56</v>
      </c>
      <c r="C35" s="90"/>
      <c r="D35" s="90"/>
    </row>
    <row r="36" spans="1:4">
      <c r="A36" s="89"/>
      <c r="B36" s="90"/>
      <c r="C36" s="91"/>
      <c r="D36" s="76"/>
    </row>
    <row r="37" spans="1:4">
      <c r="B37" s="90"/>
      <c r="C37" s="91"/>
      <c r="D37" s="159"/>
    </row>
    <row r="39" spans="1:4">
      <c r="A39" s="154" t="s">
        <v>27</v>
      </c>
      <c r="C39" s="159"/>
      <c r="D39" s="159"/>
    </row>
    <row r="40" spans="1:4">
      <c r="A40" s="154" t="s">
        <v>28</v>
      </c>
      <c r="C40" s="159"/>
      <c r="D40" s="159"/>
    </row>
  </sheetData>
  <mergeCells count="2">
    <mergeCell ref="A1:D1"/>
    <mergeCell ref="A2:D2"/>
  </mergeCells>
  <phoneticPr fontId="35" type="noConversion"/>
  <printOptions horizontalCentered="1"/>
  <pageMargins left="0.25" right="0.25" top="0.75" bottom="0.25" header="0.3" footer="0.3"/>
  <pageSetup orientation="portrait" r:id="rId1"/>
  <headerFooter>
    <oddFooter>&amp;LSelected Statistics, 2008 - 2009 edition
&amp;C&amp;"Gill Sans MT,Regular"&amp;10
&amp;R[Page]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690F0-CC9D-49EC-A7CD-6DEFEAEB5C68}">
  <sheetPr>
    <tabColor rgb="FFC00000"/>
    <pageSetUpPr fitToPage="1"/>
  </sheetPr>
  <dimension ref="A1:E32"/>
  <sheetViews>
    <sheetView showGridLines="0" workbookViewId="0">
      <selection activeCell="D28" sqref="D28"/>
    </sheetView>
  </sheetViews>
  <sheetFormatPr defaultRowHeight="15"/>
  <cols>
    <col min="1" max="1" width="8" customWidth="1"/>
    <col min="2" max="2" width="15.7109375" bestFit="1" customWidth="1"/>
    <col min="3" max="3" width="13.7109375" style="7" customWidth="1"/>
    <col min="4" max="4" width="21.85546875" bestFit="1" customWidth="1"/>
    <col min="5" max="5" width="15.140625" customWidth="1"/>
  </cols>
  <sheetData>
    <row r="1" spans="1:5" ht="15.75" thickTop="1">
      <c r="A1" s="277" t="s">
        <v>57</v>
      </c>
      <c r="B1" s="278"/>
      <c r="C1" s="278"/>
      <c r="D1" s="279"/>
      <c r="E1" s="159"/>
    </row>
    <row r="2" spans="1:5" ht="15.75" thickBot="1">
      <c r="A2" s="280" t="s">
        <v>31</v>
      </c>
      <c r="B2" s="281"/>
      <c r="C2" s="281"/>
      <c r="D2" s="282"/>
      <c r="E2" s="159"/>
    </row>
    <row r="3" spans="1:5" ht="15.75" thickTop="1">
      <c r="A3" s="159"/>
      <c r="B3" s="159"/>
      <c r="D3" s="159"/>
      <c r="E3" s="159"/>
    </row>
    <row r="4" spans="1:5" s="11" customFormat="1" ht="27.75" customHeight="1">
      <c r="B4" s="271" t="s">
        <v>58</v>
      </c>
      <c r="C4" s="271" t="s">
        <v>59</v>
      </c>
      <c r="D4" s="185" t="s">
        <v>60</v>
      </c>
    </row>
    <row r="6" spans="1:5" ht="20.100000000000001" customHeight="1">
      <c r="A6" s="184" t="s">
        <v>47</v>
      </c>
      <c r="B6" s="7">
        <v>674</v>
      </c>
      <c r="C6" s="265">
        <v>1105957</v>
      </c>
      <c r="D6" s="263">
        <v>84.2</v>
      </c>
      <c r="E6" s="159"/>
    </row>
    <row r="7" spans="1:5" ht="20.100000000000001" customHeight="1">
      <c r="A7" s="184" t="s">
        <v>48</v>
      </c>
      <c r="B7" s="7">
        <v>701</v>
      </c>
      <c r="C7" s="265">
        <v>1265622</v>
      </c>
      <c r="D7" s="263">
        <v>102.5</v>
      </c>
      <c r="E7" s="159"/>
    </row>
    <row r="8" spans="1:5" ht="20.100000000000001" customHeight="1">
      <c r="A8" s="184" t="s">
        <v>49</v>
      </c>
      <c r="B8" s="7">
        <v>677</v>
      </c>
      <c r="C8" s="265">
        <v>1195709</v>
      </c>
      <c r="D8" s="263">
        <v>101.3</v>
      </c>
      <c r="E8" s="159"/>
    </row>
    <row r="9" spans="1:5" ht="20.100000000000001" customHeight="1">
      <c r="A9" s="184" t="s">
        <v>50</v>
      </c>
      <c r="B9" s="7">
        <v>689</v>
      </c>
      <c r="C9" s="265">
        <v>1220909</v>
      </c>
      <c r="D9" s="263">
        <v>109.3</v>
      </c>
      <c r="E9" s="159"/>
    </row>
    <row r="10" spans="1:5" ht="20.100000000000001" customHeight="1">
      <c r="A10" s="184" t="s">
        <v>2</v>
      </c>
      <c r="B10" s="7">
        <v>680</v>
      </c>
      <c r="C10" s="109">
        <v>1356557</v>
      </c>
      <c r="D10" s="263">
        <v>131.65</v>
      </c>
      <c r="E10" s="109"/>
    </row>
    <row r="11" spans="1:5" ht="20.100000000000001" customHeight="1">
      <c r="A11" s="184" t="s">
        <v>3</v>
      </c>
      <c r="B11" s="7">
        <v>625</v>
      </c>
      <c r="C11" s="265">
        <v>1276965</v>
      </c>
      <c r="D11" s="263">
        <v>129.08000000000001</v>
      </c>
      <c r="E11" s="109"/>
    </row>
    <row r="12" spans="1:5" ht="20.100000000000001" customHeight="1">
      <c r="A12" s="184" t="s">
        <v>4</v>
      </c>
      <c r="B12" s="7">
        <v>539</v>
      </c>
      <c r="C12" s="266">
        <v>1163937</v>
      </c>
      <c r="D12" s="263">
        <v>127.2</v>
      </c>
      <c r="E12" s="106"/>
    </row>
    <row r="13" spans="1:5" ht="20.100000000000001" customHeight="1">
      <c r="A13" s="184" t="s">
        <v>5</v>
      </c>
      <c r="B13" s="7">
        <v>663</v>
      </c>
      <c r="C13" s="266">
        <v>1348163</v>
      </c>
      <c r="D13" s="263">
        <v>154</v>
      </c>
      <c r="E13" s="106"/>
    </row>
    <row r="14" spans="1:5" ht="20.100000000000001" customHeight="1">
      <c r="A14" s="184" t="s">
        <v>51</v>
      </c>
      <c r="B14" s="7">
        <v>609</v>
      </c>
      <c r="C14" s="265">
        <v>1386925</v>
      </c>
      <c r="D14" s="263">
        <v>167.11</v>
      </c>
      <c r="E14" s="106"/>
    </row>
    <row r="15" spans="1:5" ht="20.100000000000001" customHeight="1">
      <c r="A15" s="184" t="s">
        <v>7</v>
      </c>
      <c r="B15" s="7">
        <v>550</v>
      </c>
      <c r="C15" s="265">
        <v>1300115</v>
      </c>
      <c r="D15" s="264">
        <v>160.88</v>
      </c>
      <c r="E15" s="106"/>
    </row>
    <row r="16" spans="1:5" ht="20.100000000000001" customHeight="1">
      <c r="A16" s="184" t="s">
        <v>8</v>
      </c>
      <c r="B16" s="7">
        <v>566</v>
      </c>
      <c r="C16" s="265">
        <v>1375433</v>
      </c>
      <c r="D16" s="264">
        <v>172.2</v>
      </c>
      <c r="E16" s="106"/>
    </row>
    <row r="17" spans="1:5" ht="20.100000000000001" customHeight="1">
      <c r="A17" s="184" t="s">
        <v>9</v>
      </c>
      <c r="B17" s="7">
        <v>581</v>
      </c>
      <c r="C17" s="267">
        <v>1496853</v>
      </c>
      <c r="D17" s="264">
        <v>194.35</v>
      </c>
      <c r="E17" s="257"/>
    </row>
    <row r="18" spans="1:5" ht="21.75" customHeight="1">
      <c r="A18" s="184" t="s">
        <v>10</v>
      </c>
      <c r="B18" s="7">
        <v>470</v>
      </c>
      <c r="C18" s="268">
        <v>1232010</v>
      </c>
      <c r="D18" s="264">
        <v>173.68</v>
      </c>
      <c r="E18" s="262"/>
    </row>
    <row r="19" spans="1:5" ht="21" customHeight="1">
      <c r="A19" s="184" t="s">
        <v>11</v>
      </c>
      <c r="B19" s="7">
        <v>465</v>
      </c>
      <c r="C19" s="268">
        <v>1193549</v>
      </c>
      <c r="D19" s="264">
        <v>171.4</v>
      </c>
      <c r="E19" s="262"/>
    </row>
    <row r="20" spans="1:5" s="158" customFormat="1" ht="21" customHeight="1">
      <c r="A20" s="184" t="s">
        <v>12</v>
      </c>
      <c r="B20" s="7">
        <v>475</v>
      </c>
      <c r="C20" s="268">
        <v>1165758</v>
      </c>
      <c r="D20" s="264">
        <v>169.3</v>
      </c>
      <c r="E20" s="262"/>
    </row>
    <row r="22" spans="1:5">
      <c r="A22" s="154" t="s">
        <v>27</v>
      </c>
      <c r="B22" s="159"/>
      <c r="D22" s="159"/>
      <c r="E22" s="159"/>
    </row>
    <row r="23" spans="1:5">
      <c r="A23" s="154" t="s">
        <v>28</v>
      </c>
      <c r="B23" s="159"/>
      <c r="D23" s="159"/>
      <c r="E23" s="159"/>
    </row>
    <row r="32" spans="1:5">
      <c r="A32" s="159"/>
      <c r="B32" s="159"/>
      <c r="D32" s="194"/>
      <c r="E32" s="159"/>
    </row>
  </sheetData>
  <mergeCells count="2">
    <mergeCell ref="A1:D1"/>
    <mergeCell ref="A2:D2"/>
  </mergeCells>
  <phoneticPr fontId="35" type="noConversion"/>
  <printOptions horizontalCentered="1"/>
  <pageMargins left="0.7" right="0.7" top="0.75" bottom="0.75" header="0.3" footer="0.3"/>
  <pageSetup scale="70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3712-0454-4E22-97C0-3DBCE5A703F8}">
  <sheetPr>
    <tabColor rgb="FFC00000"/>
  </sheetPr>
  <dimension ref="A1:K202"/>
  <sheetViews>
    <sheetView showGridLines="0" topLeftCell="A145" workbookViewId="0">
      <selection activeCell="C19" sqref="C19"/>
    </sheetView>
  </sheetViews>
  <sheetFormatPr defaultRowHeight="15"/>
  <cols>
    <col min="1" max="1" width="10.42578125" style="13" bestFit="1" customWidth="1"/>
    <col min="2" max="4" width="10.42578125" style="10" bestFit="1" customWidth="1"/>
    <col min="5" max="5" width="9.28515625" style="10" bestFit="1" customWidth="1"/>
    <col min="6" max="6" width="4.7109375" style="10" customWidth="1"/>
    <col min="7" max="7" width="10.28515625" style="10" customWidth="1"/>
    <col min="8" max="8" width="9.28515625" style="10" bestFit="1" customWidth="1"/>
    <col min="9" max="9" width="9.42578125" style="10" bestFit="1" customWidth="1"/>
    <col min="10" max="11" width="9.28515625" style="10" bestFit="1" customWidth="1"/>
    <col min="12" max="16384" width="9.140625" style="13"/>
  </cols>
  <sheetData>
    <row r="1" spans="1:11" ht="15.75" thickTop="1">
      <c r="A1" s="277" t="s">
        <v>61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</row>
    <row r="2" spans="1:11">
      <c r="A2" s="275" t="s">
        <v>62</v>
      </c>
      <c r="B2" s="276"/>
      <c r="C2" s="276"/>
      <c r="D2" s="276"/>
      <c r="E2" s="276"/>
      <c r="F2" s="276"/>
      <c r="G2" s="276"/>
      <c r="H2" s="276"/>
      <c r="I2" s="276"/>
      <c r="J2" s="276"/>
      <c r="K2" s="284"/>
    </row>
    <row r="3" spans="1:11" ht="15.75" thickBot="1">
      <c r="A3" s="280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2"/>
    </row>
    <row r="4" spans="1:11" ht="15.75" thickTop="1"/>
    <row r="5" spans="1:11">
      <c r="A5" s="310"/>
      <c r="B5" s="285" t="s">
        <v>63</v>
      </c>
      <c r="C5" s="285"/>
      <c r="D5" s="285"/>
      <c r="E5" s="285"/>
      <c r="F5" s="311"/>
      <c r="G5" s="285" t="s">
        <v>64</v>
      </c>
      <c r="H5" s="285"/>
      <c r="I5" s="285"/>
      <c r="J5" s="285"/>
      <c r="K5" s="271"/>
    </row>
    <row r="6" spans="1:11" ht="26.25">
      <c r="A6" s="312"/>
      <c r="B6" s="161" t="s">
        <v>65</v>
      </c>
      <c r="C6" s="161" t="s">
        <v>66</v>
      </c>
      <c r="D6" s="161" t="s">
        <v>67</v>
      </c>
      <c r="E6" s="161" t="s">
        <v>68</v>
      </c>
      <c r="F6" s="23"/>
      <c r="G6" s="161" t="s">
        <v>65</v>
      </c>
      <c r="H6" s="161" t="s">
        <v>66</v>
      </c>
      <c r="I6" s="161" t="s">
        <v>67</v>
      </c>
      <c r="J6" s="161" t="s">
        <v>68</v>
      </c>
      <c r="K6" s="161" t="s">
        <v>69</v>
      </c>
    </row>
    <row r="7" spans="1:11">
      <c r="A7" s="22"/>
      <c r="B7" s="312"/>
      <c r="C7" s="312"/>
      <c r="D7" s="312"/>
      <c r="E7" s="312"/>
      <c r="F7" s="312"/>
      <c r="G7" s="312"/>
      <c r="H7" s="312"/>
      <c r="I7" s="312"/>
      <c r="J7" s="312"/>
      <c r="K7" s="312"/>
    </row>
    <row r="8" spans="1:11">
      <c r="A8" s="270" t="s">
        <v>70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</row>
    <row r="9" spans="1:11">
      <c r="A9" s="24">
        <v>36709</v>
      </c>
      <c r="B9" s="121">
        <v>85.685454545454547</v>
      </c>
      <c r="C9" s="121">
        <v>100.67555555555555</v>
      </c>
      <c r="D9" s="121">
        <v>136.62600000000003</v>
      </c>
      <c r="E9" s="162">
        <v>107.16266666666667</v>
      </c>
      <c r="G9" s="121">
        <v>84.111395348837206</v>
      </c>
      <c r="H9" s="121">
        <v>112.94</v>
      </c>
      <c r="I9" s="121">
        <v>146.49799999999999</v>
      </c>
      <c r="J9" s="162">
        <v>93.091111111111132</v>
      </c>
      <c r="K9" s="163">
        <v>98.116666666666703</v>
      </c>
    </row>
    <row r="10" spans="1:11">
      <c r="A10" s="24">
        <v>36740</v>
      </c>
      <c r="B10" s="121">
        <v>86.089999999999989</v>
      </c>
      <c r="C10" s="121">
        <v>100.50444444444445</v>
      </c>
      <c r="D10" s="121">
        <v>140.22555555555556</v>
      </c>
      <c r="E10" s="162">
        <v>107.36413793103448</v>
      </c>
      <c r="G10" s="121">
        <v>81.009069767441844</v>
      </c>
      <c r="H10" s="121">
        <v>107.60666666666667</v>
      </c>
      <c r="I10" s="121">
        <v>140.9</v>
      </c>
      <c r="J10" s="162">
        <v>89.509814814814789</v>
      </c>
      <c r="K10" s="163">
        <v>95.748072289156624</v>
      </c>
    </row>
    <row r="11" spans="1:11">
      <c r="A11" s="24">
        <v>36771</v>
      </c>
      <c r="B11" s="121">
        <v>82.871818181818199</v>
      </c>
      <c r="C11" s="121">
        <v>101.38333333333334</v>
      </c>
      <c r="D11" s="121">
        <v>138.85333333333335</v>
      </c>
      <c r="E11" s="162">
        <v>105.99034482758621</v>
      </c>
      <c r="G11" s="121">
        <v>81.901162790697668</v>
      </c>
      <c r="H11" s="121">
        <v>121.06166666666667</v>
      </c>
      <c r="I11" s="121">
        <v>139.298</v>
      </c>
      <c r="J11" s="162">
        <v>91.566851851851865</v>
      </c>
      <c r="K11" s="163">
        <v>96.606385542168681</v>
      </c>
    </row>
    <row r="12" spans="1:11">
      <c r="A12" s="24">
        <v>36801</v>
      </c>
      <c r="B12" s="121">
        <v>82.944545454545462</v>
      </c>
      <c r="C12" s="121">
        <v>101.66444444444443</v>
      </c>
      <c r="D12" s="121">
        <v>143.80777777777777</v>
      </c>
      <c r="E12" s="162">
        <v>107.64275862068966</v>
      </c>
      <c r="G12" s="121">
        <v>83.060465116279062</v>
      </c>
      <c r="H12" s="121">
        <v>105.68499999999999</v>
      </c>
      <c r="I12" s="121">
        <v>157.21800000000002</v>
      </c>
      <c r="J12" s="162">
        <v>92.440740740740765</v>
      </c>
      <c r="K12" s="163">
        <v>97.752289156626517</v>
      </c>
    </row>
    <row r="13" spans="1:11">
      <c r="A13" s="24">
        <v>36832</v>
      </c>
      <c r="B13" s="121">
        <v>88.13545454545455</v>
      </c>
      <c r="C13" s="121">
        <v>109.3288888888889</v>
      </c>
      <c r="D13" s="121">
        <v>152.71111111111111</v>
      </c>
      <c r="E13" s="162">
        <v>114.75344827586206</v>
      </c>
      <c r="G13" s="121">
        <v>84.017674418604656</v>
      </c>
      <c r="H13" s="121">
        <v>106.72666666666667</v>
      </c>
      <c r="I13" s="121">
        <v>171.98600000000002</v>
      </c>
      <c r="J13" s="162">
        <v>94.686111111111103</v>
      </c>
      <c r="K13" s="163">
        <v>101.6975903614458</v>
      </c>
    </row>
    <row r="14" spans="1:11">
      <c r="A14" s="24">
        <v>36862</v>
      </c>
      <c r="B14" s="121">
        <v>95.524545454545446</v>
      </c>
      <c r="C14" s="121">
        <v>112.92777777777778</v>
      </c>
      <c r="D14" s="121">
        <v>199.61199999999999</v>
      </c>
      <c r="E14" s="162">
        <v>135.44133333333332</v>
      </c>
      <c r="F14" s="13"/>
      <c r="G14" s="121">
        <v>88.231162790697667</v>
      </c>
      <c r="H14" s="121">
        <v>98.593333333333348</v>
      </c>
      <c r="I14" s="121">
        <v>293.59800000000001</v>
      </c>
      <c r="J14" s="162">
        <v>108.39796296296299</v>
      </c>
      <c r="K14" s="163">
        <v>118.0563095238095</v>
      </c>
    </row>
    <row r="15" spans="1:11">
      <c r="A15" s="270">
        <v>2000</v>
      </c>
      <c r="B15" s="31"/>
      <c r="C15" s="31"/>
      <c r="D15" s="31"/>
      <c r="F15" s="13"/>
      <c r="G15" s="31"/>
      <c r="H15" s="31"/>
      <c r="I15" s="31"/>
    </row>
    <row r="16" spans="1:11">
      <c r="A16" s="24">
        <v>36894</v>
      </c>
      <c r="B16" s="121">
        <v>100.7418181818182</v>
      </c>
      <c r="C16" s="121">
        <v>125.25111111111111</v>
      </c>
      <c r="D16" s="121">
        <v>208.07</v>
      </c>
      <c r="E16" s="162">
        <v>143.87066666666666</v>
      </c>
      <c r="F16" s="13"/>
      <c r="G16" s="121">
        <v>91.515476190476164</v>
      </c>
      <c r="H16" s="121">
        <v>110.60333333333334</v>
      </c>
      <c r="I16" s="121">
        <v>291.40200000000004</v>
      </c>
      <c r="J16" s="162">
        <v>112.53358490566039</v>
      </c>
      <c r="K16" s="163">
        <v>123.86024096385542</v>
      </c>
    </row>
    <row r="17" spans="1:11">
      <c r="A17" s="24">
        <v>36925</v>
      </c>
      <c r="B17" s="121">
        <v>108.52636363636363</v>
      </c>
      <c r="C17" s="121">
        <v>124.69222222222223</v>
      </c>
      <c r="D17" s="121">
        <v>218.20300000000003</v>
      </c>
      <c r="E17" s="162">
        <v>149.93499999999997</v>
      </c>
      <c r="F17" s="13"/>
      <c r="G17" s="121">
        <v>91.84809523809524</v>
      </c>
      <c r="H17" s="121">
        <v>110.91333333333334</v>
      </c>
      <c r="I17" s="121">
        <v>326.41600000000005</v>
      </c>
      <c r="J17" s="162">
        <v>116.13547169811319</v>
      </c>
      <c r="K17" s="163">
        <v>128.35216867469885</v>
      </c>
    </row>
    <row r="18" spans="1:11">
      <c r="A18" s="24">
        <v>36953</v>
      </c>
      <c r="B18" s="121">
        <v>103.72454545454546</v>
      </c>
      <c r="C18" s="121">
        <v>124.10444444444445</v>
      </c>
      <c r="D18" s="121">
        <v>206.97100000000006</v>
      </c>
      <c r="E18" s="162">
        <v>144.25400000000002</v>
      </c>
      <c r="F18" s="13"/>
      <c r="G18" s="121">
        <v>88.844285714285718</v>
      </c>
      <c r="H18" s="121">
        <v>111.23</v>
      </c>
      <c r="I18" s="121">
        <v>292.04400000000004</v>
      </c>
      <c r="J18" s="162">
        <v>110.54830188679246</v>
      </c>
      <c r="K18" s="163">
        <v>122.73108433734936</v>
      </c>
    </row>
    <row r="19" spans="1:11">
      <c r="A19" s="24">
        <v>36984</v>
      </c>
      <c r="B19" s="121">
        <v>93.86727272727272</v>
      </c>
      <c r="C19" s="121">
        <v>111.85800000000002</v>
      </c>
      <c r="D19" s="121">
        <v>188.56599999999997</v>
      </c>
      <c r="E19" s="162">
        <v>130.21870967741935</v>
      </c>
      <c r="F19" s="13"/>
      <c r="G19" s="121">
        <v>85.969285714285704</v>
      </c>
      <c r="H19" s="121">
        <v>115.16166666666668</v>
      </c>
      <c r="I19" s="121">
        <v>230.304</v>
      </c>
      <c r="J19" s="162">
        <v>102.89056603773581</v>
      </c>
      <c r="K19" s="163">
        <v>112.97595238095239</v>
      </c>
    </row>
    <row r="20" spans="1:11">
      <c r="A20" s="24">
        <v>37014</v>
      </c>
      <c r="B20" s="121">
        <v>92.304545454545462</v>
      </c>
      <c r="C20" s="121">
        <v>104.10799999999999</v>
      </c>
      <c r="D20" s="121">
        <v>160.67899999999997</v>
      </c>
      <c r="E20" s="162">
        <v>118.16838709677417</v>
      </c>
      <c r="F20" s="13"/>
      <c r="G20" s="121">
        <v>85.627142857142843</v>
      </c>
      <c r="H20" s="121">
        <v>124.39833333333333</v>
      </c>
      <c r="I20" s="121">
        <v>181.60600000000002</v>
      </c>
      <c r="J20" s="162">
        <v>99.070943396226397</v>
      </c>
      <c r="K20" s="163">
        <v>106.11880952380955</v>
      </c>
    </row>
    <row r="21" spans="1:11">
      <c r="A21" s="24">
        <v>37045</v>
      </c>
      <c r="B21" s="121">
        <v>88.579090909090922</v>
      </c>
      <c r="C21" s="121">
        <v>104.39700000000001</v>
      </c>
      <c r="D21" s="121">
        <v>149.04900000000004</v>
      </c>
      <c r="E21" s="162">
        <v>113.18806451612905</v>
      </c>
      <c r="F21" s="13"/>
      <c r="G21" s="121">
        <v>85.447142857142836</v>
      </c>
      <c r="H21" s="121">
        <v>110.91333333333334</v>
      </c>
      <c r="I21" s="121">
        <v>150.01</v>
      </c>
      <c r="J21" s="162">
        <v>94.420943396226406</v>
      </c>
      <c r="K21" s="163">
        <v>101.34690476190475</v>
      </c>
    </row>
    <row r="22" spans="1:11">
      <c r="A22" s="270" t="s">
        <v>71</v>
      </c>
      <c r="B22" s="165">
        <v>92.416287878787898</v>
      </c>
      <c r="C22" s="165">
        <v>108.62533333333332</v>
      </c>
      <c r="D22" s="165">
        <v>167.55895021645023</v>
      </c>
      <c r="E22" s="164">
        <v>123.31190476190476</v>
      </c>
      <c r="F22" s="13"/>
      <c r="G22" s="165">
        <v>85.773914728682172</v>
      </c>
      <c r="H22" s="165">
        <v>111.31944444444444</v>
      </c>
      <c r="I22" s="165">
        <v>210.10666666666665</v>
      </c>
      <c r="J22" s="164">
        <v>100.1245987654321</v>
      </c>
      <c r="K22" s="165">
        <v>108.75243355481724</v>
      </c>
    </row>
    <row r="23" spans="1:11">
      <c r="A23" s="22"/>
      <c r="B23" s="312"/>
      <c r="C23" s="312"/>
      <c r="D23" s="312"/>
      <c r="E23" s="312"/>
      <c r="F23" s="312"/>
      <c r="G23" s="312"/>
      <c r="H23" s="312"/>
      <c r="I23" s="312"/>
      <c r="J23" s="312"/>
      <c r="K23" s="312"/>
    </row>
    <row r="24" spans="1:11">
      <c r="A24" s="270" t="s">
        <v>72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</row>
    <row r="25" spans="1:11">
      <c r="A25" s="24">
        <v>36709</v>
      </c>
      <c r="B25" s="121">
        <v>84.148333333333326</v>
      </c>
      <c r="C25" s="121">
        <v>98.594000000000008</v>
      </c>
      <c r="D25" s="121">
        <v>143.529</v>
      </c>
      <c r="E25" s="162">
        <v>107.21906250000002</v>
      </c>
      <c r="F25" s="312"/>
      <c r="G25" s="121">
        <v>86.118837209302313</v>
      </c>
      <c r="H25" s="121">
        <v>109.44333333333333</v>
      </c>
      <c r="I25" s="121">
        <v>150.72999999999999</v>
      </c>
      <c r="J25" s="162">
        <v>94.692962962962952</v>
      </c>
      <c r="K25" s="163">
        <v>99.353837209302284</v>
      </c>
    </row>
    <row r="26" spans="1:11">
      <c r="A26" s="24">
        <v>36740</v>
      </c>
      <c r="B26" s="121">
        <v>88.238181818181815</v>
      </c>
      <c r="C26" s="121">
        <v>102.417</v>
      </c>
      <c r="D26" s="121">
        <v>141.54900000000001</v>
      </c>
      <c r="E26" s="162">
        <v>110.00903225806449</v>
      </c>
      <c r="F26" s="312"/>
      <c r="G26" s="121">
        <v>92.911136363636373</v>
      </c>
      <c r="H26" s="121">
        <v>105.89999999999999</v>
      </c>
      <c r="I26" s="121">
        <v>143.43200000000002</v>
      </c>
      <c r="J26" s="162">
        <v>98.920909090909078</v>
      </c>
      <c r="K26" s="163">
        <v>102.91779069767442</v>
      </c>
    </row>
    <row r="27" spans="1:11">
      <c r="A27" s="24">
        <v>36771</v>
      </c>
      <c r="B27" s="121">
        <v>85.531818181818181</v>
      </c>
      <c r="C27" s="121">
        <v>98.881</v>
      </c>
      <c r="D27" s="121">
        <v>138.88200000000001</v>
      </c>
      <c r="E27" s="162">
        <v>107.04774193548387</v>
      </c>
      <c r="F27" s="312"/>
      <c r="G27" s="121">
        <v>86.137906976744176</v>
      </c>
      <c r="H27" s="121">
        <v>141.63857142857142</v>
      </c>
      <c r="I27" s="121">
        <v>143.25600000000003</v>
      </c>
      <c r="J27" s="162">
        <v>98.394181818181806</v>
      </c>
      <c r="K27" s="163">
        <v>101.51348837209304</v>
      </c>
    </row>
    <row r="28" spans="1:11">
      <c r="A28" s="24">
        <v>36801</v>
      </c>
      <c r="B28" s="121">
        <v>85.838181818181823</v>
      </c>
      <c r="C28" s="121">
        <v>100.92699999999999</v>
      </c>
      <c r="D28" s="121">
        <v>146.56799999999998</v>
      </c>
      <c r="E28" s="162">
        <v>110.29580645161289</v>
      </c>
      <c r="F28" s="312"/>
      <c r="G28" s="121">
        <v>85.035581395348856</v>
      </c>
      <c r="H28" s="121">
        <v>136.60285714285715</v>
      </c>
      <c r="I28" s="121">
        <v>153.298</v>
      </c>
      <c r="J28" s="162">
        <v>97.804363636363632</v>
      </c>
      <c r="K28" s="163">
        <v>102.30709302325583</v>
      </c>
    </row>
    <row r="29" spans="1:11">
      <c r="A29" s="24">
        <v>36832</v>
      </c>
      <c r="B29" s="121">
        <v>90.475454545454554</v>
      </c>
      <c r="C29" s="121">
        <v>106.68299999999999</v>
      </c>
      <c r="D29" s="121">
        <v>153.702</v>
      </c>
      <c r="E29" s="162">
        <v>116.09935483870966</v>
      </c>
      <c r="F29" s="312"/>
      <c r="G29" s="121">
        <v>88.03813953488374</v>
      </c>
      <c r="H29" s="121">
        <v>145.5685714285714</v>
      </c>
      <c r="I29" s="121">
        <v>175.93600000000001</v>
      </c>
      <c r="J29" s="162">
        <v>103.3509090909091</v>
      </c>
      <c r="K29" s="163">
        <v>107.94627906976751</v>
      </c>
    </row>
    <row r="30" spans="1:11">
      <c r="A30" s="24">
        <v>36862</v>
      </c>
      <c r="B30" s="121">
        <v>102.22363636363637</v>
      </c>
      <c r="C30" s="121">
        <v>118.099</v>
      </c>
      <c r="D30" s="121">
        <v>183.24200000000002</v>
      </c>
      <c r="E30" s="162">
        <v>133.47967741935483</v>
      </c>
      <c r="F30" s="312"/>
      <c r="G30" s="121">
        <v>90.10534883720932</v>
      </c>
      <c r="H30" s="121">
        <v>156.87857142857143</v>
      </c>
      <c r="I30" s="121">
        <v>309.8</v>
      </c>
      <c r="J30" s="162">
        <v>118.57599999999999</v>
      </c>
      <c r="K30" s="163">
        <v>123.94825581395349</v>
      </c>
    </row>
    <row r="31" spans="1:11">
      <c r="A31" s="270">
        <v>2001</v>
      </c>
      <c r="B31" s="313"/>
      <c r="C31" s="313"/>
      <c r="D31" s="313"/>
      <c r="E31" s="314"/>
      <c r="F31" s="312"/>
      <c r="G31" s="313"/>
      <c r="H31" s="313"/>
      <c r="I31" s="313"/>
      <c r="J31" s="314"/>
      <c r="K31" s="314"/>
    </row>
    <row r="32" spans="1:11">
      <c r="A32" s="24">
        <v>36894</v>
      </c>
      <c r="B32" s="121">
        <v>110.9281818181818</v>
      </c>
      <c r="C32" s="121">
        <v>118.649</v>
      </c>
      <c r="D32" s="121">
        <v>187.40699999999998</v>
      </c>
      <c r="E32" s="162">
        <v>138.08935483870968</v>
      </c>
      <c r="F32" s="312"/>
      <c r="G32" s="121">
        <v>94.138139534883734</v>
      </c>
      <c r="H32" s="121">
        <v>156.30000000000001</v>
      </c>
      <c r="I32" s="121">
        <v>301.19799999999998</v>
      </c>
      <c r="J32" s="162">
        <v>120.87327272727272</v>
      </c>
      <c r="K32" s="163">
        <v>127.07906976744189</v>
      </c>
    </row>
    <row r="33" spans="1:11">
      <c r="A33" s="24">
        <v>36925</v>
      </c>
      <c r="B33" s="121">
        <v>111.42090909090908</v>
      </c>
      <c r="C33" s="121">
        <v>120.86299999999999</v>
      </c>
      <c r="D33" s="121">
        <v>199.86299999999997</v>
      </c>
      <c r="E33" s="162">
        <v>142.9964516129032</v>
      </c>
      <c r="F33" s="312"/>
      <c r="G33" s="121">
        <v>94.884651162790732</v>
      </c>
      <c r="H33" s="121">
        <v>160.66</v>
      </c>
      <c r="I33" s="121">
        <v>329.33599999999996</v>
      </c>
      <c r="J33" s="162">
        <v>124.56981818181822</v>
      </c>
      <c r="K33" s="163">
        <v>131.21197674418599</v>
      </c>
    </row>
    <row r="34" spans="1:11">
      <c r="A34" s="24">
        <v>36953</v>
      </c>
      <c r="B34" s="121">
        <v>108.23</v>
      </c>
      <c r="C34" s="121">
        <v>119.31700000000004</v>
      </c>
      <c r="D34" s="121">
        <v>194.67799999999997</v>
      </c>
      <c r="E34" s="162">
        <v>139.69290322580648</v>
      </c>
      <c r="F34" s="312"/>
      <c r="G34" s="121">
        <v>90.516976744186067</v>
      </c>
      <c r="H34" s="121">
        <v>154.76285714285714</v>
      </c>
      <c r="I34" s="121">
        <v>294.75400000000002</v>
      </c>
      <c r="J34" s="162">
        <v>117.26072727272729</v>
      </c>
      <c r="K34" s="163">
        <v>125.34674418604651</v>
      </c>
    </row>
    <row r="35" spans="1:11">
      <c r="A35" s="24">
        <v>36984</v>
      </c>
      <c r="B35" s="121">
        <v>100.40090909090908</v>
      </c>
      <c r="C35" s="121">
        <v>118.352</v>
      </c>
      <c r="D35" s="121">
        <v>183.44900000000001</v>
      </c>
      <c r="E35" s="162">
        <v>132.98129032258069</v>
      </c>
      <c r="F35" s="312"/>
      <c r="G35" s="121">
        <v>87.476511627906987</v>
      </c>
      <c r="H35" s="121">
        <v>151.46714285714287</v>
      </c>
      <c r="I35" s="121">
        <v>235.30799999999999</v>
      </c>
      <c r="J35" s="162">
        <v>109.06000000000002</v>
      </c>
      <c r="K35" s="163">
        <v>117.68279069767439</v>
      </c>
    </row>
    <row r="36" spans="1:11">
      <c r="A36" s="24">
        <v>37014</v>
      </c>
      <c r="B36" s="121">
        <v>90.82</v>
      </c>
      <c r="C36" s="121">
        <v>105.84200000000003</v>
      </c>
      <c r="D36" s="121">
        <v>150.45499999999998</v>
      </c>
      <c r="E36" s="162">
        <v>114.90290322580645</v>
      </c>
      <c r="F36" s="312"/>
      <c r="G36" s="121">
        <v>87.589767441860474</v>
      </c>
      <c r="H36" s="121">
        <v>151.47857142857143</v>
      </c>
      <c r="I36" s="121">
        <v>182.05599999999998</v>
      </c>
      <c r="J36" s="162">
        <v>104.30890909090914</v>
      </c>
      <c r="K36" s="163">
        <v>108.12767441860467</v>
      </c>
    </row>
    <row r="37" spans="1:11">
      <c r="A37" s="24">
        <v>37045</v>
      </c>
      <c r="B37" s="121">
        <v>89.36999999999999</v>
      </c>
      <c r="C37" s="121">
        <v>101.619</v>
      </c>
      <c r="D37" s="121">
        <v>144.50500000000002</v>
      </c>
      <c r="E37" s="162">
        <v>111.10677419354839</v>
      </c>
      <c r="F37" s="312"/>
      <c r="G37" s="121">
        <v>89.792093023255816</v>
      </c>
      <c r="H37" s="121">
        <v>143.16285714285715</v>
      </c>
      <c r="I37" s="121">
        <v>155.09</v>
      </c>
      <c r="J37" s="162">
        <v>102.5209090909091</v>
      </c>
      <c r="K37" s="163">
        <v>105.6158139534884</v>
      </c>
    </row>
    <row r="38" spans="1:11">
      <c r="A38" s="270" t="s">
        <v>71</v>
      </c>
      <c r="B38" s="165">
        <v>91.687708333333333</v>
      </c>
      <c r="C38" s="165">
        <v>109.18691666666666</v>
      </c>
      <c r="D38" s="165">
        <v>163.98575</v>
      </c>
      <c r="E38" s="164">
        <v>119.74934895833334</v>
      </c>
      <c r="F38" s="22"/>
      <c r="G38" s="165">
        <v>97.242540740740722</v>
      </c>
      <c r="H38" s="165">
        <v>149.12738095238095</v>
      </c>
      <c r="I38" s="165">
        <v>214.51616666666669</v>
      </c>
      <c r="J38" s="164">
        <v>107.2138882575758</v>
      </c>
      <c r="K38" s="165">
        <v>111.7722376033058</v>
      </c>
    </row>
    <row r="39" spans="1:11">
      <c r="A39" s="22"/>
      <c r="B39" s="312"/>
      <c r="C39" s="312"/>
      <c r="D39" s="312"/>
      <c r="E39" s="312"/>
      <c r="F39" s="312"/>
      <c r="G39" s="312"/>
      <c r="H39" s="312"/>
      <c r="I39" s="312"/>
      <c r="J39" s="312"/>
      <c r="K39" s="312"/>
    </row>
    <row r="40" spans="1:11">
      <c r="A40" s="270" t="s">
        <v>73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</row>
    <row r="41" spans="1:11">
      <c r="A41" s="24">
        <v>37074</v>
      </c>
      <c r="B41" s="121">
        <v>85.476363636363644</v>
      </c>
      <c r="C41" s="121">
        <v>97.120999999999995</v>
      </c>
      <c r="D41" s="121">
        <v>138.52399999999997</v>
      </c>
      <c r="E41" s="162">
        <v>106.34483870967745</v>
      </c>
      <c r="F41" s="312"/>
      <c r="G41" s="121">
        <v>88.292249999999996</v>
      </c>
      <c r="H41" s="121">
        <v>147.61999999999998</v>
      </c>
      <c r="I41" s="121">
        <v>150.946</v>
      </c>
      <c r="J41" s="162">
        <v>102.30307692307693</v>
      </c>
      <c r="K41" s="163">
        <v>103.81265060240968</v>
      </c>
    </row>
    <row r="42" spans="1:11">
      <c r="A42" s="24">
        <v>37105</v>
      </c>
      <c r="B42" s="121">
        <v>86.539090909090902</v>
      </c>
      <c r="C42" s="121">
        <v>99.080000000000013</v>
      </c>
      <c r="D42" s="121">
        <v>136.006</v>
      </c>
      <c r="E42" s="162">
        <v>106.54161290322581</v>
      </c>
      <c r="F42" s="312"/>
      <c r="G42" s="121">
        <v>85.161500000000018</v>
      </c>
      <c r="H42" s="121">
        <v>147.38999999999999</v>
      </c>
      <c r="I42" s="121">
        <v>146.04400000000004</v>
      </c>
      <c r="J42" s="162">
        <v>100.29811320754719</v>
      </c>
      <c r="K42" s="163">
        <v>102.60226190476195</v>
      </c>
    </row>
    <row r="43" spans="1:11">
      <c r="A43" s="24">
        <v>37136</v>
      </c>
      <c r="B43" s="121">
        <v>84.256363636363645</v>
      </c>
      <c r="C43" s="121">
        <v>93.378999999999991</v>
      </c>
      <c r="D43" s="121">
        <v>136.44499999999999</v>
      </c>
      <c r="E43" s="162">
        <v>104.03419354838711</v>
      </c>
      <c r="F43" s="312"/>
      <c r="G43" s="121">
        <v>80.888000000000005</v>
      </c>
      <c r="H43" s="121">
        <v>141.22624999999999</v>
      </c>
      <c r="I43" s="121">
        <v>133.934</v>
      </c>
      <c r="J43" s="162">
        <v>95</v>
      </c>
      <c r="K43" s="163">
        <v>98.334047619047638</v>
      </c>
    </row>
    <row r="44" spans="1:11">
      <c r="A44" s="24">
        <v>37166</v>
      </c>
      <c r="B44" s="121">
        <v>80.240000000000009</v>
      </c>
      <c r="C44" s="121">
        <v>90.315000000000012</v>
      </c>
      <c r="D44" s="121">
        <v>136.28500000000003</v>
      </c>
      <c r="E44" s="162">
        <v>101.56903225806451</v>
      </c>
      <c r="F44" s="312"/>
      <c r="G44" s="121">
        <v>79.01124999999999</v>
      </c>
      <c r="H44" s="121">
        <v>138.76125000000002</v>
      </c>
      <c r="I44" s="121">
        <v>137.71800000000002</v>
      </c>
      <c r="J44" s="162">
        <v>93.568490566037752</v>
      </c>
      <c r="K44" s="163">
        <v>96.52107142857146</v>
      </c>
    </row>
    <row r="45" spans="1:11">
      <c r="A45" s="24">
        <v>37197</v>
      </c>
      <c r="B45" s="121">
        <v>81.681818181818187</v>
      </c>
      <c r="C45" s="121">
        <v>93.984999999999985</v>
      </c>
      <c r="D45" s="121">
        <v>136.97899999999998</v>
      </c>
      <c r="E45" s="162">
        <v>103.48838709677415</v>
      </c>
      <c r="F45" s="312"/>
      <c r="G45" s="121">
        <v>79.61075000000001</v>
      </c>
      <c r="H45" s="121">
        <v>147.28874999999996</v>
      </c>
      <c r="I45" s="121">
        <v>150.62599999999998</v>
      </c>
      <c r="J45" s="162">
        <v>96.525849056603789</v>
      </c>
      <c r="K45" s="163">
        <v>99.095357142857168</v>
      </c>
    </row>
    <row r="46" spans="1:11">
      <c r="A46" s="24">
        <v>37227</v>
      </c>
      <c r="B46" s="121">
        <v>89.594545454545468</v>
      </c>
      <c r="C46" s="121">
        <v>89.655999999999992</v>
      </c>
      <c r="D46" s="121">
        <v>165.81399999999999</v>
      </c>
      <c r="E46" s="162">
        <v>114.20129032258065</v>
      </c>
      <c r="F46" s="312"/>
      <c r="G46" s="121">
        <v>83.116249999999994</v>
      </c>
      <c r="H46" s="121">
        <v>164.08624999999998</v>
      </c>
      <c r="I46" s="121">
        <v>277.12200000000001</v>
      </c>
      <c r="J46" s="162">
        <v>113.64056603773587</v>
      </c>
      <c r="K46" s="163">
        <v>113.84749999999998</v>
      </c>
    </row>
    <row r="47" spans="1:11">
      <c r="A47" s="270">
        <v>2002</v>
      </c>
      <c r="B47" s="312"/>
      <c r="C47" s="312"/>
      <c r="D47" s="312"/>
      <c r="E47" s="314"/>
      <c r="F47" s="312"/>
      <c r="G47" s="312"/>
      <c r="H47" s="312"/>
      <c r="I47" s="312"/>
      <c r="J47" s="25"/>
      <c r="K47" s="25"/>
    </row>
    <row r="48" spans="1:11">
      <c r="A48" s="24">
        <v>37259</v>
      </c>
      <c r="B48" s="121">
        <v>94.88181818181819</v>
      </c>
      <c r="C48" s="121">
        <v>110.93200000000002</v>
      </c>
      <c r="D48" s="121">
        <v>181.79000000000002</v>
      </c>
      <c r="E48" s="162">
        <v>128.09419354838712</v>
      </c>
      <c r="F48" s="312"/>
      <c r="G48" s="121">
        <v>89.619500000000031</v>
      </c>
      <c r="H48" s="121">
        <v>144.08750000000001</v>
      </c>
      <c r="I48" s="121">
        <v>261.334</v>
      </c>
      <c r="J48" s="162">
        <v>114.04056603773586</v>
      </c>
      <c r="K48" s="163">
        <v>119.22702380952379</v>
      </c>
    </row>
    <row r="49" spans="1:11">
      <c r="A49" s="24">
        <v>37290</v>
      </c>
      <c r="B49" s="121">
        <v>95.757272727272721</v>
      </c>
      <c r="C49" s="121">
        <v>117.458</v>
      </c>
      <c r="D49" s="121">
        <v>197.59399999999997</v>
      </c>
      <c r="E49" s="162">
        <v>135.60806451612905</v>
      </c>
      <c r="F49" s="312"/>
      <c r="G49" s="121">
        <v>84.749749999999992</v>
      </c>
      <c r="H49" s="121">
        <v>150.67875000000001</v>
      </c>
      <c r="I49" s="121">
        <v>289.76600000000002</v>
      </c>
      <c r="J49" s="162">
        <v>114.04245283018871</v>
      </c>
      <c r="K49" s="163">
        <v>122.00119047619049</v>
      </c>
    </row>
    <row r="50" spans="1:11">
      <c r="A50" s="24">
        <v>37318</v>
      </c>
      <c r="B50" s="121">
        <v>96.827272727272714</v>
      </c>
      <c r="C50" s="121">
        <v>113.755</v>
      </c>
      <c r="D50" s="121">
        <v>192.834</v>
      </c>
      <c r="E50" s="162">
        <v>133.25774193548389</v>
      </c>
      <c r="F50" s="312"/>
      <c r="G50" s="121">
        <v>86.078807500000011</v>
      </c>
      <c r="H50" s="121">
        <v>152.68875000000003</v>
      </c>
      <c r="I50" s="121">
        <v>256.61800000000005</v>
      </c>
      <c r="J50" s="162">
        <v>112.22174150943397</v>
      </c>
      <c r="K50" s="163">
        <v>119.98502738095236</v>
      </c>
    </row>
    <row r="51" spans="1:11">
      <c r="A51" s="24">
        <v>37349</v>
      </c>
      <c r="B51" s="121">
        <v>89.206363636363633</v>
      </c>
      <c r="C51" s="121">
        <v>102.2</v>
      </c>
      <c r="D51" s="121">
        <v>167.67699999999999</v>
      </c>
      <c r="E51" s="162">
        <v>118.71096774193548</v>
      </c>
      <c r="F51" s="312"/>
      <c r="G51" s="121">
        <v>83.896070000000009</v>
      </c>
      <c r="H51" s="121">
        <v>135.05500000000001</v>
      </c>
      <c r="I51" s="121">
        <v>193.24200000000002</v>
      </c>
      <c r="J51" s="162">
        <v>101.93382641509436</v>
      </c>
      <c r="K51" s="163">
        <v>108.12539047619045</v>
      </c>
    </row>
    <row r="52" spans="1:11">
      <c r="A52" s="24">
        <v>37379</v>
      </c>
      <c r="B52" s="121">
        <v>87.894545454545451</v>
      </c>
      <c r="C52" s="121">
        <v>97.74499999999999</v>
      </c>
      <c r="D52" s="121">
        <v>140.749</v>
      </c>
      <c r="E52" s="162">
        <v>108.12193548387096</v>
      </c>
      <c r="F52" s="312"/>
      <c r="G52" s="121">
        <v>82.418999999999997</v>
      </c>
      <c r="H52" s="121">
        <v>148.80124999999998</v>
      </c>
      <c r="I52" s="121">
        <v>158.78</v>
      </c>
      <c r="J52" s="162">
        <v>99.64283018867927</v>
      </c>
      <c r="K52" s="163">
        <v>102.77202380952387</v>
      </c>
    </row>
    <row r="53" spans="1:11">
      <c r="A53" s="24">
        <v>37410</v>
      </c>
      <c r="B53" s="121">
        <v>85.757272727272721</v>
      </c>
      <c r="C53" s="121">
        <v>97.649000000000015</v>
      </c>
      <c r="D53" s="121">
        <v>145.90800000000002</v>
      </c>
      <c r="E53" s="162">
        <v>108.99677419354839</v>
      </c>
      <c r="F53" s="312"/>
      <c r="G53" s="121">
        <v>83.172195121951233</v>
      </c>
      <c r="H53" s="121">
        <v>143.26125000000002</v>
      </c>
      <c r="I53" s="121">
        <v>144.304</v>
      </c>
      <c r="J53" s="162">
        <v>97.734629629629609</v>
      </c>
      <c r="K53" s="163">
        <v>101.842</v>
      </c>
    </row>
    <row r="54" spans="1:11" s="9" customFormat="1">
      <c r="A54" s="270" t="s">
        <v>71</v>
      </c>
      <c r="B54" s="165">
        <v>88.176060606060602</v>
      </c>
      <c r="C54" s="165">
        <v>100.27291666666667</v>
      </c>
      <c r="D54" s="165">
        <v>156.38375000000002</v>
      </c>
      <c r="E54" s="164">
        <v>114.08075268817204</v>
      </c>
      <c r="F54" s="22"/>
      <c r="G54" s="165">
        <v>83.988770528455291</v>
      </c>
      <c r="H54" s="165">
        <v>146.83291666666665</v>
      </c>
      <c r="I54" s="165">
        <v>191.70283333333333</v>
      </c>
      <c r="J54" s="164">
        <v>103.2725387345679</v>
      </c>
      <c r="K54" s="165">
        <v>107.2143579411765</v>
      </c>
    </row>
    <row r="55" spans="1:11">
      <c r="A55" s="22"/>
      <c r="B55" s="314"/>
      <c r="C55" s="312"/>
      <c r="D55" s="312"/>
      <c r="E55" s="312"/>
      <c r="F55" s="312"/>
      <c r="G55" s="312"/>
      <c r="H55" s="312"/>
      <c r="I55" s="312"/>
      <c r="J55" s="312"/>
      <c r="K55" s="312"/>
    </row>
    <row r="56" spans="1:11">
      <c r="A56" s="270" t="s">
        <v>74</v>
      </c>
      <c r="B56" s="22"/>
      <c r="C56" s="312"/>
      <c r="D56" s="312"/>
      <c r="E56" s="312"/>
      <c r="F56" s="312"/>
      <c r="G56" s="312"/>
      <c r="H56" s="312"/>
      <c r="I56" s="312"/>
      <c r="J56" s="312"/>
      <c r="K56" s="312"/>
    </row>
    <row r="57" spans="1:11">
      <c r="A57" s="24">
        <v>37439</v>
      </c>
      <c r="B57" s="121">
        <v>83.82214285714285</v>
      </c>
      <c r="C57" s="121">
        <v>94.787999999999997</v>
      </c>
      <c r="D57" s="121">
        <v>140.86499999999998</v>
      </c>
      <c r="E57" s="162">
        <v>103.82470588235294</v>
      </c>
      <c r="F57" s="312"/>
      <c r="G57" s="121">
        <v>90.137234042553189</v>
      </c>
      <c r="H57" s="121">
        <v>125.60444444444445</v>
      </c>
      <c r="I57" s="121">
        <v>141.422</v>
      </c>
      <c r="J57" s="162">
        <v>99.573770491803273</v>
      </c>
      <c r="K57" s="163">
        <v>101.09515789473686</v>
      </c>
    </row>
    <row r="58" spans="1:11">
      <c r="A58" s="24">
        <v>37470</v>
      </c>
      <c r="B58" s="121">
        <v>81.643571428571434</v>
      </c>
      <c r="C58" s="121">
        <v>93.323999999999998</v>
      </c>
      <c r="D58" s="121">
        <v>139.95699999999999</v>
      </c>
      <c r="E58" s="162">
        <v>102.22999999999998</v>
      </c>
      <c r="F58" s="312"/>
      <c r="G58" s="121">
        <v>83.654042553191488</v>
      </c>
      <c r="H58" s="121">
        <v>125</v>
      </c>
      <c r="I58" s="121">
        <v>139.352</v>
      </c>
      <c r="J58" s="162">
        <v>94.319672131147527</v>
      </c>
      <c r="K58" s="163">
        <v>97.150736842105317</v>
      </c>
    </row>
    <row r="59" spans="1:11">
      <c r="A59" s="24">
        <v>37501</v>
      </c>
      <c r="B59" s="121">
        <v>80.08214285714287</v>
      </c>
      <c r="C59" s="121">
        <v>88.123999999999995</v>
      </c>
      <c r="D59" s="121">
        <v>134.45999999999998</v>
      </c>
      <c r="E59" s="162">
        <v>98.440882352941173</v>
      </c>
      <c r="F59" s="312"/>
      <c r="G59" s="121">
        <v>77.796937499999999</v>
      </c>
      <c r="H59" s="121">
        <v>124.17444444444446</v>
      </c>
      <c r="I59" s="121">
        <v>128.52799999999999</v>
      </c>
      <c r="J59" s="162">
        <v>88.620370967741948</v>
      </c>
      <c r="K59" s="163">
        <v>92.098468750000052</v>
      </c>
    </row>
    <row r="60" spans="1:11">
      <c r="A60" s="24">
        <v>37531</v>
      </c>
      <c r="B60" s="121">
        <v>75.566470588235305</v>
      </c>
      <c r="C60" s="121">
        <v>91.051999999999992</v>
      </c>
      <c r="D60" s="121">
        <v>135.00700000000001</v>
      </c>
      <c r="E60" s="162">
        <v>95.816756756756746</v>
      </c>
      <c r="F60" s="312"/>
      <c r="G60" s="121">
        <v>78.27520833333331</v>
      </c>
      <c r="H60" s="121">
        <v>118.06444444444443</v>
      </c>
      <c r="I60" s="121">
        <v>146.83600000000001</v>
      </c>
      <c r="J60" s="162">
        <v>89.580161290322579</v>
      </c>
      <c r="K60" s="163">
        <v>91.911010101010092</v>
      </c>
    </row>
    <row r="61" spans="1:11">
      <c r="A61" s="24">
        <v>37562</v>
      </c>
      <c r="B61" s="121">
        <v>77.146470588235289</v>
      </c>
      <c r="C61" s="121">
        <v>92.141000000000005</v>
      </c>
      <c r="D61" s="121">
        <v>146.30500000000001</v>
      </c>
      <c r="E61" s="162">
        <v>99.890540540540528</v>
      </c>
      <c r="F61" s="312"/>
      <c r="G61" s="121">
        <v>79.035510204081632</v>
      </c>
      <c r="H61" s="121">
        <v>134.90999999999997</v>
      </c>
      <c r="I61" s="121">
        <v>158.95400000000001</v>
      </c>
      <c r="J61" s="162">
        <v>93.360317460317475</v>
      </c>
      <c r="K61" s="163">
        <v>95.776500000000027</v>
      </c>
    </row>
    <row r="62" spans="1:11">
      <c r="A62" s="24">
        <v>37592</v>
      </c>
      <c r="B62" s="121">
        <v>91.76</v>
      </c>
      <c r="C62" s="121">
        <v>104.43500000000002</v>
      </c>
      <c r="D62" s="121">
        <v>186.83599999999998</v>
      </c>
      <c r="E62" s="162">
        <v>121.6908333333333</v>
      </c>
      <c r="F62" s="312"/>
      <c r="G62" s="121">
        <v>86.45999999999998</v>
      </c>
      <c r="H62" s="121">
        <v>145.01</v>
      </c>
      <c r="I62" s="121">
        <v>298.86</v>
      </c>
      <c r="J62" s="162">
        <v>111.68142857142854</v>
      </c>
      <c r="K62" s="163">
        <v>115.32121212121217</v>
      </c>
    </row>
    <row r="63" spans="1:11">
      <c r="A63" s="270">
        <v>2003</v>
      </c>
      <c r="B63" s="312"/>
      <c r="C63" s="312"/>
      <c r="D63" s="312"/>
      <c r="E63" s="25"/>
      <c r="F63" s="312"/>
      <c r="G63" s="312"/>
      <c r="H63" s="312"/>
      <c r="I63" s="312"/>
      <c r="J63" s="25"/>
      <c r="K63" s="25"/>
    </row>
    <row r="64" spans="1:11">
      <c r="A64" s="24">
        <v>37624</v>
      </c>
      <c r="B64" s="121">
        <v>98.995000000000019</v>
      </c>
      <c r="C64" s="121">
        <v>117.96</v>
      </c>
      <c r="D64" s="121">
        <v>194.36500000000001</v>
      </c>
      <c r="E64" s="162">
        <v>130.7547222222222</v>
      </c>
      <c r="F64" s="312"/>
      <c r="G64" s="121">
        <v>90.450345833333344</v>
      </c>
      <c r="H64" s="121">
        <v>134.2211111111111</v>
      </c>
      <c r="I64" s="121">
        <v>256.62399999999997</v>
      </c>
      <c r="J64" s="162">
        <v>110.20526774193547</v>
      </c>
      <c r="K64" s="163">
        <v>117.75404693877555</v>
      </c>
    </row>
    <row r="65" spans="1:11">
      <c r="A65" s="24">
        <v>37655</v>
      </c>
      <c r="B65" s="121">
        <v>99.976874999999993</v>
      </c>
      <c r="C65" s="121">
        <v>120.35199999999998</v>
      </c>
      <c r="D65" s="121">
        <v>207.15900000000002</v>
      </c>
      <c r="E65" s="162">
        <v>135.40944444444446</v>
      </c>
      <c r="F65" s="312"/>
      <c r="G65" s="121">
        <v>91.993320833333328</v>
      </c>
      <c r="H65" s="121">
        <v>124.66888888888886</v>
      </c>
      <c r="I65" s="121">
        <v>283.35222000000005</v>
      </c>
      <c r="J65" s="162">
        <v>112.1687177419355</v>
      </c>
      <c r="K65" s="163">
        <v>120.70612755102037</v>
      </c>
    </row>
    <row r="66" spans="1:11">
      <c r="A66" s="24">
        <v>37683</v>
      </c>
      <c r="B66" s="121">
        <v>98.501249999999999</v>
      </c>
      <c r="C66" s="121">
        <v>119.83599999999998</v>
      </c>
      <c r="D66" s="121">
        <v>194.25299999999999</v>
      </c>
      <c r="E66" s="162">
        <v>131.02527777777775</v>
      </c>
      <c r="F66" s="312"/>
      <c r="G66" s="121">
        <v>92.067910416666663</v>
      </c>
      <c r="H66" s="121">
        <v>133.24444444444441</v>
      </c>
      <c r="I66" s="121">
        <v>255.66204000000002</v>
      </c>
      <c r="J66" s="162">
        <v>111.23822419354845</v>
      </c>
      <c r="K66" s="163">
        <v>118.50693775510206</v>
      </c>
    </row>
    <row r="67" spans="1:11">
      <c r="A67" s="24">
        <v>37714</v>
      </c>
      <c r="B67" s="121">
        <v>91.092500000000001</v>
      </c>
      <c r="C67" s="121">
        <v>109.64299999999999</v>
      </c>
      <c r="D67" s="121">
        <v>166.75454545454545</v>
      </c>
      <c r="E67" s="162">
        <v>118.60027027027027</v>
      </c>
      <c r="F67" s="312"/>
      <c r="G67" s="121">
        <v>91.304374999999993</v>
      </c>
      <c r="H67" s="121">
        <v>129.47777777777779</v>
      </c>
      <c r="I67" s="121">
        <v>222.72750000000002</v>
      </c>
      <c r="J67" s="162">
        <v>105.55442622950819</v>
      </c>
      <c r="K67" s="163">
        <v>110.47989795918365</v>
      </c>
    </row>
    <row r="68" spans="1:11">
      <c r="A68" s="24">
        <v>37744</v>
      </c>
      <c r="B68" s="121">
        <v>82.912499999999994</v>
      </c>
      <c r="C68" s="121">
        <v>95.974999999999994</v>
      </c>
      <c r="D68" s="121">
        <v>138.17727272727274</v>
      </c>
      <c r="E68" s="162">
        <v>102.87297297297296</v>
      </c>
      <c r="F68" s="312"/>
      <c r="G68" s="121">
        <v>87.068124999999995</v>
      </c>
      <c r="H68" s="121">
        <v>119.30888888888889</v>
      </c>
      <c r="I68" s="121">
        <v>157.66</v>
      </c>
      <c r="J68" s="162">
        <v>96.453934426229495</v>
      </c>
      <c r="K68" s="163">
        <v>98.877448979591819</v>
      </c>
    </row>
    <row r="69" spans="1:11">
      <c r="A69" s="24">
        <v>37775</v>
      </c>
      <c r="B69" s="121">
        <v>80.31</v>
      </c>
      <c r="C69" s="121">
        <v>94.771000000000001</v>
      </c>
      <c r="D69" s="121">
        <v>133.73090909090908</v>
      </c>
      <c r="E69" s="162">
        <v>100.64999999999999</v>
      </c>
      <c r="F69" s="312"/>
      <c r="G69" s="121">
        <v>88.249583333333305</v>
      </c>
      <c r="H69" s="121">
        <v>127.48555555555556</v>
      </c>
      <c r="I69" s="121">
        <v>137.12</v>
      </c>
      <c r="J69" s="162">
        <v>97.243114754098386</v>
      </c>
      <c r="K69" s="163">
        <v>98.507525773195894</v>
      </c>
    </row>
    <row r="70" spans="1:11">
      <c r="A70" s="270" t="s">
        <v>71</v>
      </c>
      <c r="B70" s="165">
        <v>85.474016339869294</v>
      </c>
      <c r="C70" s="165">
        <v>101.86675</v>
      </c>
      <c r="D70" s="165">
        <v>156.99113636363634</v>
      </c>
      <c r="E70" s="164">
        <v>110.49021783625729</v>
      </c>
      <c r="F70" s="22"/>
      <c r="G70" s="165">
        <v>86.248273249999997</v>
      </c>
      <c r="H70" s="165">
        <v>128.43083333333331</v>
      </c>
      <c r="I70" s="165">
        <v>194.42686222222221</v>
      </c>
      <c r="J70" s="164">
        <v>100.63164802517362</v>
      </c>
      <c r="K70" s="165">
        <v>104.30444854302829</v>
      </c>
    </row>
    <row r="72" spans="1:11">
      <c r="A72" s="270" t="s">
        <v>75</v>
      </c>
      <c r="B72" s="22"/>
      <c r="C72" s="312"/>
      <c r="D72" s="312"/>
      <c r="E72" s="312"/>
      <c r="F72" s="312"/>
      <c r="G72" s="312"/>
      <c r="H72" s="312"/>
      <c r="I72" s="312"/>
      <c r="J72" s="312"/>
      <c r="K72" s="312"/>
    </row>
    <row r="73" spans="1:11">
      <c r="A73" s="26">
        <v>37805</v>
      </c>
      <c r="B73" s="121">
        <v>83.088749999999976</v>
      </c>
      <c r="C73" s="121">
        <v>96.024999999999991</v>
      </c>
      <c r="D73" s="121">
        <v>142.96636363636367</v>
      </c>
      <c r="E73" s="162">
        <v>104.38648648648649</v>
      </c>
      <c r="F73" s="312"/>
      <c r="G73" s="121">
        <v>91.802307692307679</v>
      </c>
      <c r="H73" s="121">
        <v>132.97111111111113</v>
      </c>
      <c r="I73" s="121">
        <v>140.91333333333333</v>
      </c>
      <c r="J73" s="162">
        <v>99.893749999999997</v>
      </c>
      <c r="K73" s="163">
        <v>101.53960396039606</v>
      </c>
    </row>
    <row r="74" spans="1:11">
      <c r="A74" s="26">
        <v>37836</v>
      </c>
      <c r="B74" s="121">
        <v>79.186875000000001</v>
      </c>
      <c r="C74" s="121">
        <v>93.766000000000005</v>
      </c>
      <c r="D74" s="121">
        <v>136.57909090909092</v>
      </c>
      <c r="E74" s="162">
        <v>100.18972972972973</v>
      </c>
      <c r="F74" s="312"/>
      <c r="G74" s="121">
        <v>90.35098039215687</v>
      </c>
      <c r="H74" s="121">
        <v>120.66</v>
      </c>
      <c r="I74" s="121">
        <v>137.11666666666667</v>
      </c>
      <c r="J74" s="162">
        <v>97.278906249999977</v>
      </c>
      <c r="K74" s="163">
        <v>98.345247524752466</v>
      </c>
    </row>
    <row r="75" spans="1:11">
      <c r="A75" s="26">
        <v>37867</v>
      </c>
      <c r="B75" s="121">
        <v>76.772500000000022</v>
      </c>
      <c r="C75" s="121">
        <v>95.042000000000002</v>
      </c>
      <c r="D75" s="121">
        <v>133.04454545454544</v>
      </c>
      <c r="E75" s="162">
        <v>98.439729729729734</v>
      </c>
      <c r="F75" s="312"/>
      <c r="G75" s="121">
        <v>84.749215686274511</v>
      </c>
      <c r="H75" s="121">
        <v>124.51</v>
      </c>
      <c r="I75" s="121">
        <v>126.85333333333331</v>
      </c>
      <c r="J75" s="162">
        <v>93.421230769230775</v>
      </c>
      <c r="K75" s="163">
        <v>95.241666666666646</v>
      </c>
    </row>
    <row r="76" spans="1:11">
      <c r="A76" s="26">
        <v>37897</v>
      </c>
      <c r="B76" s="121">
        <v>80.388125000000002</v>
      </c>
      <c r="C76" s="121">
        <v>95.498000000000005</v>
      </c>
      <c r="D76" s="121">
        <v>132.69743181818183</v>
      </c>
      <c r="E76" s="162">
        <v>100.02329054054054</v>
      </c>
      <c r="F76" s="312"/>
      <c r="G76" s="121">
        <v>83.88</v>
      </c>
      <c r="H76" s="121">
        <v>107.31090909090909</v>
      </c>
      <c r="I76" s="121">
        <v>141.06666666666669</v>
      </c>
      <c r="J76" s="162">
        <v>90.484615384615395</v>
      </c>
      <c r="K76" s="163">
        <v>93.944723039215745</v>
      </c>
    </row>
    <row r="77" spans="1:11">
      <c r="A77" s="26">
        <v>37928</v>
      </c>
      <c r="B77" s="121">
        <v>80.610624999999985</v>
      </c>
      <c r="C77" s="121">
        <v>102.10999999999999</v>
      </c>
      <c r="D77" s="121">
        <v>147.22181818181818</v>
      </c>
      <c r="E77" s="162">
        <v>106.22459459459462</v>
      </c>
      <c r="F77" s="312"/>
      <c r="G77" s="121">
        <v>82.40666666666668</v>
      </c>
      <c r="H77" s="121">
        <v>111.19818181818181</v>
      </c>
      <c r="I77" s="121">
        <v>159.60999999999999</v>
      </c>
      <c r="J77" s="162">
        <v>90.842307692307699</v>
      </c>
      <c r="K77" s="163">
        <v>96.422156862745112</v>
      </c>
    </row>
    <row r="78" spans="1:11">
      <c r="A78" s="26">
        <v>37958</v>
      </c>
      <c r="B78" s="121">
        <v>100.29687499999999</v>
      </c>
      <c r="C78" s="121">
        <v>114.595</v>
      </c>
      <c r="D78" s="121">
        <v>195.28915818181815</v>
      </c>
      <c r="E78" s="162">
        <v>132.40218216216215</v>
      </c>
      <c r="F78" s="312"/>
      <c r="G78" s="121">
        <v>93.290769230769229</v>
      </c>
      <c r="H78" s="121">
        <v>155.21909090909094</v>
      </c>
      <c r="I78" s="121">
        <v>287.14333333333337</v>
      </c>
      <c r="J78" s="162">
        <v>112.42363636363633</v>
      </c>
      <c r="K78" s="163">
        <v>119.6003955339806</v>
      </c>
    </row>
    <row r="79" spans="1:11">
      <c r="A79" s="270">
        <v>2004</v>
      </c>
      <c r="B79" s="312"/>
      <c r="C79" s="312"/>
      <c r="D79" s="312"/>
      <c r="E79" s="314"/>
      <c r="F79" s="312"/>
      <c r="G79" s="312"/>
      <c r="H79" s="312"/>
      <c r="I79" s="312"/>
      <c r="J79" s="25"/>
      <c r="K79" s="25"/>
    </row>
    <row r="80" spans="1:11">
      <c r="A80" s="26">
        <v>37990</v>
      </c>
      <c r="B80" s="121">
        <v>103.13687499999997</v>
      </c>
      <c r="C80" s="121">
        <v>131.739</v>
      </c>
      <c r="D80" s="121">
        <v>199.33</v>
      </c>
      <c r="E80" s="162">
        <v>139.46513513513514</v>
      </c>
      <c r="F80" s="312"/>
      <c r="G80" s="121">
        <v>99.304705882352962</v>
      </c>
      <c r="H80" s="121">
        <v>133.5407692307692</v>
      </c>
      <c r="I80" s="121">
        <v>259.60000000000002</v>
      </c>
      <c r="J80" s="162">
        <v>113.12492537313432</v>
      </c>
      <c r="K80" s="163">
        <v>122.49596153846154</v>
      </c>
    </row>
    <row r="81" spans="1:11">
      <c r="A81" s="26">
        <v>38021</v>
      </c>
      <c r="B81" s="121">
        <v>103.27312499999999</v>
      </c>
      <c r="C81" s="121">
        <v>127.85899999999999</v>
      </c>
      <c r="D81" s="121">
        <v>207.95545454545453</v>
      </c>
      <c r="E81" s="162">
        <v>141.03972972972974</v>
      </c>
      <c r="F81" s="312"/>
      <c r="G81" s="121">
        <v>97.640961538461553</v>
      </c>
      <c r="H81" s="121">
        <v>143.44153846153844</v>
      </c>
      <c r="I81" s="121">
        <v>294.02666666666664</v>
      </c>
      <c r="J81" s="162">
        <v>115.06102941176472</v>
      </c>
      <c r="K81" s="163">
        <v>124.21542857142856</v>
      </c>
    </row>
    <row r="82" spans="1:11">
      <c r="A82" s="26">
        <v>38050</v>
      </c>
      <c r="B82" s="121">
        <v>102.54666666666667</v>
      </c>
      <c r="C82" s="121">
        <v>130.46899999999999</v>
      </c>
      <c r="D82" s="121">
        <v>195.21181818181822</v>
      </c>
      <c r="E82" s="162">
        <v>135.84256410256415</v>
      </c>
      <c r="F82" s="312"/>
      <c r="G82" s="121">
        <v>97.25849056603775</v>
      </c>
      <c r="H82" s="121">
        <v>139.71230769230769</v>
      </c>
      <c r="I82" s="121">
        <v>267.04666666666668</v>
      </c>
      <c r="J82" s="162">
        <v>112.63913043478264</v>
      </c>
      <c r="K82" s="163">
        <v>121.01814814814817</v>
      </c>
    </row>
    <row r="83" spans="1:11">
      <c r="A83" s="26">
        <v>38081</v>
      </c>
      <c r="B83" s="121">
        <v>96.272777777777776</v>
      </c>
      <c r="C83" s="121">
        <v>122.53699999999999</v>
      </c>
      <c r="D83" s="121">
        <v>182.30454545454549</v>
      </c>
      <c r="E83" s="162">
        <v>127.27256410256415</v>
      </c>
      <c r="F83" s="312"/>
      <c r="G83" s="121">
        <v>93.901132075471679</v>
      </c>
      <c r="H83" s="121">
        <v>142.49230769230769</v>
      </c>
      <c r="I83" s="121">
        <v>251.0925</v>
      </c>
      <c r="J83" s="162">
        <v>111.90757142857142</v>
      </c>
      <c r="K83" s="163">
        <v>117.40513761467889</v>
      </c>
    </row>
    <row r="84" spans="1:11">
      <c r="A84" s="26">
        <v>38111</v>
      </c>
      <c r="B84" s="121">
        <v>85.147777777777776</v>
      </c>
      <c r="C84" s="121">
        <v>106.51299999999999</v>
      </c>
      <c r="D84" s="121">
        <v>150.71818181818182</v>
      </c>
      <c r="E84" s="162">
        <v>109.12025641025645</v>
      </c>
      <c r="F84" s="312"/>
      <c r="G84" s="121">
        <v>88.038679245283021</v>
      </c>
      <c r="H84" s="121">
        <v>129.49384615384616</v>
      </c>
      <c r="I84" s="121">
        <v>202.93</v>
      </c>
      <c r="J84" s="162">
        <v>102.30271428571426</v>
      </c>
      <c r="K84" s="163">
        <v>104.74201834862386</v>
      </c>
    </row>
    <row r="85" spans="1:11">
      <c r="A85" s="26">
        <v>38142</v>
      </c>
      <c r="B85" s="121">
        <v>84.033888888888896</v>
      </c>
      <c r="C85" s="121">
        <v>103.622</v>
      </c>
      <c r="D85" s="121">
        <v>144.81818181818181</v>
      </c>
      <c r="E85" s="162">
        <v>106.20076923076923</v>
      </c>
      <c r="F85" s="312"/>
      <c r="G85" s="121">
        <v>92.366346153846138</v>
      </c>
      <c r="H85" s="121">
        <v>135.42307692307693</v>
      </c>
      <c r="I85" s="121">
        <v>169.4025</v>
      </c>
      <c r="J85" s="162">
        <v>104.94434782608694</v>
      </c>
      <c r="K85" s="163">
        <v>105.39805555555553</v>
      </c>
    </row>
    <row r="86" spans="1:11">
      <c r="A86" s="270" t="s">
        <v>71</v>
      </c>
      <c r="B86" s="165">
        <v>89.262685185185177</v>
      </c>
      <c r="C86" s="165">
        <v>109.98125</v>
      </c>
      <c r="D86" s="165">
        <v>164.0113825</v>
      </c>
      <c r="E86" s="164">
        <v>115.65810361111107</v>
      </c>
      <c r="F86" s="22"/>
      <c r="G86" s="165">
        <v>90.304023376623391</v>
      </c>
      <c r="H86" s="165">
        <v>134.75019580419581</v>
      </c>
      <c r="I86" s="165">
        <v>217.27562499999999</v>
      </c>
      <c r="J86" s="164">
        <v>105.67866364855801</v>
      </c>
      <c r="K86" s="165">
        <v>109.2168287261905</v>
      </c>
    </row>
    <row r="87" spans="1:11">
      <c r="A87" s="22"/>
      <c r="B87" s="312"/>
      <c r="C87" s="312"/>
      <c r="D87" s="312"/>
      <c r="E87" s="312"/>
      <c r="F87" s="312"/>
      <c r="G87" s="312"/>
      <c r="H87" s="312"/>
      <c r="I87" s="312"/>
      <c r="J87" s="312"/>
      <c r="K87" s="312"/>
    </row>
    <row r="88" spans="1:11">
      <c r="A88" s="270" t="s">
        <v>76</v>
      </c>
      <c r="B88" s="22"/>
      <c r="C88" s="312"/>
      <c r="D88" s="312"/>
      <c r="E88" s="312"/>
      <c r="F88" s="312"/>
      <c r="G88" s="312"/>
      <c r="H88" s="312"/>
      <c r="I88" s="312"/>
      <c r="J88" s="312"/>
      <c r="K88" s="312"/>
    </row>
    <row r="89" spans="1:11">
      <c r="A89" s="26">
        <v>38172</v>
      </c>
      <c r="B89" s="121">
        <v>83.297647058823529</v>
      </c>
      <c r="C89" s="121">
        <v>103.41299999999998</v>
      </c>
      <c r="D89" s="121">
        <v>142.73181818181817</v>
      </c>
      <c r="E89" s="162">
        <v>105.79578947368422</v>
      </c>
      <c r="F89" s="312"/>
      <c r="G89" s="121">
        <v>94.284339622641511</v>
      </c>
      <c r="H89" s="121">
        <v>140.6307692307692</v>
      </c>
      <c r="I89" s="121">
        <v>156.98749999999998</v>
      </c>
      <c r="J89" s="162">
        <v>106.47457142857139</v>
      </c>
      <c r="K89" s="163">
        <v>106.23574074074074</v>
      </c>
    </row>
    <row r="90" spans="1:11">
      <c r="A90" s="26">
        <v>38203</v>
      </c>
      <c r="B90" s="121">
        <v>82.855294117647063</v>
      </c>
      <c r="C90" s="121">
        <v>100.13900000000001</v>
      </c>
      <c r="D90" s="121">
        <v>140.35181818181817</v>
      </c>
      <c r="E90" s="162">
        <v>104.04736842105261</v>
      </c>
      <c r="F90" s="312"/>
      <c r="G90" s="121">
        <v>90.88283018867925</v>
      </c>
      <c r="H90" s="121">
        <v>131.08461538461538</v>
      </c>
      <c r="I90" s="121">
        <v>176.10250000000002</v>
      </c>
      <c r="J90" s="162">
        <v>103.21857142857145</v>
      </c>
      <c r="K90" s="163">
        <v>103.51018518518515</v>
      </c>
    </row>
    <row r="91" spans="1:11">
      <c r="A91" s="26">
        <v>38234</v>
      </c>
      <c r="B91" s="121">
        <v>76.993333333333339</v>
      </c>
      <c r="C91" s="121">
        <v>100.52200000000001</v>
      </c>
      <c r="D91" s="121">
        <v>136.33272727272725</v>
      </c>
      <c r="E91" s="162">
        <v>99.763076923076923</v>
      </c>
      <c r="F91" s="312"/>
      <c r="G91" s="121">
        <v>85.943584905660387</v>
      </c>
      <c r="H91" s="121">
        <v>128.52153846153846</v>
      </c>
      <c r="I91" s="121">
        <v>183.0625</v>
      </c>
      <c r="J91" s="162">
        <v>99.400571428571439</v>
      </c>
      <c r="K91" s="163">
        <v>99.530275229357812</v>
      </c>
    </row>
    <row r="92" spans="1:11">
      <c r="A92" s="26">
        <v>38264</v>
      </c>
      <c r="B92" s="121">
        <v>82.70882352941176</v>
      </c>
      <c r="C92" s="121">
        <v>98.198000000000008</v>
      </c>
      <c r="D92" s="121">
        <v>139.14636363636365</v>
      </c>
      <c r="E92" s="162">
        <v>103.12210526315791</v>
      </c>
      <c r="F92" s="312"/>
      <c r="G92" s="121">
        <v>86.256037735849048</v>
      </c>
      <c r="H92" s="121">
        <v>123.89166666666665</v>
      </c>
      <c r="I92" s="121">
        <v>186.72749999999999</v>
      </c>
      <c r="J92" s="162">
        <v>98.62579710144928</v>
      </c>
      <c r="K92" s="163">
        <v>100.22261682242987</v>
      </c>
    </row>
    <row r="93" spans="1:11">
      <c r="A93" s="26">
        <v>38295</v>
      </c>
      <c r="B93" s="121">
        <v>83.62705882352941</v>
      </c>
      <c r="C93" s="121">
        <v>109.572</v>
      </c>
      <c r="D93" s="121">
        <v>153.21818181818182</v>
      </c>
      <c r="E93" s="162">
        <v>110.59947368421054</v>
      </c>
      <c r="F93" s="312"/>
      <c r="G93" s="121">
        <v>90.371132075471721</v>
      </c>
      <c r="H93" s="121">
        <v>121.20833333333336</v>
      </c>
      <c r="I93" s="121">
        <v>220.27250000000001</v>
      </c>
      <c r="J93" s="162">
        <v>103.26463768115943</v>
      </c>
      <c r="K93" s="163">
        <v>105.86953271028037</v>
      </c>
    </row>
    <row r="94" spans="1:11">
      <c r="A94" s="26">
        <v>38325</v>
      </c>
      <c r="B94" s="121">
        <v>97.136250000000004</v>
      </c>
      <c r="C94" s="121">
        <v>122.69699999999997</v>
      </c>
      <c r="D94" s="121">
        <v>203.19000000000003</v>
      </c>
      <c r="E94" s="162">
        <v>135.57405405405402</v>
      </c>
      <c r="F94" s="312"/>
      <c r="G94" s="121">
        <v>105.73622641509431</v>
      </c>
      <c r="H94" s="121">
        <v>149.39153846153846</v>
      </c>
      <c r="I94" s="121">
        <v>366.23500000000001</v>
      </c>
      <c r="J94" s="162">
        <v>128.72928571428568</v>
      </c>
      <c r="K94" s="163">
        <v>131.09616822429905</v>
      </c>
    </row>
    <row r="95" spans="1:11">
      <c r="A95" s="270">
        <v>2005</v>
      </c>
      <c r="B95" s="312"/>
      <c r="C95" s="312"/>
      <c r="D95" s="312"/>
      <c r="E95" s="314"/>
      <c r="F95" s="312"/>
      <c r="G95" s="312"/>
      <c r="H95" s="312"/>
      <c r="I95" s="312"/>
      <c r="J95" s="314"/>
      <c r="K95" s="314"/>
    </row>
    <row r="96" spans="1:11">
      <c r="A96" s="26">
        <v>38357</v>
      </c>
      <c r="B96" s="121">
        <v>105.276875</v>
      </c>
      <c r="C96" s="121">
        <v>137.38200000000001</v>
      </c>
      <c r="D96" s="121">
        <v>212.54909090909095</v>
      </c>
      <c r="E96" s="162">
        <v>145.84567567567569</v>
      </c>
      <c r="F96" s="312"/>
      <c r="G96" s="121">
        <v>97.657115384615366</v>
      </c>
      <c r="H96" s="121">
        <v>136.56384615384616</v>
      </c>
      <c r="I96" s="121">
        <v>275.02999999999997</v>
      </c>
      <c r="J96" s="162">
        <v>115.26985507246376</v>
      </c>
      <c r="K96" s="163">
        <v>125.94254716981125</v>
      </c>
    </row>
    <row r="97" spans="1:11">
      <c r="A97" s="26">
        <v>38388</v>
      </c>
      <c r="B97" s="121">
        <v>106.05333333333333</v>
      </c>
      <c r="C97" s="121">
        <v>133.55272727272725</v>
      </c>
      <c r="D97" s="121">
        <v>213.71000000000004</v>
      </c>
      <c r="E97" s="162">
        <v>148.01052631578952</v>
      </c>
      <c r="F97" s="312"/>
      <c r="G97" s="121">
        <v>100.10714285714283</v>
      </c>
      <c r="H97" s="121">
        <v>139.79384615384615</v>
      </c>
      <c r="I97" s="121">
        <v>349.45499999999998</v>
      </c>
      <c r="J97" s="162">
        <v>123.03621212121209</v>
      </c>
      <c r="K97" s="163">
        <v>132.16144230769234</v>
      </c>
    </row>
    <row r="98" spans="1:11">
      <c r="A98" s="26">
        <v>38416</v>
      </c>
      <c r="B98" s="121">
        <v>108.09533333333334</v>
      </c>
      <c r="C98" s="121">
        <v>128.94090909090909</v>
      </c>
      <c r="D98" s="121">
        <v>205.00833333333333</v>
      </c>
      <c r="E98" s="162">
        <v>144.73368421052635</v>
      </c>
      <c r="F98" s="312"/>
      <c r="G98" s="121">
        <v>94.280384615384619</v>
      </c>
      <c r="H98" s="121">
        <v>148.97333333333333</v>
      </c>
      <c r="I98" s="121">
        <v>295.14800000000002</v>
      </c>
      <c r="J98" s="162">
        <v>118.34782608695653</v>
      </c>
      <c r="K98" s="163">
        <v>127.71850467289715</v>
      </c>
    </row>
    <row r="99" spans="1:11">
      <c r="A99" s="26">
        <v>38447</v>
      </c>
      <c r="B99" s="121">
        <v>101.18133333333334</v>
      </c>
      <c r="C99" s="121">
        <v>122.35090909090908</v>
      </c>
      <c r="D99" s="121">
        <v>181.0033333333333</v>
      </c>
      <c r="E99" s="162">
        <v>132.51631578947368</v>
      </c>
      <c r="F99" s="312"/>
      <c r="G99" s="121">
        <v>93.075769230769211</v>
      </c>
      <c r="H99" s="121">
        <v>131.8075</v>
      </c>
      <c r="I99" s="121">
        <v>261.92199999999997</v>
      </c>
      <c r="J99" s="162">
        <v>112.04695652173915</v>
      </c>
      <c r="K99" s="163">
        <v>119.31644859813079</v>
      </c>
    </row>
    <row r="100" spans="1:11">
      <c r="A100" s="26">
        <v>38477</v>
      </c>
      <c r="B100" s="121">
        <v>94.025333333333322</v>
      </c>
      <c r="C100" s="121">
        <v>114.14545454545456</v>
      </c>
      <c r="D100" s="121">
        <v>155.58583333333331</v>
      </c>
      <c r="E100" s="162">
        <v>119.28973684210527</v>
      </c>
      <c r="F100" s="312"/>
      <c r="G100" s="121">
        <v>94.142692307692329</v>
      </c>
      <c r="H100" s="121">
        <v>122.09250000000002</v>
      </c>
      <c r="I100" s="121">
        <v>205.79400000000001</v>
      </c>
      <c r="J100" s="162">
        <v>107.09420289855073</v>
      </c>
      <c r="K100" s="163">
        <v>111.42532710280379</v>
      </c>
    </row>
    <row r="101" spans="1:11">
      <c r="A101" s="26">
        <v>38508</v>
      </c>
      <c r="B101" s="121">
        <v>89.017142857142872</v>
      </c>
      <c r="C101" s="121">
        <v>107.80909090909091</v>
      </c>
      <c r="D101" s="121">
        <v>146.9725</v>
      </c>
      <c r="E101" s="162">
        <v>113.40027027027028</v>
      </c>
      <c r="F101" s="312"/>
      <c r="G101" s="121">
        <v>96.428039215686297</v>
      </c>
      <c r="H101" s="121">
        <v>129.4</v>
      </c>
      <c r="I101" s="121">
        <v>190.364</v>
      </c>
      <c r="J101" s="162">
        <v>109.15367647058827</v>
      </c>
      <c r="K101" s="163">
        <v>110.65009523809529</v>
      </c>
    </row>
    <row r="102" spans="1:11">
      <c r="A102" s="270" t="s">
        <v>71</v>
      </c>
      <c r="B102" s="165">
        <v>86.455813011063</v>
      </c>
      <c r="C102" s="165">
        <v>114.34425</v>
      </c>
      <c r="D102" s="165">
        <v>167.7887777777778</v>
      </c>
      <c r="E102" s="164">
        <v>120.12677737303356</v>
      </c>
      <c r="F102" s="22"/>
      <c r="G102" s="165">
        <v>93.701301029159481</v>
      </c>
      <c r="H102" s="165">
        <v>134.86626282051282</v>
      </c>
      <c r="I102" s="165">
        <v>225.3338333333333</v>
      </c>
      <c r="J102" s="164">
        <v>110.13195173160173</v>
      </c>
      <c r="K102" s="165">
        <v>113.8237341757342</v>
      </c>
    </row>
    <row r="104" spans="1:11">
      <c r="A104" s="283" t="s">
        <v>77</v>
      </c>
      <c r="B104" s="283"/>
      <c r="C104" s="22"/>
      <c r="D104" s="312"/>
      <c r="E104" s="312"/>
      <c r="F104" s="312"/>
      <c r="G104" s="312"/>
      <c r="H104" s="312"/>
      <c r="I104" s="312"/>
      <c r="J104" s="312"/>
      <c r="K104" s="312"/>
    </row>
    <row r="105" spans="1:11">
      <c r="A105" s="26">
        <v>38537</v>
      </c>
      <c r="B105" s="121">
        <v>90.948571428571427</v>
      </c>
      <c r="C105" s="121">
        <v>108.60272727272726</v>
      </c>
      <c r="D105" s="121">
        <v>147.26</v>
      </c>
      <c r="E105" s="162">
        <v>114.46027027027026</v>
      </c>
      <c r="F105" s="312"/>
      <c r="G105" s="121">
        <v>99.567254901960766</v>
      </c>
      <c r="H105" s="121">
        <v>136.08499999999998</v>
      </c>
      <c r="I105" s="121">
        <v>165.81400000000002</v>
      </c>
      <c r="J105" s="162">
        <v>110.88264705882352</v>
      </c>
      <c r="K105" s="163">
        <v>112.14333333333337</v>
      </c>
    </row>
    <row r="106" spans="1:11">
      <c r="A106" s="26">
        <v>38568</v>
      </c>
      <c r="B106" s="121">
        <v>86.891428571428577</v>
      </c>
      <c r="C106" s="121">
        <v>105.0990909090909</v>
      </c>
      <c r="D106" s="121">
        <v>139.31333333333336</v>
      </c>
      <c r="E106" s="162">
        <v>109.30621621621624</v>
      </c>
      <c r="F106" s="312"/>
      <c r="G106" s="121">
        <v>90.504905660377361</v>
      </c>
      <c r="H106" s="121">
        <v>127.01</v>
      </c>
      <c r="I106" s="121">
        <v>143.02800000000002</v>
      </c>
      <c r="J106" s="162">
        <v>100.51457142857141</v>
      </c>
      <c r="K106" s="163">
        <v>103.55467289719627</v>
      </c>
    </row>
    <row r="107" spans="1:11">
      <c r="A107" s="26">
        <v>38599</v>
      </c>
      <c r="B107" s="121">
        <v>86.287857142857135</v>
      </c>
      <c r="C107" s="121">
        <v>99.669090909090897</v>
      </c>
      <c r="D107" s="121">
        <v>131.95416666666665</v>
      </c>
      <c r="E107" s="162">
        <v>105.07675675675677</v>
      </c>
      <c r="F107" s="312"/>
      <c r="G107" s="121">
        <v>87.870754716981139</v>
      </c>
      <c r="H107" s="121">
        <v>120.05333333333334</v>
      </c>
      <c r="I107" s="121">
        <v>173.74</v>
      </c>
      <c r="J107" s="162">
        <v>99.521285714285682</v>
      </c>
      <c r="K107" s="163">
        <v>101.44233644859813</v>
      </c>
    </row>
    <row r="108" spans="1:11">
      <c r="A108" s="26">
        <v>38629</v>
      </c>
      <c r="B108" s="121">
        <v>86.228571428571428</v>
      </c>
      <c r="C108" s="121">
        <v>103.95818181818181</v>
      </c>
      <c r="D108" s="121">
        <v>139.22583333333336</v>
      </c>
      <c r="E108" s="162">
        <v>108.6878378378378</v>
      </c>
      <c r="F108" s="312"/>
      <c r="G108" s="121">
        <v>86.144528301886822</v>
      </c>
      <c r="H108" s="121">
        <v>121.13083333333331</v>
      </c>
      <c r="I108" s="121">
        <v>177.072</v>
      </c>
      <c r="J108" s="162">
        <v>98.637000000000015</v>
      </c>
      <c r="K108" s="163">
        <v>102.11252336448595</v>
      </c>
    </row>
    <row r="109" spans="1:11">
      <c r="A109" s="26">
        <v>38660</v>
      </c>
      <c r="B109" s="121">
        <v>92.824285714285708</v>
      </c>
      <c r="C109" s="121">
        <v>110.26454545454546</v>
      </c>
      <c r="D109" s="121">
        <v>154.61333333333332</v>
      </c>
      <c r="E109" s="162">
        <v>118.04891891891893</v>
      </c>
      <c r="F109" s="312"/>
      <c r="G109" s="121">
        <v>90.876000000000005</v>
      </c>
      <c r="H109" s="121">
        <v>131.76916666666668</v>
      </c>
      <c r="I109" s="121">
        <v>205.53000000000003</v>
      </c>
      <c r="J109" s="162">
        <v>105.65361111111112</v>
      </c>
      <c r="K109" s="163">
        <v>109.86119266055044</v>
      </c>
    </row>
    <row r="110" spans="1:11">
      <c r="A110" s="26">
        <v>38690</v>
      </c>
      <c r="B110" s="121">
        <v>113.94538461538461</v>
      </c>
      <c r="C110" s="121">
        <v>127.79636363636364</v>
      </c>
      <c r="D110" s="121">
        <v>203.7775</v>
      </c>
      <c r="E110" s="162">
        <v>148.12166666666667</v>
      </c>
      <c r="F110" s="312"/>
      <c r="G110" s="121">
        <v>101.56603773584908</v>
      </c>
      <c r="H110" s="121">
        <v>160.19833333333332</v>
      </c>
      <c r="I110" s="121">
        <v>320.15600000000001</v>
      </c>
      <c r="J110" s="162">
        <v>127.23085714285719</v>
      </c>
      <c r="K110" s="163">
        <v>134.32584905660374</v>
      </c>
    </row>
    <row r="111" spans="1:11">
      <c r="A111" s="270">
        <v>2006</v>
      </c>
      <c r="B111" s="27"/>
      <c r="C111" s="27"/>
      <c r="D111" s="27"/>
      <c r="E111" s="28"/>
      <c r="F111" s="312"/>
      <c r="G111" s="27"/>
      <c r="H111" s="27"/>
      <c r="I111" s="27"/>
      <c r="J111" s="28"/>
      <c r="K111" s="28"/>
    </row>
    <row r="112" spans="1:11">
      <c r="A112" s="26">
        <v>38722</v>
      </c>
      <c r="B112" s="121">
        <v>130.36923076923077</v>
      </c>
      <c r="C112" s="121">
        <v>138.93545454545458</v>
      </c>
      <c r="D112" s="121">
        <v>207.69916666666668</v>
      </c>
      <c r="E112" s="162">
        <v>158.76333333333329</v>
      </c>
      <c r="F112" s="312"/>
      <c r="G112" s="121">
        <v>100.76886792452828</v>
      </c>
      <c r="H112" s="121">
        <v>149.32083333333333</v>
      </c>
      <c r="I112" s="121">
        <v>277.31599999999997</v>
      </c>
      <c r="J112" s="162">
        <v>121.7025714285714</v>
      </c>
      <c r="K112" s="163">
        <v>134.28924528301891</v>
      </c>
    </row>
    <row r="113" spans="1:11">
      <c r="A113" s="26">
        <v>38753</v>
      </c>
      <c r="B113" s="121">
        <v>128.05461538461537</v>
      </c>
      <c r="C113" s="121">
        <v>146.76727272727271</v>
      </c>
      <c r="D113" s="121">
        <v>232.19166666666669</v>
      </c>
      <c r="E113" s="162">
        <v>168.48472222222222</v>
      </c>
      <c r="F113" s="312"/>
      <c r="G113" s="121">
        <v>98.857169811320759</v>
      </c>
      <c r="H113" s="121">
        <v>148.99166666666667</v>
      </c>
      <c r="I113" s="121">
        <v>293.65800000000002</v>
      </c>
      <c r="J113" s="162">
        <v>121.36600000000004</v>
      </c>
      <c r="K113" s="163">
        <v>137.36858490566036</v>
      </c>
    </row>
    <row r="114" spans="1:11">
      <c r="A114" s="26">
        <v>38781</v>
      </c>
      <c r="B114" s="121">
        <v>129.40538461538461</v>
      </c>
      <c r="C114" s="121">
        <v>150.86181818181819</v>
      </c>
      <c r="D114" s="121">
        <v>224.16250000000002</v>
      </c>
      <c r="E114" s="162">
        <v>167.54722222222225</v>
      </c>
      <c r="F114" s="312"/>
      <c r="G114" s="121">
        <v>95.553148148148125</v>
      </c>
      <c r="H114" s="121">
        <v>148.69249999999997</v>
      </c>
      <c r="I114" s="121">
        <v>255.33600000000001</v>
      </c>
      <c r="J114" s="162">
        <v>115.78676056338028</v>
      </c>
      <c r="K114" s="163">
        <v>133.2014953271028</v>
      </c>
    </row>
    <row r="115" spans="1:11">
      <c r="A115" s="26">
        <v>38812</v>
      </c>
      <c r="B115" s="121">
        <v>121.12769230769231</v>
      </c>
      <c r="C115" s="121">
        <v>135.03</v>
      </c>
      <c r="D115" s="121">
        <v>201.37083333333337</v>
      </c>
      <c r="E115" s="162">
        <v>152.12333333333333</v>
      </c>
      <c r="F115" s="312"/>
      <c r="G115" s="121">
        <v>96.900727272727295</v>
      </c>
      <c r="H115" s="121">
        <v>139.94333333333336</v>
      </c>
      <c r="I115" s="121">
        <v>275.13800000000003</v>
      </c>
      <c r="J115" s="162">
        <v>116.45208333333332</v>
      </c>
      <c r="K115" s="163">
        <v>128.3425</v>
      </c>
    </row>
    <row r="116" spans="1:11">
      <c r="A116" s="26">
        <v>38842</v>
      </c>
      <c r="B116" s="121">
        <v>110.22230769230767</v>
      </c>
      <c r="C116" s="121">
        <v>123.02</v>
      </c>
      <c r="D116" s="121">
        <v>164.82333333333332</v>
      </c>
      <c r="E116" s="162">
        <v>132.33305555555557</v>
      </c>
      <c r="F116" s="312"/>
      <c r="G116" s="121">
        <v>93.720363636363629</v>
      </c>
      <c r="H116" s="121">
        <v>127.42500000000001</v>
      </c>
      <c r="I116" s="121">
        <v>176.02</v>
      </c>
      <c r="J116" s="162">
        <v>105.05305555555555</v>
      </c>
      <c r="K116" s="163">
        <v>114.14638888888885</v>
      </c>
    </row>
    <row r="117" spans="1:11">
      <c r="A117" s="26">
        <v>38873</v>
      </c>
      <c r="B117" s="121">
        <v>106.67384615384616</v>
      </c>
      <c r="C117" s="121">
        <v>118.47909090909091</v>
      </c>
      <c r="D117" s="121">
        <v>158.79749999999999</v>
      </c>
      <c r="E117" s="162">
        <v>127.65555555555557</v>
      </c>
      <c r="F117" s="312"/>
      <c r="G117" s="121">
        <v>92.071454545454529</v>
      </c>
      <c r="H117" s="121">
        <v>131.57750000000001</v>
      </c>
      <c r="I117" s="121">
        <v>162.51250000000002</v>
      </c>
      <c r="J117" s="162">
        <v>102.71704225352114</v>
      </c>
      <c r="K117" s="163">
        <v>111.10757009345799</v>
      </c>
    </row>
    <row r="118" spans="1:11">
      <c r="A118" s="270" t="s">
        <v>71</v>
      </c>
      <c r="B118" s="165">
        <v>103.42539583333334</v>
      </c>
      <c r="C118" s="165">
        <v>122.37363636363635</v>
      </c>
      <c r="D118" s="165">
        <v>175.43243055555558</v>
      </c>
      <c r="E118" s="164">
        <v>130.92578205128206</v>
      </c>
      <c r="F118" s="25"/>
      <c r="G118" s="165">
        <v>93.07929793625911</v>
      </c>
      <c r="H118" s="165">
        <v>136.84979166666665</v>
      </c>
      <c r="I118" s="165">
        <v>220.26509090909093</v>
      </c>
      <c r="J118" s="164">
        <v>108.5616297979798</v>
      </c>
      <c r="K118" s="165">
        <v>116.21252398989901</v>
      </c>
    </row>
    <row r="120" spans="1:11">
      <c r="A120" s="283" t="s">
        <v>78</v>
      </c>
      <c r="B120" s="283"/>
    </row>
    <row r="121" spans="1:11">
      <c r="A121" s="26">
        <v>38902</v>
      </c>
      <c r="B121" s="121">
        <v>112.22916666666667</v>
      </c>
      <c r="C121" s="121">
        <v>120.52454545454543</v>
      </c>
      <c r="D121" s="121">
        <v>165.63499999999999</v>
      </c>
      <c r="E121" s="166">
        <v>133.14685714285719</v>
      </c>
      <c r="G121" s="121">
        <v>98.592363636363658</v>
      </c>
      <c r="H121" s="121">
        <v>141.0969230769231</v>
      </c>
      <c r="I121" s="121">
        <v>151.47</v>
      </c>
      <c r="J121" s="162">
        <v>109.20444444444445</v>
      </c>
      <c r="K121" s="163">
        <v>117.03607476635518</v>
      </c>
    </row>
    <row r="122" spans="1:11">
      <c r="A122" s="26">
        <v>38933</v>
      </c>
      <c r="B122" s="121">
        <v>104.55166666666666</v>
      </c>
      <c r="C122" s="121">
        <v>117.01181818181819</v>
      </c>
      <c r="D122" s="121">
        <v>159.10916666666668</v>
      </c>
      <c r="E122" s="166">
        <v>127.17314285714286</v>
      </c>
      <c r="G122" s="121">
        <v>92.916071428571428</v>
      </c>
      <c r="H122" s="121">
        <v>120.86166666666668</v>
      </c>
      <c r="I122" s="121">
        <v>139.88249999999999</v>
      </c>
      <c r="J122" s="162">
        <v>100.18291666666666</v>
      </c>
      <c r="K122" s="163">
        <v>109.01149532710276</v>
      </c>
    </row>
    <row r="123" spans="1:11">
      <c r="A123" s="26">
        <v>38964</v>
      </c>
      <c r="B123" s="121">
        <v>105.63384615384614</v>
      </c>
      <c r="C123" s="121">
        <v>111.60090909090908</v>
      </c>
      <c r="D123" s="121">
        <v>153.23499999999999</v>
      </c>
      <c r="E123" s="166">
        <v>123.32416666666664</v>
      </c>
      <c r="G123" s="121">
        <v>87.950714285714298</v>
      </c>
      <c r="H123" s="121">
        <v>128.49416666666667</v>
      </c>
      <c r="I123" s="121">
        <v>125.49000000000001</v>
      </c>
      <c r="J123" s="162">
        <v>96.793472222222235</v>
      </c>
      <c r="K123" s="163">
        <v>105.63703703703699</v>
      </c>
    </row>
    <row r="124" spans="1:11">
      <c r="A124" s="26">
        <v>38994</v>
      </c>
      <c r="B124" s="121">
        <v>100.0723076923077</v>
      </c>
      <c r="C124" s="121">
        <v>112.76818181818182</v>
      </c>
      <c r="D124" s="121">
        <v>156.15</v>
      </c>
      <c r="E124" s="166">
        <v>122.64416666666671</v>
      </c>
      <c r="G124" s="121">
        <v>89.605535714285693</v>
      </c>
      <c r="H124" s="121">
        <v>126.32249999999999</v>
      </c>
      <c r="I124" s="121">
        <v>154.34750000000003</v>
      </c>
      <c r="J124" s="162">
        <v>99.321805555555557</v>
      </c>
      <c r="K124" s="163">
        <v>107.0959259259259</v>
      </c>
    </row>
    <row r="125" spans="1:11">
      <c r="A125" s="26">
        <v>39025</v>
      </c>
      <c r="B125" s="121">
        <v>104.58307692307692</v>
      </c>
      <c r="C125" s="121">
        <v>122.32272727272726</v>
      </c>
      <c r="D125" s="121">
        <v>175.02999999999997</v>
      </c>
      <c r="E125" s="166">
        <v>133.48583333333332</v>
      </c>
      <c r="G125" s="121">
        <v>91.715714285714299</v>
      </c>
      <c r="H125" s="121">
        <v>130.94166666666669</v>
      </c>
      <c r="I125" s="121">
        <v>173.18</v>
      </c>
      <c r="J125" s="162">
        <v>102.7791666666667</v>
      </c>
      <c r="K125" s="163">
        <v>113.01472222222219</v>
      </c>
    </row>
    <row r="126" spans="1:11">
      <c r="A126" s="26">
        <v>39055</v>
      </c>
      <c r="B126" s="121">
        <v>126.14846153846153</v>
      </c>
      <c r="C126" s="121">
        <v>140.70090909090908</v>
      </c>
      <c r="D126" s="121">
        <v>238.53333333333333</v>
      </c>
      <c r="E126" s="166">
        <v>168.05666666666667</v>
      </c>
      <c r="G126" s="121">
        <v>109.3068421052631</v>
      </c>
      <c r="H126" s="121">
        <v>154.36500000000001</v>
      </c>
      <c r="I126" s="121">
        <v>232.45750000000001</v>
      </c>
      <c r="J126" s="162">
        <v>123.46164383561637</v>
      </c>
      <c r="K126" s="163">
        <v>138.19027522935781</v>
      </c>
    </row>
    <row r="127" spans="1:11">
      <c r="A127" s="270">
        <v>2007</v>
      </c>
      <c r="B127" s="29"/>
      <c r="C127" s="29"/>
      <c r="D127" s="29"/>
      <c r="E127" s="28"/>
      <c r="G127" s="30"/>
      <c r="H127" s="30"/>
      <c r="I127" s="30"/>
      <c r="J127" s="127"/>
      <c r="K127" s="127"/>
    </row>
    <row r="128" spans="1:11">
      <c r="A128" s="26">
        <v>39087</v>
      </c>
      <c r="B128" s="121">
        <v>140.55384615384614</v>
      </c>
      <c r="C128" s="121">
        <v>151.09363636363639</v>
      </c>
      <c r="D128" s="121">
        <v>233.46583333333339</v>
      </c>
      <c r="E128" s="162">
        <v>174.745</v>
      </c>
      <c r="G128" s="121">
        <v>103.97298245614037</v>
      </c>
      <c r="H128" s="121">
        <v>153.78749999999999</v>
      </c>
      <c r="I128" s="121">
        <v>243.0325</v>
      </c>
      <c r="J128" s="162">
        <v>119.78136986301368</v>
      </c>
      <c r="K128" s="163">
        <v>137.934495412844</v>
      </c>
    </row>
    <row r="129" spans="1:11">
      <c r="A129" s="26">
        <v>39118</v>
      </c>
      <c r="B129" s="121">
        <v>137.55461538461537</v>
      </c>
      <c r="C129" s="121">
        <v>162.69090909090909</v>
      </c>
      <c r="D129" s="121">
        <v>259.37166666666661</v>
      </c>
      <c r="E129" s="162">
        <v>185.84083333333331</v>
      </c>
      <c r="G129" s="121">
        <v>104.27877192982456</v>
      </c>
      <c r="H129" s="121">
        <v>154.23499999999999</v>
      </c>
      <c r="I129" s="121">
        <v>251.76</v>
      </c>
      <c r="J129" s="162">
        <v>120.57191780821918</v>
      </c>
      <c r="K129" s="163">
        <v>142.12862385321102</v>
      </c>
    </row>
    <row r="130" spans="1:11">
      <c r="A130" s="26">
        <v>39146</v>
      </c>
      <c r="B130" s="121">
        <v>133.06923076923076</v>
      </c>
      <c r="C130" s="121">
        <v>157.60454545454547</v>
      </c>
      <c r="D130" s="121">
        <v>239.92083333333332</v>
      </c>
      <c r="E130" s="162">
        <v>176.18333333333331</v>
      </c>
      <c r="G130" s="121">
        <v>102.94175438596488</v>
      </c>
      <c r="H130" s="121">
        <v>144.27166666666665</v>
      </c>
      <c r="I130" s="121">
        <v>248.4975</v>
      </c>
      <c r="J130" s="162">
        <v>117.7113698630137</v>
      </c>
      <c r="K130" s="163">
        <v>137.02321100917439</v>
      </c>
    </row>
    <row r="131" spans="1:11">
      <c r="A131" s="26">
        <v>39177</v>
      </c>
      <c r="B131" s="121">
        <v>127.02153846153844</v>
      </c>
      <c r="C131" s="121">
        <v>143.76999999999998</v>
      </c>
      <c r="D131" s="121">
        <v>216.04916666666665</v>
      </c>
      <c r="E131" s="162">
        <v>162.33057142857146</v>
      </c>
      <c r="G131" s="121">
        <v>103.85596491228071</v>
      </c>
      <c r="H131" s="121">
        <v>144.93083333333334</v>
      </c>
      <c r="I131" s="121">
        <v>223.9725</v>
      </c>
      <c r="J131" s="162">
        <v>117.18972602739724</v>
      </c>
      <c r="K131" s="163">
        <v>131.8187037037037</v>
      </c>
    </row>
    <row r="132" spans="1:11">
      <c r="A132" s="26">
        <v>39207</v>
      </c>
      <c r="B132" s="121">
        <v>111.58384615384617</v>
      </c>
      <c r="C132" s="121">
        <v>122.63545454545452</v>
      </c>
      <c r="D132" s="121">
        <v>177.16166666666663</v>
      </c>
      <c r="E132" s="162">
        <v>136.82</v>
      </c>
      <c r="G132" s="121">
        <v>96.012678571428594</v>
      </c>
      <c r="H132" s="121">
        <v>131.65083333333334</v>
      </c>
      <c r="I132" s="121">
        <v>179.4675</v>
      </c>
      <c r="J132" s="162">
        <v>106.58875000000005</v>
      </c>
      <c r="K132" s="163">
        <v>116.66583333333331</v>
      </c>
    </row>
    <row r="133" spans="1:11">
      <c r="A133" s="26">
        <v>39238</v>
      </c>
      <c r="B133" s="121">
        <v>110.46714285714287</v>
      </c>
      <c r="C133" s="121">
        <v>110.42777777777779</v>
      </c>
      <c r="D133" s="121">
        <v>172.7130769230769</v>
      </c>
      <c r="E133" s="162">
        <v>132.93499999999997</v>
      </c>
      <c r="G133" s="121">
        <v>96.766481481481478</v>
      </c>
      <c r="H133" s="121">
        <v>135.28357142857143</v>
      </c>
      <c r="I133" s="121">
        <v>161.26</v>
      </c>
      <c r="J133" s="162">
        <v>107.83888888888887</v>
      </c>
      <c r="K133" s="163">
        <v>116.20425925925923</v>
      </c>
    </row>
    <row r="134" spans="1:11">
      <c r="A134" s="270" t="s">
        <v>71</v>
      </c>
      <c r="B134" s="165">
        <v>119.5335238095238</v>
      </c>
      <c r="C134" s="165">
        <v>131.86000688705232</v>
      </c>
      <c r="D134" s="165">
        <v>191.77532051282049</v>
      </c>
      <c r="E134" s="164">
        <v>147.86265404040407</v>
      </c>
      <c r="F134" s="25"/>
      <c r="G134" s="165">
        <v>98.338280549859491</v>
      </c>
      <c r="H134" s="165">
        <v>141.5083888888889</v>
      </c>
      <c r="I134" s="165">
        <v>190.40145833333335</v>
      </c>
      <c r="J134" s="164">
        <v>110.02983529028045</v>
      </c>
      <c r="K134" s="165">
        <v>122.52507818022957</v>
      </c>
    </row>
    <row r="136" spans="1:11" s="113" customFormat="1">
      <c r="A136" s="283" t="s">
        <v>79</v>
      </c>
      <c r="B136" s="283"/>
      <c r="C136" s="112"/>
      <c r="D136" s="112"/>
      <c r="E136" s="112"/>
      <c r="F136" s="112"/>
      <c r="G136" s="112"/>
      <c r="H136" s="112"/>
      <c r="I136" s="112"/>
      <c r="J136" s="112"/>
      <c r="K136" s="112"/>
    </row>
    <row r="137" spans="1:11" s="113" customFormat="1">
      <c r="A137" s="26">
        <v>39267</v>
      </c>
      <c r="B137" s="120">
        <v>113.69071428571429</v>
      </c>
      <c r="C137" s="120">
        <v>108.93333333333332</v>
      </c>
      <c r="D137" s="120">
        <v>165.3276923076923</v>
      </c>
      <c r="E137" s="167">
        <v>131.14805555555554</v>
      </c>
      <c r="F137" s="112"/>
      <c r="G137" s="120">
        <v>99.323269230769228</v>
      </c>
      <c r="H137" s="120">
        <v>135.59066666666666</v>
      </c>
      <c r="I137" s="120">
        <v>155.45250000000001</v>
      </c>
      <c r="J137" s="167">
        <v>110.14760563380281</v>
      </c>
      <c r="K137" s="168">
        <v>117.21317757009349</v>
      </c>
    </row>
    <row r="138" spans="1:11" s="113" customFormat="1">
      <c r="A138" s="26">
        <v>39298</v>
      </c>
      <c r="B138" s="120">
        <v>115.33714285714287</v>
      </c>
      <c r="C138" s="120">
        <v>114.21222222222224</v>
      </c>
      <c r="D138" s="120">
        <v>170.08846153846156</v>
      </c>
      <c r="E138" s="167">
        <v>134.82722222222222</v>
      </c>
      <c r="F138" s="112"/>
      <c r="G138" s="120">
        <v>94.477843137254879</v>
      </c>
      <c r="H138" s="120">
        <v>130.04285714285714</v>
      </c>
      <c r="I138" s="120">
        <v>154.26250000000002</v>
      </c>
      <c r="J138" s="167">
        <v>105.15971014492753</v>
      </c>
      <c r="K138" s="168">
        <v>115.33142857142859</v>
      </c>
    </row>
    <row r="139" spans="1:11" s="113" customFormat="1">
      <c r="A139" s="26">
        <v>39329</v>
      </c>
      <c r="B139" s="120">
        <v>110.21857142857144</v>
      </c>
      <c r="C139" s="120">
        <v>107.59666666666668</v>
      </c>
      <c r="D139" s="120">
        <v>155.05769230769232</v>
      </c>
      <c r="E139" s="167">
        <v>125.75500000000004</v>
      </c>
      <c r="F139" s="112"/>
      <c r="G139" s="120">
        <v>92.492500000000007</v>
      </c>
      <c r="H139" s="120">
        <v>127.72</v>
      </c>
      <c r="I139" s="120">
        <v>157.68</v>
      </c>
      <c r="J139" s="167">
        <v>103.26300000000001</v>
      </c>
      <c r="K139" s="168">
        <v>110.90179245283019</v>
      </c>
    </row>
    <row r="140" spans="1:11" s="113" customFormat="1">
      <c r="A140" s="26">
        <v>39359</v>
      </c>
      <c r="B140" s="120">
        <v>113.68307692307695</v>
      </c>
      <c r="C140" s="120">
        <v>111.19777777777777</v>
      </c>
      <c r="D140" s="120">
        <v>166.60000000000002</v>
      </c>
      <c r="E140" s="167">
        <v>132.69885714285715</v>
      </c>
      <c r="F140" s="112"/>
      <c r="G140" s="120">
        <v>91.798846153846156</v>
      </c>
      <c r="H140" s="120">
        <v>127.38214285714287</v>
      </c>
      <c r="I140" s="120">
        <v>176.0025</v>
      </c>
      <c r="J140" s="167">
        <v>103.72714285714282</v>
      </c>
      <c r="K140" s="168">
        <v>113.38438095238099</v>
      </c>
    </row>
    <row r="141" spans="1:11" s="113" customFormat="1">
      <c r="A141" s="26">
        <v>39390</v>
      </c>
      <c r="B141" s="120">
        <v>110.72384615384614</v>
      </c>
      <c r="C141" s="120">
        <v>104.027777777778</v>
      </c>
      <c r="D141" s="120">
        <v>184.52615384615385</v>
      </c>
      <c r="E141" s="167">
        <v>136.41428571428568</v>
      </c>
      <c r="F141" s="112"/>
      <c r="G141" s="120">
        <v>92.483137254901933</v>
      </c>
      <c r="H141" s="120">
        <v>132.90142857142857</v>
      </c>
      <c r="I141" s="120">
        <v>181.58750000000001</v>
      </c>
      <c r="J141" s="167">
        <v>105.84942028985509</v>
      </c>
      <c r="K141" s="168">
        <v>116.1356730769231</v>
      </c>
    </row>
    <row r="142" spans="1:11" s="113" customFormat="1">
      <c r="A142" s="26">
        <v>39420</v>
      </c>
      <c r="B142" s="120">
        <v>138.42384615384614</v>
      </c>
      <c r="C142" s="120">
        <v>130.60000000000002</v>
      </c>
      <c r="D142" s="120">
        <v>237.49230769230775</v>
      </c>
      <c r="E142" s="167">
        <v>173.20885714285714</v>
      </c>
      <c r="F142" s="112"/>
      <c r="G142" s="120">
        <v>107.03615384615387</v>
      </c>
      <c r="H142" s="120">
        <v>149.73307692307691</v>
      </c>
      <c r="I142" s="120">
        <v>260.01249999999999</v>
      </c>
      <c r="J142" s="167">
        <v>123.9486956521739</v>
      </c>
      <c r="K142" s="168">
        <v>140.52663461538461</v>
      </c>
    </row>
    <row r="143" spans="1:11" s="113" customFormat="1">
      <c r="A143" s="270">
        <v>2008</v>
      </c>
      <c r="B143" s="125"/>
      <c r="C143" s="125"/>
      <c r="D143" s="125"/>
      <c r="E143" s="126"/>
      <c r="F143" s="112"/>
      <c r="G143" s="112"/>
      <c r="H143" s="112"/>
      <c r="I143" s="112"/>
      <c r="J143" s="114"/>
      <c r="K143" s="114"/>
    </row>
    <row r="144" spans="1:11" s="113" customFormat="1">
      <c r="A144" s="26">
        <v>39452</v>
      </c>
      <c r="B144" s="120">
        <v>150.5058333333333</v>
      </c>
      <c r="C144" s="120">
        <v>144.529</v>
      </c>
      <c r="D144" s="120">
        <v>231.01461538461535</v>
      </c>
      <c r="E144" s="167">
        <v>178.70142857142852</v>
      </c>
      <c r="F144" s="112"/>
      <c r="G144" s="120">
        <v>104.64923076923081</v>
      </c>
      <c r="H144" s="120">
        <v>147.17076923076925</v>
      </c>
      <c r="I144" s="120">
        <v>243.02749999999997</v>
      </c>
      <c r="J144" s="167">
        <v>120.68246376811594</v>
      </c>
      <c r="K144" s="168">
        <v>140.20807692307693</v>
      </c>
    </row>
    <row r="145" spans="1:11" s="113" customFormat="1">
      <c r="A145" s="26">
        <v>39483</v>
      </c>
      <c r="B145" s="120">
        <v>144.51250000000002</v>
      </c>
      <c r="C145" s="120">
        <v>155.185</v>
      </c>
      <c r="D145" s="120">
        <v>253.02076923076922</v>
      </c>
      <c r="E145" s="167">
        <v>187.86485714285715</v>
      </c>
      <c r="F145" s="112"/>
      <c r="G145" s="120">
        <v>105.70999999999998</v>
      </c>
      <c r="H145" s="120">
        <v>151.07461538461536</v>
      </c>
      <c r="I145" s="120">
        <v>252.16249999999999</v>
      </c>
      <c r="J145" s="167">
        <v>122.74695652173916</v>
      </c>
      <c r="K145" s="168">
        <v>144.66163461538468</v>
      </c>
    </row>
    <row r="146" spans="1:11" s="113" customFormat="1">
      <c r="A146" s="26">
        <v>39512</v>
      </c>
      <c r="B146" s="120">
        <v>144.17999999999998</v>
      </c>
      <c r="C146" s="120">
        <v>148.76900000000001</v>
      </c>
      <c r="D146" s="120">
        <v>236.23307692307691</v>
      </c>
      <c r="E146" s="167">
        <v>179.68228571428565</v>
      </c>
      <c r="F146" s="112"/>
      <c r="G146" s="120">
        <v>106.95826923076923</v>
      </c>
      <c r="H146" s="120">
        <v>154.42923076923077</v>
      </c>
      <c r="I146" s="120">
        <v>249.46</v>
      </c>
      <c r="J146" s="167">
        <v>124.16304347826087</v>
      </c>
      <c r="K146" s="168">
        <v>142.84740384615387</v>
      </c>
    </row>
    <row r="147" spans="1:11" s="113" customFormat="1">
      <c r="A147" s="26">
        <v>39543</v>
      </c>
      <c r="B147" s="120">
        <v>132.37666666666667</v>
      </c>
      <c r="C147" s="120">
        <v>136.26000000000002</v>
      </c>
      <c r="D147" s="120">
        <v>207.7092307692308</v>
      </c>
      <c r="E147" s="167">
        <v>161.46685714285715</v>
      </c>
      <c r="F147" s="112"/>
      <c r="G147" s="120">
        <v>98.405192307692246</v>
      </c>
      <c r="H147" s="120">
        <v>145.81384615384616</v>
      </c>
      <c r="I147" s="120">
        <v>227.43249999999998</v>
      </c>
      <c r="J147" s="167">
        <v>114.81710144927534</v>
      </c>
      <c r="K147" s="168">
        <v>130.51653846153846</v>
      </c>
    </row>
    <row r="148" spans="1:11" s="113" customFormat="1">
      <c r="A148" s="26">
        <v>39573</v>
      </c>
      <c r="B148" s="120">
        <v>114.52249999999999</v>
      </c>
      <c r="C148" s="120">
        <v>125.39299999999999</v>
      </c>
      <c r="D148" s="120">
        <v>179.26923076923077</v>
      </c>
      <c r="E148" s="167">
        <v>141.67714285714285</v>
      </c>
      <c r="F148" s="112"/>
      <c r="G148" s="120">
        <v>99.493200000000016</v>
      </c>
      <c r="H148" s="120">
        <v>138.9346153846154</v>
      </c>
      <c r="I148" s="120">
        <v>178.995</v>
      </c>
      <c r="J148" s="167">
        <v>111.89238805970153</v>
      </c>
      <c r="K148" s="168">
        <v>122.11264705882354</v>
      </c>
    </row>
    <row r="149" spans="1:11" s="113" customFormat="1">
      <c r="A149" s="26">
        <v>39604</v>
      </c>
      <c r="B149" s="120">
        <v>109.17750000000001</v>
      </c>
      <c r="C149" s="120">
        <v>122.07899999999999</v>
      </c>
      <c r="D149" s="120">
        <v>172.73538461538462</v>
      </c>
      <c r="E149" s="167">
        <v>136.47085714285714</v>
      </c>
      <c r="F149" s="112"/>
      <c r="G149" s="120">
        <v>98.862400000000022</v>
      </c>
      <c r="H149" s="120">
        <v>129.21076923076922</v>
      </c>
      <c r="I149" s="120">
        <v>166.79000000000002</v>
      </c>
      <c r="J149" s="167">
        <v>108.80626865671644</v>
      </c>
      <c r="K149" s="168">
        <v>118.29901960784311</v>
      </c>
    </row>
    <row r="150" spans="1:11" s="113" customFormat="1">
      <c r="A150" s="270" t="s">
        <v>71</v>
      </c>
      <c r="B150" s="170">
        <v>124.09666666666665</v>
      </c>
      <c r="C150" s="170">
        <v>129.67350000000002</v>
      </c>
      <c r="D150" s="170">
        <v>196.58955128205127</v>
      </c>
      <c r="E150" s="169">
        <v>150.19956018518519</v>
      </c>
      <c r="F150" s="25"/>
      <c r="G150" s="170">
        <v>100.48066363636363</v>
      </c>
      <c r="H150" s="170">
        <v>140.42070202020201</v>
      </c>
      <c r="I150" s="170">
        <v>200.23874999999998</v>
      </c>
      <c r="J150" s="169">
        <v>113.54065740740739</v>
      </c>
      <c r="K150" s="170">
        <v>125.76029166666662</v>
      </c>
    </row>
    <row r="151" spans="1:11" s="113" customFormat="1" ht="14.25" customHeight="1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</row>
    <row r="152" spans="1:11" s="113" customFormat="1">
      <c r="A152" s="283" t="s">
        <v>10</v>
      </c>
      <c r="B152" s="283"/>
      <c r="C152" s="112"/>
      <c r="D152" s="112"/>
      <c r="E152" s="112"/>
      <c r="F152" s="112"/>
      <c r="G152" s="112"/>
      <c r="H152" s="112"/>
      <c r="I152" s="112"/>
      <c r="J152" s="112"/>
      <c r="K152" s="112"/>
    </row>
    <row r="153" spans="1:11" s="113" customFormat="1">
      <c r="A153" s="26">
        <v>39633</v>
      </c>
      <c r="B153" s="121">
        <v>108.4623076923077</v>
      </c>
      <c r="C153" s="121">
        <v>115.44000000000001</v>
      </c>
      <c r="D153" s="121">
        <v>168.22692307692307</v>
      </c>
      <c r="E153" s="162">
        <v>131.98222222222228</v>
      </c>
      <c r="F153" s="112"/>
      <c r="G153" s="120">
        <v>103.33666666666667</v>
      </c>
      <c r="H153" s="120">
        <v>137.22769230769231</v>
      </c>
      <c r="I153" s="120">
        <v>163.94499999999999</v>
      </c>
      <c r="J153" s="167">
        <v>113.38102941176469</v>
      </c>
      <c r="K153" s="168">
        <v>119.81990384615386</v>
      </c>
    </row>
    <row r="154" spans="1:11" s="113" customFormat="1">
      <c r="A154" s="26">
        <v>39664</v>
      </c>
      <c r="B154" s="121">
        <v>109.82857142857142</v>
      </c>
      <c r="C154" s="121">
        <v>107.64666666666668</v>
      </c>
      <c r="D154" s="121">
        <v>159.34153846153848</v>
      </c>
      <c r="E154" s="162">
        <v>127.16277777777779</v>
      </c>
      <c r="F154" s="112"/>
      <c r="G154" s="120">
        <v>99.764230769230764</v>
      </c>
      <c r="H154" s="120">
        <v>129.65363636363637</v>
      </c>
      <c r="I154" s="120">
        <v>156.44749999999999</v>
      </c>
      <c r="J154" s="167">
        <v>108.05552238805967</v>
      </c>
      <c r="K154" s="168">
        <v>114.73378640776701</v>
      </c>
    </row>
    <row r="155" spans="1:11" s="113" customFormat="1">
      <c r="A155" s="26">
        <v>39695</v>
      </c>
      <c r="B155" s="121">
        <v>99.784999999999997</v>
      </c>
      <c r="C155" s="121">
        <v>102.82777777777778</v>
      </c>
      <c r="D155" s="121">
        <v>149.61538461538461</v>
      </c>
      <c r="E155" s="162">
        <v>118.53999999999996</v>
      </c>
      <c r="F155" s="112"/>
      <c r="G155" s="120">
        <v>88.681730769230768</v>
      </c>
      <c r="H155" s="120">
        <v>117.00090909090909</v>
      </c>
      <c r="I155" s="120">
        <v>146.85500000000002</v>
      </c>
      <c r="J155" s="167">
        <v>96.804179104477626</v>
      </c>
      <c r="K155" s="168">
        <v>104.40116504854372</v>
      </c>
    </row>
    <row r="156" spans="1:11" s="113" customFormat="1">
      <c r="A156" s="26">
        <v>39725</v>
      </c>
      <c r="B156" s="121">
        <v>102.57428571428571</v>
      </c>
      <c r="C156" s="121">
        <v>105.27333333333334</v>
      </c>
      <c r="D156" s="121">
        <v>158.43642857142859</v>
      </c>
      <c r="E156" s="162">
        <v>124.36783783783783</v>
      </c>
      <c r="F156" s="112"/>
      <c r="G156" s="120">
        <v>94.403584905660395</v>
      </c>
      <c r="H156" s="120">
        <v>120.25181818181819</v>
      </c>
      <c r="I156" s="120">
        <v>163.5625</v>
      </c>
      <c r="J156" s="167">
        <v>102.65308823529415</v>
      </c>
      <c r="K156" s="168">
        <v>110.30495238095237</v>
      </c>
    </row>
    <row r="157" spans="1:11" s="113" customFormat="1">
      <c r="A157" s="26">
        <v>39756</v>
      </c>
      <c r="B157" s="121">
        <v>113.8042857142857</v>
      </c>
      <c r="C157" s="121">
        <v>111.47888888888889</v>
      </c>
      <c r="D157" s="121">
        <v>170.8592857142857</v>
      </c>
      <c r="E157" s="162">
        <v>134.82702702702699</v>
      </c>
      <c r="F157" s="112"/>
      <c r="G157" s="120">
        <v>96.475769230769231</v>
      </c>
      <c r="H157" s="120">
        <v>123.67749999999999</v>
      </c>
      <c r="I157" s="120">
        <v>169.21</v>
      </c>
      <c r="J157" s="167">
        <v>105.55455882352943</v>
      </c>
      <c r="K157" s="168">
        <v>115.86961904761901</v>
      </c>
    </row>
    <row r="158" spans="1:11" s="113" customFormat="1">
      <c r="A158" s="26">
        <v>39786</v>
      </c>
      <c r="B158" s="121">
        <v>130.86714285714285</v>
      </c>
      <c r="C158" s="121">
        <v>123.82111111111109</v>
      </c>
      <c r="D158" s="121">
        <v>210.63928571428573</v>
      </c>
      <c r="E158" s="162">
        <v>159.33729729729728</v>
      </c>
      <c r="F158" s="112"/>
      <c r="G158" s="120">
        <v>106.00203703703704</v>
      </c>
      <c r="H158" s="120">
        <v>135.75100000000003</v>
      </c>
      <c r="I158" s="120">
        <v>260.62</v>
      </c>
      <c r="J158" s="167">
        <v>119.47205882352944</v>
      </c>
      <c r="K158" s="168">
        <v>133.51980952380956</v>
      </c>
    </row>
    <row r="159" spans="1:11" s="113" customFormat="1">
      <c r="A159" s="270">
        <v>2009</v>
      </c>
      <c r="B159" s="112"/>
      <c r="C159" s="112"/>
      <c r="D159" s="112"/>
      <c r="E159" s="112"/>
      <c r="F159" s="112"/>
      <c r="G159" s="120"/>
      <c r="H159" s="120"/>
      <c r="I159" s="120"/>
      <c r="J159" s="123"/>
      <c r="K159" s="123"/>
    </row>
    <row r="160" spans="1:11" s="113" customFormat="1">
      <c r="A160" s="26">
        <v>39818</v>
      </c>
      <c r="B160" s="121">
        <v>137.845</v>
      </c>
      <c r="C160" s="121">
        <v>131.59333333333336</v>
      </c>
      <c r="D160" s="121">
        <v>223.1057142857143</v>
      </c>
      <c r="E160" s="162">
        <v>170.34171428571432</v>
      </c>
      <c r="F160" s="112"/>
      <c r="G160" s="120">
        <v>105.14211538461535</v>
      </c>
      <c r="H160" s="120">
        <v>136.09399999999999</v>
      </c>
      <c r="I160" s="120">
        <v>216.08999999999997</v>
      </c>
      <c r="J160" s="167">
        <v>116.5559090909091</v>
      </c>
      <c r="K160" s="168">
        <v>135.19455445544554</v>
      </c>
    </row>
    <row r="161" spans="1:11" s="113" customFormat="1">
      <c r="A161" s="26">
        <v>39849</v>
      </c>
      <c r="B161" s="121">
        <v>141.59615384615387</v>
      </c>
      <c r="C161" s="121">
        <v>128.52222222222224</v>
      </c>
      <c r="D161" s="121">
        <v>226.30857142857141</v>
      </c>
      <c r="E161" s="162">
        <v>171.27138888888888</v>
      </c>
      <c r="F161" s="112"/>
      <c r="G161" s="120">
        <v>102.5173076923077</v>
      </c>
      <c r="H161" s="120">
        <v>131.93299999999999</v>
      </c>
      <c r="I161" s="120">
        <v>222.86750000000001</v>
      </c>
      <c r="J161" s="167">
        <v>114.26818181818183</v>
      </c>
      <c r="K161" s="168">
        <v>134.38696078431371</v>
      </c>
    </row>
    <row r="162" spans="1:11" s="113" customFormat="1">
      <c r="A162" s="26">
        <v>39877</v>
      </c>
      <c r="B162" s="121">
        <v>129.17000000000002</v>
      </c>
      <c r="C162" s="121">
        <v>123.26222222222221</v>
      </c>
      <c r="D162" s="121">
        <v>210.91785714285714</v>
      </c>
      <c r="E162" s="162">
        <v>159.48388888888886</v>
      </c>
      <c r="F162" s="112"/>
      <c r="G162" s="120">
        <v>102.91019230769228</v>
      </c>
      <c r="H162" s="120">
        <v>126.99454545454545</v>
      </c>
      <c r="I162" s="120">
        <v>207.9075</v>
      </c>
      <c r="J162" s="167">
        <v>113.13283582089555</v>
      </c>
      <c r="K162" s="168">
        <v>129.33320388349512</v>
      </c>
    </row>
    <row r="163" spans="1:11" s="113" customFormat="1">
      <c r="A163" s="26">
        <v>39908</v>
      </c>
      <c r="B163" s="121">
        <v>119.90384615384616</v>
      </c>
      <c r="C163" s="121">
        <v>112.25333333333333</v>
      </c>
      <c r="D163" s="121">
        <v>181.93714285714287</v>
      </c>
      <c r="E163" s="162">
        <v>142.11527777777775</v>
      </c>
      <c r="F163" s="112"/>
      <c r="G163" s="120">
        <v>100.88764705882352</v>
      </c>
      <c r="H163" s="120">
        <v>131.8981818181818</v>
      </c>
      <c r="I163" s="120">
        <v>190.125</v>
      </c>
      <c r="J163" s="167">
        <v>111.46439393939393</v>
      </c>
      <c r="K163" s="168">
        <v>122.28235294117648</v>
      </c>
    </row>
    <row r="164" spans="1:11" s="113" customFormat="1">
      <c r="A164" s="26">
        <v>39938</v>
      </c>
      <c r="B164" s="121">
        <v>105.79846153846155</v>
      </c>
      <c r="C164" s="121">
        <v>106.86625000000001</v>
      </c>
      <c r="D164" s="121">
        <v>160.21499999999997</v>
      </c>
      <c r="E164" s="162">
        <v>127.80914285714285</v>
      </c>
      <c r="F164" s="112"/>
      <c r="G164" s="120">
        <v>100.31176470588238</v>
      </c>
      <c r="H164" s="120">
        <v>127.90454545454546</v>
      </c>
      <c r="I164" s="120">
        <v>166.48999999999998</v>
      </c>
      <c r="J164" s="167">
        <v>108.92136363636369</v>
      </c>
      <c r="K164" s="168">
        <v>115.46663366336632</v>
      </c>
    </row>
    <row r="165" spans="1:11" s="113" customFormat="1">
      <c r="A165" s="26">
        <v>39969</v>
      </c>
      <c r="B165" s="121">
        <v>108.6723076923077</v>
      </c>
      <c r="C165" s="121">
        <v>105.8775</v>
      </c>
      <c r="D165" s="121">
        <v>155.86928571428572</v>
      </c>
      <c r="E165" s="162">
        <v>126.91228571428572</v>
      </c>
      <c r="F165" s="112"/>
      <c r="G165" s="120">
        <v>100.77039215686273</v>
      </c>
      <c r="H165" s="120">
        <v>129.27000000000001</v>
      </c>
      <c r="I165" s="120">
        <v>152.91</v>
      </c>
      <c r="J165" s="167">
        <v>108.68030303030305</v>
      </c>
      <c r="K165" s="168">
        <v>114.99831683168317</v>
      </c>
    </row>
    <row r="166" spans="1:11" s="113" customFormat="1">
      <c r="A166" s="270" t="s">
        <v>71</v>
      </c>
      <c r="B166" s="165">
        <v>116.83111471861473</v>
      </c>
      <c r="C166" s="165">
        <v>116.95040000000002</v>
      </c>
      <c r="D166" s="165">
        <v>182.20438492063494</v>
      </c>
      <c r="E166" s="164">
        <v>140.82807971607971</v>
      </c>
      <c r="F166" s="25"/>
      <c r="G166" s="170">
        <v>100.50132920110191</v>
      </c>
      <c r="H166" s="170">
        <v>129.53910714285715</v>
      </c>
      <c r="I166" s="170">
        <v>184.75250000000003</v>
      </c>
      <c r="J166" s="169">
        <v>109.72338651824367</v>
      </c>
      <c r="K166" s="170">
        <v>120.47921500721505</v>
      </c>
    </row>
    <row r="167" spans="1:11" s="113" customFormat="1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</row>
    <row r="168" spans="1:11" s="113" customFormat="1">
      <c r="A168" s="270" t="s">
        <v>11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</row>
    <row r="169" spans="1:11">
      <c r="A169" s="26">
        <v>39998</v>
      </c>
      <c r="B169" s="121">
        <v>102.64416666666666</v>
      </c>
      <c r="C169" s="121">
        <v>107.17374999999998</v>
      </c>
      <c r="D169" s="121">
        <v>153.33357142857145</v>
      </c>
      <c r="E169" s="166">
        <v>124.58205882352938</v>
      </c>
      <c r="F169" s="122"/>
      <c r="G169" s="121">
        <v>102.3734615384615</v>
      </c>
      <c r="H169" s="121">
        <v>131.9072727272727</v>
      </c>
      <c r="I169" s="121">
        <v>149.78749999999999</v>
      </c>
      <c r="J169" s="166">
        <v>110.05298507462686</v>
      </c>
      <c r="K169" s="171">
        <v>114.94396039603959</v>
      </c>
    </row>
    <row r="170" spans="1:11">
      <c r="A170" s="26">
        <v>40060</v>
      </c>
      <c r="B170" s="121">
        <v>101.48833333333334</v>
      </c>
      <c r="C170" s="121">
        <v>104.34999999999998</v>
      </c>
      <c r="D170" s="121">
        <v>151.3557142857143</v>
      </c>
      <c r="E170" s="166">
        <v>123.84187500000002</v>
      </c>
      <c r="F170" s="122"/>
      <c r="G170" s="121">
        <v>92.250196078431415</v>
      </c>
      <c r="H170" s="121">
        <v>119.24454545454546</v>
      </c>
      <c r="I170" s="121">
        <v>134.76</v>
      </c>
      <c r="J170" s="166">
        <v>99.325606060606063</v>
      </c>
      <c r="K170" s="171">
        <v>107.33091836734694</v>
      </c>
    </row>
    <row r="171" spans="1:11">
      <c r="A171" s="26">
        <v>40060</v>
      </c>
      <c r="B171" s="121">
        <v>94.233333333333348</v>
      </c>
      <c r="C171" s="121">
        <v>101.455</v>
      </c>
      <c r="D171" s="121">
        <v>141.86071428571429</v>
      </c>
      <c r="E171" s="166">
        <v>116.42437499999998</v>
      </c>
      <c r="F171" s="122"/>
      <c r="G171" s="121">
        <v>92.228235294117667</v>
      </c>
      <c r="H171" s="121">
        <v>120.29454545454546</v>
      </c>
      <c r="I171" s="121">
        <v>140.91749999999999</v>
      </c>
      <c r="J171" s="166">
        <v>99.856818181818156</v>
      </c>
      <c r="K171" s="171">
        <v>105.26663265306119</v>
      </c>
    </row>
    <row r="172" spans="1:11">
      <c r="A172" s="26">
        <v>40090</v>
      </c>
      <c r="B172" s="121">
        <v>101.47750000000001</v>
      </c>
      <c r="C172" s="121">
        <v>108.73833333333333</v>
      </c>
      <c r="D172" s="121">
        <v>147.81357142857146</v>
      </c>
      <c r="E172" s="166">
        <v>123.11093749999999</v>
      </c>
      <c r="F172" s="122"/>
      <c r="G172" s="121">
        <v>89.475098039215695</v>
      </c>
      <c r="H172" s="121">
        <v>119.7081818181818</v>
      </c>
      <c r="I172" s="121">
        <v>143.91749999999999</v>
      </c>
      <c r="J172" s="166">
        <v>97.813484848484876</v>
      </c>
      <c r="K172" s="171">
        <v>106.07387755102043</v>
      </c>
    </row>
    <row r="173" spans="1:11">
      <c r="A173" s="26">
        <v>40121</v>
      </c>
      <c r="B173" s="121">
        <v>106.87333333333333</v>
      </c>
      <c r="C173" s="121">
        <v>109.01166666666666</v>
      </c>
      <c r="D173" s="121">
        <v>160.47428571428571</v>
      </c>
      <c r="E173" s="166">
        <v>130.72468749999996</v>
      </c>
      <c r="F173" s="122"/>
      <c r="G173" s="121">
        <v>93.719800000000021</v>
      </c>
      <c r="H173" s="121">
        <v>119.42</v>
      </c>
      <c r="I173" s="121">
        <v>157.23250000000002</v>
      </c>
      <c r="J173" s="166">
        <v>102.24181818181818</v>
      </c>
      <c r="K173" s="171">
        <v>111.54234693877545</v>
      </c>
    </row>
    <row r="174" spans="1:11">
      <c r="A174" s="26">
        <v>40151</v>
      </c>
      <c r="B174" s="121">
        <v>122.92166666666667</v>
      </c>
      <c r="C174" s="121">
        <v>117.02833333333335</v>
      </c>
      <c r="D174" s="121">
        <v>192.95428571428576</v>
      </c>
      <c r="E174" s="166">
        <v>152.4559375</v>
      </c>
      <c r="F174" s="122"/>
      <c r="G174" s="121">
        <v>106.77647058823531</v>
      </c>
      <c r="H174" s="121">
        <v>134.22636363636363</v>
      </c>
      <c r="I174" s="121">
        <v>229.2775</v>
      </c>
      <c r="J174" s="166">
        <v>118.77575757575758</v>
      </c>
      <c r="K174" s="171">
        <v>129.77336734693873</v>
      </c>
    </row>
    <row r="175" spans="1:11">
      <c r="A175" s="270">
        <v>2010</v>
      </c>
      <c r="B175" s="122"/>
      <c r="C175" s="122"/>
      <c r="D175" s="122"/>
      <c r="E175" s="124"/>
      <c r="F175" s="122"/>
      <c r="G175" s="122"/>
      <c r="H175" s="122"/>
      <c r="I175" s="122"/>
      <c r="J175" s="124"/>
      <c r="K175" s="124"/>
    </row>
    <row r="176" spans="1:11">
      <c r="A176" s="26">
        <v>40183</v>
      </c>
      <c r="B176" s="121">
        <v>136.99384615384616</v>
      </c>
      <c r="C176" s="121">
        <v>130.90166666666667</v>
      </c>
      <c r="D176" s="121">
        <v>205.45400000000004</v>
      </c>
      <c r="E176" s="166">
        <v>166.12176470588236</v>
      </c>
      <c r="F176" s="122"/>
      <c r="G176" s="121">
        <v>104.11571428571429</v>
      </c>
      <c r="H176" s="121">
        <v>134.25384615384615</v>
      </c>
      <c r="I176" s="121">
        <v>214.8725</v>
      </c>
      <c r="J176" s="166">
        <v>116.76454545454546</v>
      </c>
      <c r="K176" s="171">
        <v>133.54599999999999</v>
      </c>
    </row>
    <row r="177" spans="1:11">
      <c r="A177" s="26">
        <v>40214</v>
      </c>
      <c r="B177" s="121">
        <v>134.92538461538464</v>
      </c>
      <c r="C177" s="121">
        <v>136.39333333333335</v>
      </c>
      <c r="D177" s="121">
        <v>214.13933333333333</v>
      </c>
      <c r="E177" s="166">
        <v>170.13176470588235</v>
      </c>
      <c r="F177" s="122"/>
      <c r="G177" s="121">
        <v>105.1857142857143</v>
      </c>
      <c r="H177" s="121">
        <v>134.93615384615384</v>
      </c>
      <c r="I177" s="121">
        <v>202.4075</v>
      </c>
      <c r="J177" s="166">
        <v>116.93787878787879</v>
      </c>
      <c r="K177" s="171">
        <v>135.02380000000005</v>
      </c>
    </row>
    <row r="178" spans="1:11">
      <c r="A178" s="26">
        <v>40242</v>
      </c>
      <c r="B178" s="121">
        <v>130.82230769230767</v>
      </c>
      <c r="C178" s="121">
        <v>135.16166666666666</v>
      </c>
      <c r="D178" s="121">
        <v>202.86266666666671</v>
      </c>
      <c r="E178" s="166">
        <v>163.37058823529409</v>
      </c>
      <c r="F178" s="122"/>
      <c r="G178" s="121">
        <v>105.15000000000003</v>
      </c>
      <c r="H178" s="121">
        <v>135.09307692307692</v>
      </c>
      <c r="I178" s="121">
        <v>190.33750000000001</v>
      </c>
      <c r="J178" s="166">
        <v>116.3809230769231</v>
      </c>
      <c r="K178" s="171">
        <v>132.51878787878786</v>
      </c>
    </row>
    <row r="179" spans="1:11">
      <c r="A179" s="26">
        <v>40273</v>
      </c>
      <c r="B179" s="121">
        <v>121.55076923076922</v>
      </c>
      <c r="C179" s="121">
        <v>124.49000000000001</v>
      </c>
      <c r="D179" s="121">
        <v>185.08866666666663</v>
      </c>
      <c r="E179" s="166">
        <v>150.1008823529412</v>
      </c>
      <c r="F179" s="122"/>
      <c r="G179" s="121">
        <v>102.60276595744681</v>
      </c>
      <c r="H179" s="121">
        <v>133.19615384615383</v>
      </c>
      <c r="I179" s="121">
        <v>179.405</v>
      </c>
      <c r="J179" s="166">
        <v>113.61718750000003</v>
      </c>
      <c r="K179" s="171">
        <v>126.27479591836729</v>
      </c>
    </row>
    <row r="180" spans="1:11">
      <c r="A180" s="26">
        <v>40303</v>
      </c>
      <c r="B180" s="121">
        <v>109.36923076923078</v>
      </c>
      <c r="C180" s="121">
        <v>118.81666666666668</v>
      </c>
      <c r="D180" s="121">
        <v>160.57533333333333</v>
      </c>
      <c r="E180" s="166">
        <v>133.6273529411765</v>
      </c>
      <c r="F180" s="122"/>
      <c r="G180" s="121">
        <v>100.71808510638301</v>
      </c>
      <c r="H180" s="121">
        <v>123.24615384615387</v>
      </c>
      <c r="I180" s="121">
        <v>151.755</v>
      </c>
      <c r="J180" s="166">
        <v>108.48390624999998</v>
      </c>
      <c r="K180" s="171">
        <v>117.20714285714287</v>
      </c>
    </row>
    <row r="181" spans="1:11">
      <c r="A181" s="26">
        <v>40334</v>
      </c>
      <c r="B181" s="121">
        <v>104.44153846153846</v>
      </c>
      <c r="C181" s="121">
        <v>113.05</v>
      </c>
      <c r="D181" s="121">
        <v>151.69066666666666</v>
      </c>
      <c r="E181" s="166">
        <v>126.80588235294117</v>
      </c>
      <c r="F181" s="122"/>
      <c r="G181" s="121">
        <v>101.37127659574467</v>
      </c>
      <c r="H181" s="121">
        <v>125.53153846153845</v>
      </c>
      <c r="I181" s="121">
        <v>145.73499999999999</v>
      </c>
      <c r="J181" s="166">
        <v>109.05156249999999</v>
      </c>
      <c r="K181" s="171">
        <v>115.21122448979592</v>
      </c>
    </row>
    <row r="182" spans="1:11">
      <c r="A182" s="270" t="s">
        <v>71</v>
      </c>
      <c r="B182" s="165">
        <v>114.34698717948717</v>
      </c>
      <c r="C182" s="165">
        <v>115.42510416666667</v>
      </c>
      <c r="D182" s="165">
        <v>172.00666666666666</v>
      </c>
      <c r="E182" s="164">
        <v>138.6114351851852</v>
      </c>
      <c r="F182" s="122"/>
      <c r="G182" s="165">
        <v>98.36107803159139</v>
      </c>
      <c r="H182" s="165">
        <v>128.32804029304029</v>
      </c>
      <c r="I182" s="165">
        <v>170.03375000000003</v>
      </c>
      <c r="J182" s="164">
        <v>107.12719032086738</v>
      </c>
      <c r="K182" s="165">
        <v>117.62193860897335</v>
      </c>
    </row>
    <row r="184" spans="1:11">
      <c r="A184" s="270" t="s">
        <v>12</v>
      </c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</row>
    <row r="185" spans="1:11">
      <c r="A185" s="26">
        <v>40363</v>
      </c>
      <c r="B185" s="121">
        <v>104.41153846153846</v>
      </c>
      <c r="C185" s="121">
        <v>112.73333333333335</v>
      </c>
      <c r="D185" s="121">
        <v>148.55799999999999</v>
      </c>
      <c r="E185" s="162">
        <v>125.35647058823531</v>
      </c>
      <c r="F185" s="122"/>
      <c r="G185" s="121">
        <v>106.50204081632654</v>
      </c>
      <c r="H185" s="121">
        <v>144.38230769230771</v>
      </c>
      <c r="I185" s="121">
        <v>152.5925</v>
      </c>
      <c r="J185" s="162">
        <v>116.75666666666662</v>
      </c>
      <c r="K185" s="163">
        <v>119.68060000000001</v>
      </c>
    </row>
    <row r="186" spans="1:11">
      <c r="A186" s="26">
        <v>40394</v>
      </c>
      <c r="B186" s="121">
        <v>99.68</v>
      </c>
      <c r="C186" s="121">
        <v>112.94</v>
      </c>
      <c r="D186" s="121">
        <v>142.57</v>
      </c>
      <c r="E186" s="162">
        <v>120.94</v>
      </c>
      <c r="F186" s="122"/>
      <c r="G186" s="121">
        <v>98.69</v>
      </c>
      <c r="H186" s="121">
        <v>123.93</v>
      </c>
      <c r="I186" s="121">
        <v>138.27000000000001</v>
      </c>
      <c r="J186" s="162">
        <v>106.17</v>
      </c>
      <c r="K186" s="163">
        <v>111.24</v>
      </c>
    </row>
    <row r="187" spans="1:11">
      <c r="A187" s="26">
        <v>40425</v>
      </c>
      <c r="B187" s="121">
        <v>94.28</v>
      </c>
      <c r="C187" s="121">
        <v>105.46</v>
      </c>
      <c r="D187" s="121">
        <v>137.38</v>
      </c>
      <c r="E187" s="162">
        <v>115.27</v>
      </c>
      <c r="F187" s="122"/>
      <c r="G187" s="121">
        <v>94.5</v>
      </c>
      <c r="H187" s="121">
        <v>120.12</v>
      </c>
      <c r="I187" s="121">
        <v>151.97999999999999</v>
      </c>
      <c r="J187" s="162">
        <v>103.03</v>
      </c>
      <c r="K187" s="163">
        <v>107.19</v>
      </c>
    </row>
    <row r="188" spans="1:11">
      <c r="A188" s="26">
        <v>40455</v>
      </c>
      <c r="B188" s="121">
        <v>98.59</v>
      </c>
      <c r="C188" s="121">
        <v>108.46</v>
      </c>
      <c r="D188" s="121">
        <v>141.47</v>
      </c>
      <c r="E188" s="162">
        <v>119.25</v>
      </c>
      <c r="F188" s="122"/>
      <c r="G188" s="121">
        <v>88.67</v>
      </c>
      <c r="H188" s="121">
        <v>117.94</v>
      </c>
      <c r="I188" s="121">
        <v>147.59</v>
      </c>
      <c r="J188" s="162">
        <v>97.87</v>
      </c>
      <c r="K188" s="163">
        <v>105.07</v>
      </c>
    </row>
    <row r="189" spans="1:11">
      <c r="A189" s="26">
        <v>40486</v>
      </c>
      <c r="B189" s="121">
        <v>102.58</v>
      </c>
      <c r="C189" s="121">
        <v>108.63</v>
      </c>
      <c r="D189" s="121">
        <v>150.02000000000001</v>
      </c>
      <c r="E189" s="162">
        <v>124.58</v>
      </c>
      <c r="F189" s="122"/>
      <c r="G189" s="121">
        <v>93.78</v>
      </c>
      <c r="H189" s="121">
        <v>120.74</v>
      </c>
      <c r="I189" s="121">
        <v>146.63</v>
      </c>
      <c r="J189" s="162">
        <v>102.43</v>
      </c>
      <c r="K189" s="163">
        <v>110.03</v>
      </c>
    </row>
    <row r="190" spans="1:11">
      <c r="A190" s="26">
        <v>40516</v>
      </c>
      <c r="B190" s="121">
        <v>117.46</v>
      </c>
      <c r="C190" s="121">
        <v>117.69</v>
      </c>
      <c r="D190" s="121">
        <v>182.07</v>
      </c>
      <c r="E190" s="162">
        <v>146</v>
      </c>
      <c r="F190" s="122"/>
      <c r="G190" s="121">
        <v>101.23</v>
      </c>
      <c r="H190" s="121">
        <v>135.91</v>
      </c>
      <c r="I190" s="121">
        <v>201.65</v>
      </c>
      <c r="J190" s="162">
        <v>114.01</v>
      </c>
      <c r="K190" s="163">
        <v>125.11</v>
      </c>
    </row>
    <row r="191" spans="1:11">
      <c r="A191" s="26"/>
      <c r="B191" s="121"/>
      <c r="C191" s="121"/>
      <c r="D191" s="121"/>
      <c r="E191" s="156"/>
      <c r="F191" s="122"/>
      <c r="G191" s="121"/>
      <c r="H191" s="121"/>
      <c r="I191" s="121"/>
      <c r="J191" s="156"/>
      <c r="K191" s="156"/>
    </row>
    <row r="192" spans="1:11">
      <c r="A192" s="270">
        <v>2011</v>
      </c>
      <c r="B192" s="157"/>
      <c r="C192" s="157"/>
      <c r="D192" s="157"/>
      <c r="E192" s="157"/>
      <c r="G192" s="122"/>
      <c r="H192" s="122"/>
      <c r="I192" s="122"/>
      <c r="J192" s="122"/>
      <c r="K192" s="122"/>
    </row>
    <row r="193" spans="1:11">
      <c r="A193" s="26">
        <v>40548</v>
      </c>
      <c r="B193" s="121">
        <v>131.79</v>
      </c>
      <c r="C193" s="121">
        <v>130.63</v>
      </c>
      <c r="D193" s="121">
        <v>197.62</v>
      </c>
      <c r="E193" s="162">
        <v>160.63</v>
      </c>
      <c r="G193" s="121">
        <v>104.25895833333335</v>
      </c>
      <c r="H193" s="121">
        <v>133.14307692307693</v>
      </c>
      <c r="I193" s="121">
        <v>192.42750000000001</v>
      </c>
      <c r="J193" s="162">
        <v>115.46153846153842</v>
      </c>
      <c r="K193" s="163">
        <v>130.9741414141414</v>
      </c>
    </row>
    <row r="194" spans="1:11">
      <c r="A194" s="26">
        <v>40579</v>
      </c>
      <c r="B194" s="121">
        <v>130.62</v>
      </c>
      <c r="C194" s="121">
        <v>135.19</v>
      </c>
      <c r="D194" s="121">
        <v>213.75</v>
      </c>
      <c r="E194" s="162">
        <v>168.1</v>
      </c>
      <c r="G194" s="121">
        <v>101.37979591836736</v>
      </c>
      <c r="H194" s="121">
        <v>137.07384615384615</v>
      </c>
      <c r="I194" s="121">
        <v>203.345</v>
      </c>
      <c r="J194" s="162">
        <v>114.59015151515152</v>
      </c>
      <c r="K194" s="163">
        <v>132.7833</v>
      </c>
    </row>
    <row r="195" spans="1:11">
      <c r="A195" s="26">
        <v>40607</v>
      </c>
      <c r="B195" s="121">
        <v>123.54</v>
      </c>
      <c r="C195" s="121">
        <v>135.69999999999999</v>
      </c>
      <c r="D195" s="121">
        <v>201.85</v>
      </c>
      <c r="E195" s="162">
        <v>158.19999999999999</v>
      </c>
      <c r="G195" s="121">
        <v>101.75265306122448</v>
      </c>
      <c r="H195" s="121">
        <v>132.40307692307692</v>
      </c>
      <c r="I195" s="121">
        <v>195.98750000000001</v>
      </c>
      <c r="J195" s="162">
        <v>113.50106060606063</v>
      </c>
      <c r="K195" s="163">
        <v>129.27578431372552</v>
      </c>
    </row>
    <row r="196" spans="1:11">
      <c r="A196" s="26">
        <v>40638</v>
      </c>
      <c r="B196" s="121">
        <v>116.65133333333334</v>
      </c>
      <c r="C196" s="121">
        <v>128.71666666666667</v>
      </c>
      <c r="D196" s="121">
        <v>183.26999999999998</v>
      </c>
      <c r="E196" s="162">
        <v>146.42000000000002</v>
      </c>
      <c r="G196" s="121">
        <v>103.73520000000002</v>
      </c>
      <c r="H196" s="121">
        <v>133.96076923076919</v>
      </c>
      <c r="I196" s="121">
        <v>191.09</v>
      </c>
      <c r="J196" s="162">
        <v>114.81507462686567</v>
      </c>
      <c r="K196" s="163">
        <v>125.86145631067956</v>
      </c>
    </row>
    <row r="197" spans="1:11">
      <c r="A197" s="26">
        <v>40668</v>
      </c>
      <c r="B197" s="121">
        <v>104.71333333333334</v>
      </c>
      <c r="C197" s="121">
        <v>114.84333333333335</v>
      </c>
      <c r="D197" s="121">
        <v>160.18866666666665</v>
      </c>
      <c r="E197" s="162">
        <v>129.51638888888886</v>
      </c>
      <c r="G197" s="121">
        <v>100.85530612244898</v>
      </c>
      <c r="H197" s="121">
        <v>128.08461538461538</v>
      </c>
      <c r="I197" s="121">
        <v>155.28</v>
      </c>
      <c r="J197" s="162">
        <v>109.51712121212122</v>
      </c>
      <c r="K197" s="163">
        <v>116.57568627450985</v>
      </c>
    </row>
    <row r="198" spans="1:11">
      <c r="A198" s="26">
        <v>40699</v>
      </c>
      <c r="B198" s="121">
        <v>100.52333333333333</v>
      </c>
      <c r="C198" s="121">
        <v>116.43333333333332</v>
      </c>
      <c r="D198" s="121">
        <v>153.0033333333333</v>
      </c>
      <c r="E198" s="162">
        <v>125.04166666666667</v>
      </c>
      <c r="G198" s="121">
        <v>103.14367346938772</v>
      </c>
      <c r="H198" s="121">
        <v>129.98307692307691</v>
      </c>
      <c r="I198" s="121">
        <v>149.82500000000002</v>
      </c>
      <c r="J198" s="162">
        <v>111.25939393939395</v>
      </c>
      <c r="K198" s="163">
        <v>116.12372549019607</v>
      </c>
    </row>
    <row r="199" spans="1:11">
      <c r="A199" s="270" t="s">
        <v>71</v>
      </c>
      <c r="B199" s="160">
        <v>107.22255555555554</v>
      </c>
      <c r="C199" s="160">
        <v>118.95138888888891</v>
      </c>
      <c r="D199" s="160">
        <v>167.64666666666665</v>
      </c>
      <c r="E199" s="164">
        <v>134.35407407407405</v>
      </c>
      <c r="F199" s="122"/>
      <c r="G199" s="160">
        <v>99.906372784448266</v>
      </c>
      <c r="H199" s="160">
        <v>129.6382342657343</v>
      </c>
      <c r="I199" s="160">
        <v>168.88791666666668</v>
      </c>
      <c r="J199" s="164">
        <v>109.36980670995673</v>
      </c>
      <c r="K199" s="165">
        <v>117.85502958833618</v>
      </c>
    </row>
    <row r="201" spans="1:11">
      <c r="A201" s="154" t="s">
        <v>27</v>
      </c>
    </row>
    <row r="202" spans="1:11">
      <c r="A202" s="154" t="s">
        <v>28</v>
      </c>
    </row>
  </sheetData>
  <mergeCells count="9">
    <mergeCell ref="A152:B152"/>
    <mergeCell ref="A136:B136"/>
    <mergeCell ref="A1:K1"/>
    <mergeCell ref="A2:K2"/>
    <mergeCell ref="A3:K3"/>
    <mergeCell ref="A104:B104"/>
    <mergeCell ref="A120:B120"/>
    <mergeCell ref="B5:E5"/>
    <mergeCell ref="G5:J5"/>
  </mergeCells>
  <phoneticPr fontId="35" type="noConversion"/>
  <pageMargins left="0.7" right="0.7" top="0.75" bottom="0.75" header="0.3" footer="0.3"/>
  <pageSetup scale="83" orientation="portrait" r:id="rId1"/>
  <rowBreaks count="2" manualBreakCount="2">
    <brk id="54" max="10" man="1"/>
    <brk id="10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60BB-67D8-4F6C-A7AC-3E6D1C6B8899}">
  <sheetPr>
    <tabColor rgb="FFC00000"/>
  </sheetPr>
  <dimension ref="A1:M269"/>
  <sheetViews>
    <sheetView showGridLines="0" workbookViewId="0">
      <pane ySplit="1" topLeftCell="A5" activePane="bottomLeft" state="frozen"/>
      <selection pane="bottomLeft" activeCell="H45" sqref="H45"/>
    </sheetView>
  </sheetViews>
  <sheetFormatPr defaultRowHeight="14.25"/>
  <cols>
    <col min="1" max="1" width="45.28515625" style="1" customWidth="1"/>
    <col min="2" max="4" width="9.42578125" style="16" customWidth="1"/>
    <col min="5" max="10" width="9.140625" style="17"/>
    <col min="11" max="11" width="9.140625" style="21"/>
    <col min="12" max="16384" width="9.140625" style="3"/>
  </cols>
  <sheetData>
    <row r="1" spans="1:13" s="9" customFormat="1" ht="14.25" customHeight="1">
      <c r="A1" s="286" t="s">
        <v>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 s="13" customFormat="1" ht="14.25" customHeight="1">
      <c r="A2" s="288" t="s">
        <v>62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s="13" customFormat="1" ht="14.25" customHeight="1">
      <c r="A3" s="288" t="s">
        <v>81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2.75">
      <c r="A4" s="32"/>
      <c r="B4" s="80"/>
      <c r="C4" s="80"/>
      <c r="D4" s="80"/>
      <c r="E4" s="32"/>
      <c r="F4" s="32"/>
      <c r="G4" s="32"/>
      <c r="H4" s="32"/>
      <c r="I4" s="32"/>
      <c r="J4" s="32"/>
    </row>
    <row r="5" spans="1:13" ht="12.75">
      <c r="A5" s="315"/>
      <c r="B5" s="161" t="s">
        <v>50</v>
      </c>
      <c r="C5" s="161" t="s">
        <v>2</v>
      </c>
      <c r="D5" s="161" t="s">
        <v>3</v>
      </c>
      <c r="E5" s="161" t="s">
        <v>4</v>
      </c>
      <c r="F5" s="161" t="s">
        <v>5</v>
      </c>
      <c r="G5" s="161" t="s">
        <v>51</v>
      </c>
      <c r="H5" s="161" t="s">
        <v>7</v>
      </c>
      <c r="I5" s="161" t="s">
        <v>8</v>
      </c>
      <c r="J5" s="161" t="s">
        <v>9</v>
      </c>
      <c r="K5" s="161" t="s">
        <v>82</v>
      </c>
      <c r="L5" s="161" t="s">
        <v>83</v>
      </c>
      <c r="M5" s="161" t="s">
        <v>84</v>
      </c>
    </row>
    <row r="6" spans="1:13" ht="12.75">
      <c r="A6" s="33" t="s">
        <v>85</v>
      </c>
      <c r="B6" s="22"/>
      <c r="C6" s="22"/>
      <c r="D6" s="22"/>
      <c r="E6" s="310"/>
      <c r="F6" s="310"/>
      <c r="G6" s="310"/>
      <c r="H6" s="310"/>
      <c r="I6" s="32"/>
      <c r="J6" s="32"/>
    </row>
    <row r="7" spans="1:13" ht="12.75">
      <c r="A7" s="242" t="s">
        <v>86</v>
      </c>
      <c r="B7" s="245">
        <f>SUM(B8:B55)</f>
        <v>5701</v>
      </c>
      <c r="C7" s="245">
        <f t="shared" ref="C7:M7" si="0">SUM(C8:C55)</f>
        <v>5766</v>
      </c>
      <c r="D7" s="245">
        <f t="shared" si="0"/>
        <v>5769</v>
      </c>
      <c r="E7" s="245">
        <f t="shared" si="0"/>
        <v>6000</v>
      </c>
      <c r="F7" s="245">
        <f t="shared" si="0"/>
        <v>5984</v>
      </c>
      <c r="G7" s="245">
        <f t="shared" si="0"/>
        <v>6283</v>
      </c>
      <c r="H7" s="245">
        <f t="shared" si="0"/>
        <v>6294</v>
      </c>
      <c r="I7" s="245">
        <f t="shared" si="0"/>
        <v>6314</v>
      </c>
      <c r="J7" s="245">
        <f t="shared" si="0"/>
        <v>6367</v>
      </c>
      <c r="K7" s="245">
        <f t="shared" si="0"/>
        <v>6443</v>
      </c>
      <c r="L7" s="245">
        <f t="shared" si="0"/>
        <v>6795</v>
      </c>
      <c r="M7" s="245">
        <f t="shared" si="0"/>
        <v>6926</v>
      </c>
    </row>
    <row r="8" spans="1:13" ht="12.75">
      <c r="A8" s="115" t="s">
        <v>87</v>
      </c>
      <c r="B8" s="118"/>
      <c r="C8" s="118"/>
      <c r="D8" s="118"/>
      <c r="E8" s="118"/>
      <c r="F8" s="118"/>
      <c r="G8" s="118"/>
      <c r="H8" s="118"/>
      <c r="I8" s="118"/>
      <c r="J8" s="118"/>
      <c r="K8" s="244"/>
      <c r="L8" s="244"/>
      <c r="M8" s="244">
        <v>18</v>
      </c>
    </row>
    <row r="9" spans="1:13" s="117" customFormat="1" ht="12.75">
      <c r="A9" s="115" t="s">
        <v>88</v>
      </c>
      <c r="B9" s="116">
        <v>38</v>
      </c>
      <c r="C9" s="116">
        <v>38</v>
      </c>
      <c r="D9" s="116">
        <v>38</v>
      </c>
      <c r="E9" s="116">
        <v>38</v>
      </c>
      <c r="F9" s="116">
        <v>38</v>
      </c>
      <c r="G9" s="116">
        <v>38</v>
      </c>
      <c r="H9" s="116">
        <v>38</v>
      </c>
      <c r="I9" s="116">
        <v>38</v>
      </c>
      <c r="J9" s="116">
        <v>36</v>
      </c>
      <c r="K9" s="21" t="s">
        <v>89</v>
      </c>
      <c r="L9" s="21" t="s">
        <v>89</v>
      </c>
      <c r="M9" s="21" t="s">
        <v>89</v>
      </c>
    </row>
    <row r="10" spans="1:13" ht="12.75">
      <c r="A10" s="115" t="s">
        <v>90</v>
      </c>
      <c r="B10" s="116">
        <v>57</v>
      </c>
      <c r="C10" s="116">
        <v>57</v>
      </c>
      <c r="D10" s="116">
        <v>57</v>
      </c>
      <c r="E10" s="116" t="s">
        <v>89</v>
      </c>
      <c r="F10" s="116" t="s">
        <v>89</v>
      </c>
      <c r="G10" s="116">
        <v>125</v>
      </c>
      <c r="H10" s="116">
        <v>125</v>
      </c>
      <c r="I10" s="116">
        <v>125</v>
      </c>
      <c r="J10" s="116">
        <v>125</v>
      </c>
      <c r="K10" s="21">
        <v>125</v>
      </c>
      <c r="L10" s="21">
        <v>125</v>
      </c>
      <c r="M10" s="21">
        <v>125</v>
      </c>
    </row>
    <row r="11" spans="1:13" ht="12.75">
      <c r="A11" s="115" t="s">
        <v>91</v>
      </c>
      <c r="B11" s="116">
        <v>29</v>
      </c>
      <c r="C11" s="116">
        <v>29</v>
      </c>
      <c r="D11" s="116">
        <v>29</v>
      </c>
      <c r="E11" s="116">
        <v>29</v>
      </c>
      <c r="F11" s="116">
        <v>29</v>
      </c>
      <c r="G11" s="81" t="s">
        <v>89</v>
      </c>
      <c r="H11" s="81" t="s">
        <v>89</v>
      </c>
      <c r="I11" s="81" t="s">
        <v>89</v>
      </c>
      <c r="J11" s="81" t="s">
        <v>89</v>
      </c>
      <c r="K11" s="21" t="s">
        <v>89</v>
      </c>
      <c r="L11" s="21" t="s">
        <v>89</v>
      </c>
      <c r="M11" s="21" t="s">
        <v>89</v>
      </c>
    </row>
    <row r="12" spans="1:13" ht="12.75">
      <c r="A12" s="115" t="s">
        <v>92</v>
      </c>
      <c r="B12" s="116">
        <v>644</v>
      </c>
      <c r="C12" s="116">
        <v>644</v>
      </c>
      <c r="D12" s="116">
        <v>644</v>
      </c>
      <c r="E12" s="116">
        <v>646</v>
      </c>
      <c r="F12" s="116">
        <v>646</v>
      </c>
      <c r="G12" s="116">
        <v>646</v>
      </c>
      <c r="H12" s="116">
        <v>646</v>
      </c>
      <c r="I12" s="116">
        <v>646</v>
      </c>
      <c r="J12" s="116">
        <v>645</v>
      </c>
      <c r="K12" s="21">
        <v>645</v>
      </c>
      <c r="L12" s="21">
        <v>645</v>
      </c>
      <c r="M12" s="21">
        <v>645</v>
      </c>
    </row>
    <row r="13" spans="1:13" ht="12.75">
      <c r="A13" s="115" t="s">
        <v>93</v>
      </c>
      <c r="B13" s="116">
        <v>22</v>
      </c>
      <c r="C13" s="116">
        <v>21</v>
      </c>
      <c r="D13" s="116" t="s">
        <v>89</v>
      </c>
      <c r="E13" s="116">
        <v>21</v>
      </c>
      <c r="F13" s="116">
        <v>21</v>
      </c>
      <c r="G13" s="116" t="s">
        <v>89</v>
      </c>
      <c r="H13" s="116" t="s">
        <v>89</v>
      </c>
      <c r="I13" s="116" t="s">
        <v>89</v>
      </c>
      <c r="J13" s="116" t="s">
        <v>89</v>
      </c>
      <c r="K13" s="21" t="s">
        <v>89</v>
      </c>
      <c r="L13" s="21" t="s">
        <v>89</v>
      </c>
      <c r="M13" s="21" t="s">
        <v>89</v>
      </c>
    </row>
    <row r="14" spans="1:13" ht="12.75">
      <c r="A14" s="115" t="s">
        <v>94</v>
      </c>
      <c r="B14" s="116"/>
      <c r="C14" s="116">
        <v>29</v>
      </c>
      <c r="D14" s="116">
        <v>29</v>
      </c>
      <c r="E14" s="116">
        <v>29</v>
      </c>
      <c r="F14" s="116">
        <v>29</v>
      </c>
      <c r="G14" s="116">
        <v>29</v>
      </c>
      <c r="H14" s="116">
        <v>29</v>
      </c>
      <c r="I14" s="116">
        <v>29</v>
      </c>
      <c r="J14" s="116">
        <v>30</v>
      </c>
      <c r="K14" s="21">
        <v>30</v>
      </c>
      <c r="L14" s="21" t="s">
        <v>89</v>
      </c>
      <c r="M14" s="21" t="s">
        <v>89</v>
      </c>
    </row>
    <row r="15" spans="1:13" ht="12.75">
      <c r="A15" s="115" t="s">
        <v>95</v>
      </c>
      <c r="B15" s="116">
        <v>44</v>
      </c>
      <c r="C15" s="116">
        <v>50</v>
      </c>
      <c r="D15" s="116">
        <v>50</v>
      </c>
      <c r="E15" s="116">
        <v>50</v>
      </c>
      <c r="F15" s="116">
        <v>50</v>
      </c>
      <c r="G15" s="116">
        <v>50</v>
      </c>
      <c r="H15" s="116">
        <v>50</v>
      </c>
      <c r="I15" s="116">
        <v>50</v>
      </c>
      <c r="J15" s="116">
        <v>56</v>
      </c>
      <c r="K15" s="21">
        <v>56</v>
      </c>
      <c r="L15" s="21">
        <v>56</v>
      </c>
      <c r="M15" s="21">
        <v>56</v>
      </c>
    </row>
    <row r="16" spans="1:13" ht="12.75">
      <c r="A16" s="115" t="s">
        <v>96</v>
      </c>
      <c r="B16" s="116">
        <v>570</v>
      </c>
      <c r="C16" s="116">
        <v>570</v>
      </c>
      <c r="D16" s="116">
        <v>570</v>
      </c>
      <c r="E16" s="116">
        <v>570</v>
      </c>
      <c r="F16" s="116">
        <v>537</v>
      </c>
      <c r="G16" s="116">
        <v>537</v>
      </c>
      <c r="H16" s="116">
        <v>537</v>
      </c>
      <c r="I16" s="116">
        <v>537</v>
      </c>
      <c r="J16" s="116">
        <v>570</v>
      </c>
      <c r="K16" s="21">
        <v>570</v>
      </c>
      <c r="L16" s="21">
        <v>570</v>
      </c>
      <c r="M16" s="21">
        <v>570</v>
      </c>
    </row>
    <row r="17" spans="1:13" ht="12.75">
      <c r="A17" s="115" t="s">
        <v>97</v>
      </c>
      <c r="B17" s="116">
        <v>59</v>
      </c>
      <c r="C17" s="116">
        <v>62</v>
      </c>
      <c r="D17" s="116">
        <v>62</v>
      </c>
      <c r="E17" s="116">
        <v>63</v>
      </c>
      <c r="F17" s="116">
        <v>63</v>
      </c>
      <c r="G17" s="116">
        <v>63</v>
      </c>
      <c r="H17" s="116">
        <v>63</v>
      </c>
      <c r="I17" s="116">
        <v>63</v>
      </c>
      <c r="J17" s="116">
        <v>68</v>
      </c>
      <c r="K17" s="21">
        <v>68</v>
      </c>
      <c r="L17" s="21">
        <v>68</v>
      </c>
      <c r="M17" s="21">
        <v>68</v>
      </c>
    </row>
    <row r="18" spans="1:13" ht="12.75">
      <c r="A18" s="115" t="s">
        <v>98</v>
      </c>
      <c r="B18" s="118"/>
      <c r="C18" s="118"/>
      <c r="D18" s="118">
        <v>25</v>
      </c>
      <c r="E18" s="118">
        <v>25</v>
      </c>
      <c r="F18" s="118">
        <v>26</v>
      </c>
      <c r="G18" s="118">
        <v>26</v>
      </c>
      <c r="H18" s="118">
        <v>26</v>
      </c>
      <c r="I18" s="118">
        <v>26</v>
      </c>
      <c r="J18" s="118">
        <v>26</v>
      </c>
      <c r="K18" s="244">
        <v>26</v>
      </c>
      <c r="L18" s="244">
        <v>26</v>
      </c>
      <c r="M18" s="244">
        <v>26</v>
      </c>
    </row>
    <row r="19" spans="1:13" ht="12.75">
      <c r="A19" s="115" t="s">
        <v>99</v>
      </c>
      <c r="B19" s="116">
        <v>140</v>
      </c>
      <c r="C19" s="116">
        <v>140</v>
      </c>
      <c r="D19" s="116">
        <v>140</v>
      </c>
      <c r="E19" s="116">
        <v>140</v>
      </c>
      <c r="F19" s="116">
        <v>140</v>
      </c>
      <c r="G19" s="116">
        <v>140</v>
      </c>
      <c r="H19" s="116">
        <v>136</v>
      </c>
      <c r="I19" s="116">
        <v>136</v>
      </c>
      <c r="J19" s="116">
        <v>136</v>
      </c>
      <c r="K19" s="21">
        <v>136</v>
      </c>
      <c r="L19" s="21">
        <v>136</v>
      </c>
      <c r="M19" s="21">
        <v>136</v>
      </c>
    </row>
    <row r="20" spans="1:13" ht="12.75">
      <c r="A20" s="115" t="s">
        <v>100</v>
      </c>
      <c r="B20" s="116"/>
      <c r="C20" s="116"/>
      <c r="D20" s="116"/>
      <c r="E20" s="116">
        <v>260</v>
      </c>
      <c r="F20" s="116">
        <v>260</v>
      </c>
      <c r="G20" s="116">
        <v>260</v>
      </c>
      <c r="H20" s="116">
        <v>260</v>
      </c>
      <c r="I20" s="116">
        <v>260</v>
      </c>
      <c r="J20" s="116">
        <v>260</v>
      </c>
      <c r="K20" s="21">
        <v>260</v>
      </c>
      <c r="L20" s="21">
        <v>260</v>
      </c>
      <c r="M20" s="21">
        <v>260</v>
      </c>
    </row>
    <row r="21" spans="1:13" ht="12.75">
      <c r="A21" s="115" t="s">
        <v>101</v>
      </c>
      <c r="B21" s="116"/>
      <c r="C21" s="116"/>
      <c r="D21" s="116"/>
      <c r="E21" s="116"/>
      <c r="F21" s="116"/>
      <c r="G21" s="116"/>
      <c r="H21" s="116"/>
      <c r="I21" s="116"/>
      <c r="J21" s="116">
        <v>27</v>
      </c>
      <c r="K21" s="21">
        <v>27</v>
      </c>
      <c r="L21" s="21">
        <v>27</v>
      </c>
      <c r="M21" s="21">
        <v>27</v>
      </c>
    </row>
    <row r="22" spans="1:13" ht="12.75">
      <c r="A22" s="115" t="s">
        <v>102</v>
      </c>
      <c r="B22" s="116">
        <v>144</v>
      </c>
      <c r="C22" s="116">
        <v>144</v>
      </c>
      <c r="D22" s="116">
        <v>144</v>
      </c>
      <c r="E22" s="116">
        <v>144</v>
      </c>
      <c r="F22" s="116">
        <v>144</v>
      </c>
      <c r="G22" s="116">
        <v>144</v>
      </c>
      <c r="H22" s="116">
        <v>144</v>
      </c>
      <c r="I22" s="116">
        <v>144</v>
      </c>
      <c r="J22" s="116">
        <v>137</v>
      </c>
      <c r="K22" s="21" t="s">
        <v>89</v>
      </c>
      <c r="L22" s="21" t="s">
        <v>89</v>
      </c>
      <c r="M22" s="21" t="s">
        <v>89</v>
      </c>
    </row>
    <row r="23" spans="1:13" ht="12.75">
      <c r="A23" s="115" t="s">
        <v>103</v>
      </c>
      <c r="B23" s="116">
        <v>184</v>
      </c>
      <c r="C23" s="116">
        <v>184</v>
      </c>
      <c r="D23" s="116">
        <v>184</v>
      </c>
      <c r="E23" s="116">
        <v>184</v>
      </c>
      <c r="F23" s="116">
        <v>184</v>
      </c>
      <c r="G23" s="116">
        <v>184</v>
      </c>
      <c r="H23" s="116">
        <v>184</v>
      </c>
      <c r="I23" s="116">
        <v>184</v>
      </c>
      <c r="J23" s="116">
        <v>184</v>
      </c>
      <c r="K23" s="21">
        <v>184</v>
      </c>
      <c r="L23" s="21">
        <v>184</v>
      </c>
      <c r="M23" s="21">
        <v>184</v>
      </c>
    </row>
    <row r="24" spans="1:13" ht="12.75">
      <c r="A24" s="115" t="s">
        <v>104</v>
      </c>
      <c r="B24" s="116">
        <v>40</v>
      </c>
      <c r="C24" s="116">
        <v>44</v>
      </c>
      <c r="D24" s="116">
        <v>44</v>
      </c>
      <c r="E24" s="116">
        <v>44</v>
      </c>
      <c r="F24" s="116">
        <v>44</v>
      </c>
      <c r="G24" s="116">
        <v>44</v>
      </c>
      <c r="H24" s="116">
        <v>44</v>
      </c>
      <c r="I24" s="116">
        <v>44</v>
      </c>
      <c r="J24" s="116">
        <v>44</v>
      </c>
      <c r="K24" s="21">
        <v>44</v>
      </c>
      <c r="L24" s="21">
        <v>44</v>
      </c>
      <c r="M24" s="21">
        <v>44</v>
      </c>
    </row>
    <row r="25" spans="1:13" ht="12.75">
      <c r="A25" s="115" t="s">
        <v>105</v>
      </c>
      <c r="B25" s="116">
        <v>386</v>
      </c>
      <c r="C25" s="116">
        <v>386</v>
      </c>
      <c r="D25" s="116">
        <v>386</v>
      </c>
      <c r="E25" s="116">
        <v>386</v>
      </c>
      <c r="F25" s="116">
        <v>365</v>
      </c>
      <c r="G25" s="116">
        <v>365</v>
      </c>
      <c r="H25" s="116">
        <v>365</v>
      </c>
      <c r="I25" s="116">
        <v>365</v>
      </c>
      <c r="J25" s="116">
        <v>386</v>
      </c>
      <c r="K25" s="21">
        <v>386</v>
      </c>
      <c r="L25" s="21">
        <v>386</v>
      </c>
      <c r="M25" s="21">
        <v>386</v>
      </c>
    </row>
    <row r="26" spans="1:13" ht="12.75">
      <c r="A26" s="115" t="s">
        <v>106</v>
      </c>
      <c r="B26" s="116">
        <v>306</v>
      </c>
      <c r="C26" s="116">
        <v>306</v>
      </c>
      <c r="D26" s="116">
        <v>306</v>
      </c>
      <c r="E26" s="116">
        <v>307</v>
      </c>
      <c r="F26" s="116">
        <v>299</v>
      </c>
      <c r="G26" s="116">
        <v>299</v>
      </c>
      <c r="H26" s="116">
        <v>299</v>
      </c>
      <c r="I26" s="116">
        <v>299</v>
      </c>
      <c r="J26" s="116">
        <v>299</v>
      </c>
      <c r="K26" s="21">
        <v>299</v>
      </c>
      <c r="L26" s="21">
        <v>310</v>
      </c>
      <c r="M26" s="21">
        <v>310</v>
      </c>
    </row>
    <row r="27" spans="1:13" ht="12.75">
      <c r="A27" s="115" t="s">
        <v>107</v>
      </c>
      <c r="B27" s="116">
        <v>30</v>
      </c>
      <c r="C27" s="116">
        <v>30</v>
      </c>
      <c r="D27" s="116">
        <v>30</v>
      </c>
      <c r="E27" s="116">
        <v>30</v>
      </c>
      <c r="F27" s="116" t="s">
        <v>89</v>
      </c>
      <c r="G27" s="116" t="s">
        <v>89</v>
      </c>
      <c r="H27" s="116" t="s">
        <v>89</v>
      </c>
      <c r="I27" s="116" t="s">
        <v>89</v>
      </c>
      <c r="J27" s="116" t="s">
        <v>89</v>
      </c>
      <c r="K27" s="21" t="s">
        <v>89</v>
      </c>
      <c r="L27" s="21" t="s">
        <v>89</v>
      </c>
      <c r="M27" s="21" t="s">
        <v>89</v>
      </c>
    </row>
    <row r="28" spans="1:13" ht="12.75">
      <c r="A28" s="115" t="s">
        <v>108</v>
      </c>
      <c r="B28" s="116"/>
      <c r="C28" s="116"/>
      <c r="D28" s="116"/>
      <c r="E28" s="316"/>
      <c r="F28" s="316"/>
      <c r="G28" s="116">
        <v>126</v>
      </c>
      <c r="H28" s="116">
        <v>126</v>
      </c>
      <c r="I28" s="116">
        <v>126</v>
      </c>
      <c r="J28" s="116">
        <v>126</v>
      </c>
      <c r="K28" s="21">
        <v>126</v>
      </c>
      <c r="L28" s="21">
        <v>126</v>
      </c>
      <c r="M28" s="21">
        <v>126</v>
      </c>
    </row>
    <row r="29" spans="1:13" ht="12.75">
      <c r="A29" s="115" t="s">
        <v>109</v>
      </c>
      <c r="B29" s="116">
        <v>200</v>
      </c>
      <c r="C29" s="116">
        <v>200</v>
      </c>
      <c r="D29" s="116">
        <v>200</v>
      </c>
      <c r="E29" s="116">
        <v>200</v>
      </c>
      <c r="F29" s="116">
        <v>200</v>
      </c>
      <c r="G29" s="116">
        <v>200</v>
      </c>
      <c r="H29" s="116">
        <v>200</v>
      </c>
      <c r="I29" s="116">
        <v>200</v>
      </c>
      <c r="J29" s="116">
        <v>201</v>
      </c>
      <c r="K29" s="21">
        <v>201</v>
      </c>
      <c r="L29" s="21">
        <v>201</v>
      </c>
      <c r="M29" s="21">
        <v>201</v>
      </c>
    </row>
    <row r="30" spans="1:13" ht="12.75">
      <c r="A30" s="115" t="s">
        <v>110</v>
      </c>
      <c r="B30" s="116">
        <v>113</v>
      </c>
      <c r="C30" s="116">
        <v>113</v>
      </c>
      <c r="D30" s="116">
        <v>113</v>
      </c>
      <c r="E30" s="116">
        <v>117</v>
      </c>
      <c r="F30" s="116">
        <v>115</v>
      </c>
      <c r="G30" s="116">
        <v>115</v>
      </c>
      <c r="H30" s="116">
        <v>115</v>
      </c>
      <c r="I30" s="116">
        <v>115</v>
      </c>
      <c r="J30" s="116">
        <v>115</v>
      </c>
      <c r="K30" s="21">
        <v>115</v>
      </c>
      <c r="L30" s="21">
        <v>115</v>
      </c>
      <c r="M30" s="21">
        <v>115</v>
      </c>
    </row>
    <row r="31" spans="1:13" ht="12.75">
      <c r="A31" s="115" t="s">
        <v>111</v>
      </c>
      <c r="B31" s="116">
        <v>29</v>
      </c>
      <c r="C31" s="116">
        <v>29</v>
      </c>
      <c r="D31" s="116">
        <v>29</v>
      </c>
      <c r="E31" s="116">
        <v>29</v>
      </c>
      <c r="F31" s="116">
        <v>29</v>
      </c>
      <c r="G31" s="116">
        <v>29</v>
      </c>
      <c r="H31" s="116">
        <v>29</v>
      </c>
      <c r="I31" s="116">
        <v>29</v>
      </c>
      <c r="J31" s="116" t="s">
        <v>89</v>
      </c>
      <c r="K31" s="21" t="s">
        <v>89</v>
      </c>
      <c r="L31" s="21" t="s">
        <v>89</v>
      </c>
      <c r="M31" s="21" t="s">
        <v>89</v>
      </c>
    </row>
    <row r="32" spans="1:13" ht="12.75">
      <c r="A32" s="115" t="s">
        <v>112</v>
      </c>
      <c r="B32" s="116">
        <v>59</v>
      </c>
      <c r="C32" s="116">
        <v>59</v>
      </c>
      <c r="D32" s="116">
        <v>59</v>
      </c>
      <c r="E32" s="116">
        <v>58</v>
      </c>
      <c r="F32" s="116">
        <v>68</v>
      </c>
      <c r="G32" s="116">
        <v>68</v>
      </c>
      <c r="H32" s="116">
        <v>68</v>
      </c>
      <c r="I32" s="116">
        <v>68</v>
      </c>
      <c r="J32" s="116">
        <v>71</v>
      </c>
      <c r="K32" s="21">
        <v>71</v>
      </c>
      <c r="L32" s="21">
        <v>71</v>
      </c>
      <c r="M32" s="21">
        <v>71</v>
      </c>
    </row>
    <row r="33" spans="1:13" ht="12.75">
      <c r="A33" s="115" t="s">
        <v>113</v>
      </c>
      <c r="B33" s="116"/>
      <c r="C33" s="116"/>
      <c r="D33" s="116"/>
      <c r="E33" s="316"/>
      <c r="F33" s="116">
        <v>51</v>
      </c>
      <c r="G33" s="116">
        <v>51</v>
      </c>
      <c r="H33" s="116">
        <v>51</v>
      </c>
      <c r="I33" s="116">
        <v>51</v>
      </c>
      <c r="J33" s="116">
        <v>51</v>
      </c>
      <c r="K33" s="21">
        <v>51</v>
      </c>
      <c r="L33" s="21">
        <v>51</v>
      </c>
      <c r="M33" s="21">
        <v>51</v>
      </c>
    </row>
    <row r="34" spans="1:13" ht="12.75">
      <c r="A34" s="115" t="s">
        <v>114</v>
      </c>
      <c r="B34" s="116">
        <v>30</v>
      </c>
      <c r="C34" s="116">
        <v>30</v>
      </c>
      <c r="D34" s="116">
        <v>30</v>
      </c>
      <c r="E34" s="116">
        <v>30</v>
      </c>
      <c r="F34" s="116">
        <v>28</v>
      </c>
      <c r="G34" s="116">
        <v>28</v>
      </c>
      <c r="H34" s="116">
        <v>28</v>
      </c>
      <c r="I34" s="116">
        <v>25</v>
      </c>
      <c r="J34" s="116">
        <v>25</v>
      </c>
      <c r="K34" s="21">
        <v>25</v>
      </c>
      <c r="L34" s="21">
        <v>25</v>
      </c>
      <c r="M34" s="21">
        <v>25</v>
      </c>
    </row>
    <row r="35" spans="1:13" ht="12.75">
      <c r="A35" s="115" t="s">
        <v>115</v>
      </c>
      <c r="B35" s="116">
        <v>30</v>
      </c>
      <c r="C35" s="116">
        <v>30</v>
      </c>
      <c r="D35" s="116">
        <v>30</v>
      </c>
      <c r="E35" s="116">
        <v>30</v>
      </c>
      <c r="F35" s="116">
        <v>30</v>
      </c>
      <c r="G35" s="116">
        <v>30</v>
      </c>
      <c r="H35" s="116">
        <v>30</v>
      </c>
      <c r="I35" s="116">
        <v>30</v>
      </c>
      <c r="J35" s="116">
        <v>30</v>
      </c>
      <c r="K35" s="21">
        <v>30</v>
      </c>
      <c r="L35" s="21">
        <v>30</v>
      </c>
      <c r="M35" s="21">
        <v>30</v>
      </c>
    </row>
    <row r="36" spans="1:13" ht="12.75">
      <c r="A36" s="115" t="s">
        <v>116</v>
      </c>
      <c r="B36" s="116">
        <v>48</v>
      </c>
      <c r="C36" s="116">
        <v>48</v>
      </c>
      <c r="D36" s="116">
        <v>48</v>
      </c>
      <c r="E36" s="116">
        <v>48</v>
      </c>
      <c r="F36" s="116">
        <v>50</v>
      </c>
      <c r="G36" s="116">
        <v>50</v>
      </c>
      <c r="H36" s="116">
        <v>50</v>
      </c>
      <c r="I36" s="116">
        <v>50</v>
      </c>
      <c r="J36" s="116">
        <v>50</v>
      </c>
      <c r="K36" s="21">
        <v>50</v>
      </c>
      <c r="L36" s="21">
        <v>50</v>
      </c>
      <c r="M36" s="21">
        <v>50</v>
      </c>
    </row>
    <row r="37" spans="1:13" ht="12.75">
      <c r="A37" s="115" t="s">
        <v>117</v>
      </c>
      <c r="B37" s="116">
        <v>45</v>
      </c>
      <c r="C37" s="116">
        <v>45</v>
      </c>
      <c r="D37" s="116">
        <v>45</v>
      </c>
      <c r="E37" s="116">
        <v>45</v>
      </c>
      <c r="F37" s="116">
        <v>45</v>
      </c>
      <c r="G37" s="116">
        <v>45</v>
      </c>
      <c r="H37" s="116">
        <v>45</v>
      </c>
      <c r="I37" s="116">
        <v>45</v>
      </c>
      <c r="J37" s="116">
        <v>42</v>
      </c>
      <c r="K37" s="21">
        <v>42</v>
      </c>
      <c r="L37" s="21">
        <v>42</v>
      </c>
      <c r="M37" s="21">
        <v>42</v>
      </c>
    </row>
    <row r="38" spans="1:13" ht="12.75">
      <c r="A38" s="115" t="s">
        <v>118</v>
      </c>
      <c r="B38" s="116">
        <v>90</v>
      </c>
      <c r="C38" s="116">
        <v>115</v>
      </c>
      <c r="D38" s="116">
        <v>115</v>
      </c>
      <c r="E38" s="116">
        <v>115</v>
      </c>
      <c r="F38" s="116">
        <v>115</v>
      </c>
      <c r="G38" s="116">
        <v>115</v>
      </c>
      <c r="H38" s="116">
        <v>115</v>
      </c>
      <c r="I38" s="116">
        <v>115</v>
      </c>
      <c r="J38" s="116">
        <v>115</v>
      </c>
      <c r="K38" s="21">
        <v>115</v>
      </c>
      <c r="L38" s="21">
        <v>115</v>
      </c>
      <c r="M38" s="21">
        <v>115</v>
      </c>
    </row>
    <row r="39" spans="1:13" ht="12.75">
      <c r="A39" s="115" t="s">
        <v>119</v>
      </c>
      <c r="B39" s="116">
        <v>400</v>
      </c>
      <c r="C39" s="116">
        <v>400</v>
      </c>
      <c r="D39" s="116">
        <v>400</v>
      </c>
      <c r="E39" s="116">
        <v>400</v>
      </c>
      <c r="F39" s="116">
        <v>400</v>
      </c>
      <c r="G39" s="116">
        <v>400</v>
      </c>
      <c r="H39" s="116">
        <v>400</v>
      </c>
      <c r="I39" s="116">
        <v>400</v>
      </c>
      <c r="J39" s="116">
        <v>400</v>
      </c>
      <c r="K39" s="21">
        <v>400</v>
      </c>
      <c r="L39" s="21">
        <v>400</v>
      </c>
      <c r="M39" s="21">
        <v>400</v>
      </c>
    </row>
    <row r="40" spans="1:13" ht="12.75">
      <c r="A40" s="115" t="s">
        <v>120</v>
      </c>
      <c r="B40" s="116"/>
      <c r="C40" s="116"/>
      <c r="D40" s="116"/>
      <c r="E40" s="116"/>
      <c r="F40" s="116"/>
      <c r="G40" s="116"/>
      <c r="H40" s="116"/>
      <c r="I40" s="116"/>
      <c r="J40" s="116"/>
      <c r="K40" s="21">
        <v>248</v>
      </c>
      <c r="L40" s="21">
        <v>370</v>
      </c>
      <c r="M40" s="21">
        <v>483</v>
      </c>
    </row>
    <row r="41" spans="1:13" ht="12.75">
      <c r="A41" s="115" t="s">
        <v>121</v>
      </c>
      <c r="B41" s="116">
        <v>15</v>
      </c>
      <c r="C41" s="116">
        <v>15</v>
      </c>
      <c r="D41" s="116">
        <v>15</v>
      </c>
      <c r="E41" s="116">
        <v>15</v>
      </c>
      <c r="F41" s="116">
        <v>15</v>
      </c>
      <c r="G41" s="116">
        <v>15</v>
      </c>
      <c r="H41" s="116">
        <v>15</v>
      </c>
      <c r="I41" s="81" t="s">
        <v>89</v>
      </c>
      <c r="J41" s="81" t="s">
        <v>89</v>
      </c>
      <c r="K41" s="21" t="s">
        <v>89</v>
      </c>
      <c r="L41" s="21">
        <v>15</v>
      </c>
      <c r="M41" s="21">
        <v>15</v>
      </c>
    </row>
    <row r="42" spans="1:13" ht="12.75">
      <c r="A42" s="115" t="s">
        <v>122</v>
      </c>
      <c r="B42" s="116">
        <v>177</v>
      </c>
      <c r="C42" s="116">
        <v>177</v>
      </c>
      <c r="D42" s="116">
        <v>176</v>
      </c>
      <c r="E42" s="116">
        <v>176</v>
      </c>
      <c r="F42" s="116">
        <v>175</v>
      </c>
      <c r="G42" s="116">
        <v>175</v>
      </c>
      <c r="H42" s="116">
        <v>175</v>
      </c>
      <c r="I42" s="116">
        <v>175</v>
      </c>
      <c r="J42" s="116">
        <v>173</v>
      </c>
      <c r="K42" s="21">
        <v>173</v>
      </c>
      <c r="L42" s="21" t="s">
        <v>89</v>
      </c>
      <c r="M42" s="21" t="s">
        <v>89</v>
      </c>
    </row>
    <row r="43" spans="1:13" ht="12.75">
      <c r="A43" s="115" t="s">
        <v>123</v>
      </c>
      <c r="B43" s="116">
        <v>48</v>
      </c>
      <c r="C43" s="116">
        <v>48</v>
      </c>
      <c r="D43" s="116">
        <v>48</v>
      </c>
      <c r="E43" s="116">
        <v>48</v>
      </c>
      <c r="F43" s="116">
        <v>47</v>
      </c>
      <c r="G43" s="116">
        <v>47</v>
      </c>
      <c r="H43" s="116">
        <v>47</v>
      </c>
      <c r="I43" s="116">
        <v>47</v>
      </c>
      <c r="J43" s="116">
        <v>47</v>
      </c>
      <c r="K43" s="21">
        <v>47</v>
      </c>
      <c r="L43" s="21">
        <v>47</v>
      </c>
      <c r="M43" s="21">
        <v>47</v>
      </c>
    </row>
    <row r="44" spans="1:13" ht="12.75">
      <c r="A44" s="115" t="s">
        <v>124</v>
      </c>
      <c r="B44" s="116">
        <v>233</v>
      </c>
      <c r="C44" s="116">
        <v>233</v>
      </c>
      <c r="D44" s="116">
        <v>233</v>
      </c>
      <c r="E44" s="116">
        <v>233</v>
      </c>
      <c r="F44" s="116">
        <v>233</v>
      </c>
      <c r="G44" s="116">
        <v>233</v>
      </c>
      <c r="H44" s="116">
        <v>233</v>
      </c>
      <c r="I44" s="116">
        <v>233</v>
      </c>
      <c r="J44" s="116">
        <v>233</v>
      </c>
      <c r="K44" s="21">
        <v>233</v>
      </c>
      <c r="L44" s="21">
        <v>233</v>
      </c>
      <c r="M44" s="21">
        <v>233</v>
      </c>
    </row>
    <row r="45" spans="1:13" ht="12.75">
      <c r="A45" s="115" t="s">
        <v>125</v>
      </c>
      <c r="B45" s="116">
        <v>127</v>
      </c>
      <c r="C45" s="116">
        <v>127</v>
      </c>
      <c r="D45" s="116">
        <v>127</v>
      </c>
      <c r="E45" s="116">
        <v>127</v>
      </c>
      <c r="F45" s="116">
        <v>126</v>
      </c>
      <c r="G45" s="116" t="s">
        <v>89</v>
      </c>
      <c r="H45" s="116" t="s">
        <v>89</v>
      </c>
      <c r="I45" s="81" t="s">
        <v>89</v>
      </c>
      <c r="J45" s="81" t="s">
        <v>89</v>
      </c>
      <c r="K45" s="21" t="s">
        <v>89</v>
      </c>
      <c r="L45" s="21" t="s">
        <v>89</v>
      </c>
      <c r="M45" s="21" t="s">
        <v>89</v>
      </c>
    </row>
    <row r="46" spans="1:13" ht="12.75">
      <c r="A46" s="115" t="s">
        <v>126</v>
      </c>
      <c r="B46" s="116">
        <v>96</v>
      </c>
      <c r="C46" s="116">
        <v>95</v>
      </c>
      <c r="D46" s="116">
        <v>95</v>
      </c>
      <c r="E46" s="116">
        <v>95</v>
      </c>
      <c r="F46" s="116">
        <v>95</v>
      </c>
      <c r="G46" s="116">
        <v>95</v>
      </c>
      <c r="H46" s="116">
        <v>95</v>
      </c>
      <c r="I46" s="116">
        <v>95</v>
      </c>
      <c r="J46" s="116">
        <v>95</v>
      </c>
      <c r="K46" s="21">
        <v>96</v>
      </c>
      <c r="L46" s="21" t="s">
        <v>89</v>
      </c>
      <c r="M46" s="21" t="s">
        <v>89</v>
      </c>
    </row>
    <row r="47" spans="1:13" ht="12.75">
      <c r="A47" s="115" t="s">
        <v>127</v>
      </c>
      <c r="B47" s="116">
        <v>525</v>
      </c>
      <c r="C47" s="116">
        <v>525</v>
      </c>
      <c r="D47" s="116">
        <v>525</v>
      </c>
      <c r="E47" s="116">
        <v>525</v>
      </c>
      <c r="F47" s="116">
        <v>525</v>
      </c>
      <c r="G47" s="116">
        <v>525</v>
      </c>
      <c r="H47" s="116">
        <v>525</v>
      </c>
      <c r="I47" s="116">
        <v>525</v>
      </c>
      <c r="J47" s="116">
        <v>525</v>
      </c>
      <c r="K47" s="21">
        <v>525</v>
      </c>
      <c r="L47" s="21">
        <v>525</v>
      </c>
      <c r="M47" s="21">
        <v>525</v>
      </c>
    </row>
    <row r="48" spans="1:13" ht="12.75">
      <c r="A48" s="115" t="s">
        <v>128</v>
      </c>
      <c r="B48" s="116"/>
      <c r="C48" s="116"/>
      <c r="D48" s="116"/>
      <c r="E48" s="316"/>
      <c r="F48" s="316"/>
      <c r="G48" s="316"/>
      <c r="H48" s="116">
        <v>15</v>
      </c>
      <c r="I48" s="116">
        <v>15</v>
      </c>
      <c r="J48" s="116">
        <v>15</v>
      </c>
      <c r="K48" s="21">
        <v>15</v>
      </c>
      <c r="L48" s="21">
        <v>15</v>
      </c>
      <c r="M48" s="21">
        <v>15</v>
      </c>
    </row>
    <row r="49" spans="1:13" ht="12.75">
      <c r="A49" s="115" t="s">
        <v>129</v>
      </c>
      <c r="B49" s="116">
        <v>84</v>
      </c>
      <c r="C49" s="116">
        <v>84</v>
      </c>
      <c r="D49" s="116">
        <v>84</v>
      </c>
      <c r="E49" s="116">
        <v>84</v>
      </c>
      <c r="F49" s="116">
        <v>84</v>
      </c>
      <c r="G49" s="116">
        <v>84</v>
      </c>
      <c r="H49" s="116">
        <v>84</v>
      </c>
      <c r="I49" s="116">
        <v>78</v>
      </c>
      <c r="J49" s="116">
        <v>78</v>
      </c>
      <c r="K49" s="21">
        <v>78</v>
      </c>
      <c r="L49" s="21">
        <v>78</v>
      </c>
      <c r="M49" s="21">
        <v>78</v>
      </c>
    </row>
    <row r="50" spans="1:13" ht="12.75">
      <c r="A50" s="115" t="s">
        <v>130</v>
      </c>
      <c r="B50" s="116"/>
      <c r="C50" s="116"/>
      <c r="D50" s="116"/>
      <c r="E50" s="316"/>
      <c r="F50" s="316"/>
      <c r="G50" s="316"/>
      <c r="H50" s="116"/>
      <c r="I50" s="116">
        <v>44</v>
      </c>
      <c r="J50" s="116">
        <v>44</v>
      </c>
      <c r="K50" s="21">
        <v>44</v>
      </c>
      <c r="L50" s="21">
        <v>44</v>
      </c>
      <c r="M50" s="21">
        <v>44</v>
      </c>
    </row>
    <row r="51" spans="1:13" ht="12.75">
      <c r="A51" s="115" t="s">
        <v>131</v>
      </c>
      <c r="B51" s="116">
        <v>240</v>
      </c>
      <c r="C51" s="116">
        <v>240</v>
      </c>
      <c r="D51" s="116">
        <v>240</v>
      </c>
      <c r="E51" s="116">
        <v>240</v>
      </c>
      <c r="F51" s="116">
        <v>240</v>
      </c>
      <c r="G51" s="116">
        <v>240</v>
      </c>
      <c r="H51" s="116">
        <v>240</v>
      </c>
      <c r="I51" s="116">
        <v>240</v>
      </c>
      <c r="J51" s="116">
        <v>240</v>
      </c>
      <c r="K51" s="21">
        <v>240</v>
      </c>
      <c r="L51" s="21">
        <v>240</v>
      </c>
      <c r="M51" s="21">
        <v>240</v>
      </c>
    </row>
    <row r="52" spans="1:13" ht="12.75">
      <c r="A52" s="115" t="s">
        <v>132</v>
      </c>
      <c r="B52" s="116"/>
      <c r="C52" s="116"/>
      <c r="D52" s="116"/>
      <c r="E52" s="116"/>
      <c r="F52" s="116"/>
      <c r="G52" s="116"/>
      <c r="H52" s="116"/>
      <c r="I52" s="116"/>
      <c r="J52" s="116"/>
      <c r="L52" s="21">
        <v>503</v>
      </c>
      <c r="M52" s="21">
        <v>503</v>
      </c>
    </row>
    <row r="53" spans="1:13" ht="12.75">
      <c r="A53" s="115" t="s">
        <v>133</v>
      </c>
      <c r="B53" s="116">
        <v>419</v>
      </c>
      <c r="C53" s="116">
        <v>419</v>
      </c>
      <c r="D53" s="116">
        <v>419</v>
      </c>
      <c r="E53" s="116">
        <v>419</v>
      </c>
      <c r="F53" s="116">
        <v>414</v>
      </c>
      <c r="G53" s="116">
        <v>416</v>
      </c>
      <c r="H53" s="116">
        <v>416</v>
      </c>
      <c r="I53" s="116">
        <v>416</v>
      </c>
      <c r="J53" s="116">
        <v>416</v>
      </c>
      <c r="K53" s="21">
        <v>416</v>
      </c>
      <c r="L53" s="21">
        <v>416</v>
      </c>
      <c r="M53" s="21">
        <v>416</v>
      </c>
    </row>
    <row r="54" spans="1:13" ht="12.75">
      <c r="A54" s="115" t="s">
        <v>134</v>
      </c>
      <c r="B54" s="116"/>
      <c r="C54" s="116"/>
      <c r="D54" s="116"/>
      <c r="E54" s="116" t="s">
        <v>135</v>
      </c>
      <c r="F54" s="116" t="s">
        <v>135</v>
      </c>
      <c r="G54" s="116">
        <v>222</v>
      </c>
      <c r="H54" s="116">
        <v>222</v>
      </c>
      <c r="I54" s="116">
        <v>222</v>
      </c>
      <c r="J54" s="116">
        <v>222</v>
      </c>
      <c r="K54" s="21">
        <v>222</v>
      </c>
      <c r="L54" s="21">
        <v>222</v>
      </c>
      <c r="M54" s="21">
        <v>222</v>
      </c>
    </row>
    <row r="55" spans="1:13" s="117" customFormat="1" ht="12.75">
      <c r="A55" s="115" t="s">
        <v>136</v>
      </c>
      <c r="B55" s="116"/>
      <c r="C55" s="116"/>
      <c r="D55" s="116"/>
      <c r="E55" s="316"/>
      <c r="F55" s="116">
        <v>24</v>
      </c>
      <c r="G55" s="116">
        <v>24</v>
      </c>
      <c r="H55" s="116">
        <v>24</v>
      </c>
      <c r="I55" s="116">
        <v>24</v>
      </c>
      <c r="J55" s="116">
        <v>24</v>
      </c>
      <c r="K55" s="21">
        <v>24</v>
      </c>
      <c r="L55" s="21">
        <v>24</v>
      </c>
      <c r="M55" s="21">
        <v>24</v>
      </c>
    </row>
    <row r="56" spans="1:13" s="117" customFormat="1" ht="12.75">
      <c r="A56" s="115"/>
      <c r="B56" s="118"/>
      <c r="C56" s="118"/>
      <c r="D56" s="118"/>
      <c r="E56" s="118"/>
      <c r="F56" s="118"/>
      <c r="G56" s="118"/>
      <c r="H56" s="118"/>
      <c r="I56" s="118"/>
      <c r="J56" s="118"/>
      <c r="K56" s="244"/>
      <c r="L56" s="244"/>
      <c r="M56" s="244"/>
    </row>
    <row r="57" spans="1:13" ht="12.75">
      <c r="A57" s="242" t="s">
        <v>137</v>
      </c>
      <c r="B57" s="243">
        <f>SUM(B58:B79)</f>
        <v>243</v>
      </c>
      <c r="C57" s="243">
        <f t="shared" ref="C57:M57" si="1">SUM(C58:C79)</f>
        <v>218</v>
      </c>
      <c r="D57" s="243">
        <f t="shared" si="1"/>
        <v>231</v>
      </c>
      <c r="E57" s="243">
        <f t="shared" si="1"/>
        <v>238</v>
      </c>
      <c r="F57" s="243">
        <f t="shared" si="1"/>
        <v>239</v>
      </c>
      <c r="G57" s="243">
        <f t="shared" si="1"/>
        <v>239</v>
      </c>
      <c r="H57" s="243">
        <f t="shared" si="1"/>
        <v>217</v>
      </c>
      <c r="I57" s="243">
        <f t="shared" si="1"/>
        <v>220</v>
      </c>
      <c r="J57" s="243">
        <f t="shared" si="1"/>
        <v>220</v>
      </c>
      <c r="K57" s="243">
        <f t="shared" si="1"/>
        <v>210</v>
      </c>
      <c r="L57" s="243">
        <f t="shared" si="1"/>
        <v>188</v>
      </c>
      <c r="M57" s="243">
        <f t="shared" si="1"/>
        <v>179</v>
      </c>
    </row>
    <row r="58" spans="1:13" ht="12.75">
      <c r="A58" s="115" t="s">
        <v>138</v>
      </c>
      <c r="B58" s="116">
        <v>19</v>
      </c>
      <c r="C58" s="116">
        <v>19</v>
      </c>
      <c r="D58" s="116">
        <v>19</v>
      </c>
      <c r="E58" s="116">
        <v>15</v>
      </c>
      <c r="F58" s="116">
        <v>15</v>
      </c>
      <c r="G58" s="116">
        <v>15</v>
      </c>
      <c r="H58" s="116">
        <v>15</v>
      </c>
      <c r="I58" s="116">
        <v>15</v>
      </c>
      <c r="J58" s="116">
        <v>21</v>
      </c>
      <c r="K58" s="21">
        <v>21</v>
      </c>
      <c r="L58" s="21">
        <v>21</v>
      </c>
      <c r="M58" s="21">
        <v>21</v>
      </c>
    </row>
    <row r="59" spans="1:13" ht="12.75">
      <c r="A59" s="115" t="s">
        <v>139</v>
      </c>
      <c r="B59" s="116">
        <v>9</v>
      </c>
      <c r="C59" s="116">
        <v>9</v>
      </c>
      <c r="D59" s="116">
        <v>9</v>
      </c>
      <c r="E59" s="116">
        <v>9</v>
      </c>
      <c r="F59" s="116">
        <v>9</v>
      </c>
      <c r="G59" s="116">
        <v>9</v>
      </c>
      <c r="H59" s="116">
        <v>9</v>
      </c>
      <c r="I59" s="116">
        <v>9</v>
      </c>
      <c r="J59" s="116">
        <v>9</v>
      </c>
      <c r="K59" s="21">
        <v>9</v>
      </c>
      <c r="L59" s="21">
        <v>9</v>
      </c>
      <c r="M59" s="21">
        <v>9</v>
      </c>
    </row>
    <row r="60" spans="1:13" ht="12.75">
      <c r="A60" s="115" t="s">
        <v>87</v>
      </c>
      <c r="B60" s="118">
        <v>15</v>
      </c>
      <c r="C60" s="118">
        <v>18</v>
      </c>
      <c r="D60" s="118">
        <v>18</v>
      </c>
      <c r="E60" s="118">
        <v>18</v>
      </c>
      <c r="F60" s="118">
        <v>22</v>
      </c>
      <c r="G60" s="118">
        <v>22</v>
      </c>
      <c r="H60" s="118">
        <v>22</v>
      </c>
      <c r="I60" s="118">
        <v>22</v>
      </c>
      <c r="J60" s="118">
        <v>18</v>
      </c>
      <c r="K60" s="244">
        <v>18</v>
      </c>
      <c r="L60" s="244">
        <v>18</v>
      </c>
      <c r="M60" s="244" t="s">
        <v>89</v>
      </c>
    </row>
    <row r="61" spans="1:13" ht="12.75">
      <c r="A61" s="115" t="s">
        <v>140</v>
      </c>
      <c r="B61" s="116">
        <v>15</v>
      </c>
      <c r="C61" s="21" t="s">
        <v>89</v>
      </c>
      <c r="D61" s="21" t="s">
        <v>89</v>
      </c>
      <c r="E61" s="21" t="s">
        <v>89</v>
      </c>
      <c r="F61" s="21" t="s">
        <v>89</v>
      </c>
      <c r="G61" s="21" t="s">
        <v>89</v>
      </c>
      <c r="H61" s="21" t="s">
        <v>89</v>
      </c>
      <c r="I61" s="21" t="s">
        <v>89</v>
      </c>
      <c r="J61" s="21" t="s">
        <v>89</v>
      </c>
      <c r="K61" s="21" t="s">
        <v>89</v>
      </c>
      <c r="L61" s="21" t="s">
        <v>89</v>
      </c>
      <c r="M61" s="21" t="s">
        <v>89</v>
      </c>
    </row>
    <row r="62" spans="1:13" ht="12.75">
      <c r="A62" s="115" t="s">
        <v>141</v>
      </c>
      <c r="B62" s="116">
        <v>12</v>
      </c>
      <c r="C62" s="116">
        <v>12</v>
      </c>
      <c r="D62" s="116">
        <v>12</v>
      </c>
      <c r="E62" s="116">
        <v>12</v>
      </c>
      <c r="F62" s="116">
        <v>12</v>
      </c>
      <c r="G62" s="116">
        <v>12</v>
      </c>
      <c r="H62" s="116">
        <v>12</v>
      </c>
      <c r="I62" s="116">
        <v>12</v>
      </c>
      <c r="J62" s="116">
        <v>12</v>
      </c>
      <c r="K62" s="21">
        <v>12</v>
      </c>
      <c r="L62" s="21">
        <v>12</v>
      </c>
      <c r="M62" s="21">
        <v>12</v>
      </c>
    </row>
    <row r="63" spans="1:13" ht="12.75">
      <c r="A63" s="115" t="s">
        <v>142</v>
      </c>
      <c r="B63" s="116">
        <v>7</v>
      </c>
      <c r="C63" s="116">
        <v>7</v>
      </c>
      <c r="D63" s="116">
        <v>7</v>
      </c>
      <c r="E63" s="116">
        <v>10</v>
      </c>
      <c r="F63" s="116">
        <v>10</v>
      </c>
      <c r="G63" s="116">
        <v>10</v>
      </c>
      <c r="H63" s="116">
        <v>10</v>
      </c>
      <c r="I63" s="116">
        <v>10</v>
      </c>
      <c r="J63" s="116">
        <v>13</v>
      </c>
      <c r="K63" s="21">
        <v>13</v>
      </c>
      <c r="L63" s="21" t="s">
        <v>89</v>
      </c>
      <c r="M63" s="21" t="s">
        <v>89</v>
      </c>
    </row>
    <row r="64" spans="1:13" ht="12.75">
      <c r="A64" s="115" t="s">
        <v>143</v>
      </c>
      <c r="B64" s="116">
        <v>19</v>
      </c>
      <c r="C64" s="116" t="s">
        <v>89</v>
      </c>
      <c r="D64" s="116" t="s">
        <v>89</v>
      </c>
      <c r="E64" s="116" t="s">
        <v>89</v>
      </c>
      <c r="F64" s="116" t="s">
        <v>89</v>
      </c>
      <c r="G64" s="116" t="s">
        <v>89</v>
      </c>
      <c r="H64" s="116" t="s">
        <v>89</v>
      </c>
      <c r="I64" s="116" t="s">
        <v>89</v>
      </c>
      <c r="J64" s="116" t="s">
        <v>89</v>
      </c>
      <c r="K64" s="116" t="s">
        <v>89</v>
      </c>
      <c r="L64" s="116" t="s">
        <v>89</v>
      </c>
      <c r="M64" s="116" t="s">
        <v>89</v>
      </c>
    </row>
    <row r="65" spans="1:13" ht="12.75">
      <c r="A65" s="115" t="s">
        <v>144</v>
      </c>
      <c r="B65" s="116"/>
      <c r="C65" s="116"/>
      <c r="D65" s="116"/>
      <c r="E65" s="116"/>
      <c r="F65" s="116"/>
      <c r="G65" s="116"/>
      <c r="H65" s="116"/>
      <c r="I65" s="116">
        <v>12</v>
      </c>
      <c r="J65" s="116">
        <v>12</v>
      </c>
      <c r="K65" s="21">
        <v>12</v>
      </c>
      <c r="L65" s="21">
        <v>12</v>
      </c>
      <c r="M65" s="21">
        <v>12</v>
      </c>
    </row>
    <row r="66" spans="1:13" s="117" customFormat="1" ht="12.75">
      <c r="A66" s="115" t="s">
        <v>145</v>
      </c>
      <c r="B66" s="118">
        <v>25</v>
      </c>
      <c r="C66" s="118">
        <v>25</v>
      </c>
      <c r="D66" s="118">
        <v>25</v>
      </c>
      <c r="E66" s="118">
        <v>25</v>
      </c>
      <c r="F66" s="118">
        <v>25</v>
      </c>
      <c r="G66" s="118">
        <v>25</v>
      </c>
      <c r="H66" s="118">
        <v>25</v>
      </c>
      <c r="I66" s="118">
        <v>25</v>
      </c>
      <c r="J66" s="118">
        <v>25</v>
      </c>
      <c r="K66" s="244">
        <v>25</v>
      </c>
      <c r="L66" s="244">
        <v>25</v>
      </c>
      <c r="M66" s="244" t="s">
        <v>89</v>
      </c>
    </row>
    <row r="67" spans="1:13" ht="12.75">
      <c r="A67" s="115" t="s">
        <v>146</v>
      </c>
      <c r="B67" s="116">
        <v>25</v>
      </c>
      <c r="C67" s="116">
        <v>25</v>
      </c>
      <c r="D67" s="116">
        <v>25</v>
      </c>
      <c r="E67" s="116">
        <v>25</v>
      </c>
      <c r="F67" s="116">
        <v>25</v>
      </c>
      <c r="G67" s="116">
        <v>25</v>
      </c>
      <c r="H67" s="116">
        <v>25</v>
      </c>
      <c r="I67" s="116">
        <v>25</v>
      </c>
      <c r="J67" s="116">
        <v>25</v>
      </c>
      <c r="K67" s="21">
        <v>25</v>
      </c>
      <c r="L67" s="21" t="s">
        <v>89</v>
      </c>
      <c r="M67" s="21">
        <v>25</v>
      </c>
    </row>
    <row r="68" spans="1:13" s="117" customFormat="1" ht="12.75">
      <c r="A68" s="115" t="s">
        <v>147</v>
      </c>
      <c r="B68" s="118">
        <v>15</v>
      </c>
      <c r="C68" s="118">
        <v>15</v>
      </c>
      <c r="D68" s="118">
        <v>15</v>
      </c>
      <c r="E68" s="118">
        <v>15</v>
      </c>
      <c r="F68" s="118">
        <v>15</v>
      </c>
      <c r="G68" s="118">
        <v>15</v>
      </c>
      <c r="H68" s="118">
        <v>15</v>
      </c>
      <c r="I68" s="118">
        <v>15</v>
      </c>
      <c r="J68" s="118">
        <v>14</v>
      </c>
      <c r="K68" s="244">
        <v>14</v>
      </c>
      <c r="L68" s="244">
        <v>14</v>
      </c>
      <c r="M68" s="244" t="s">
        <v>89</v>
      </c>
    </row>
    <row r="69" spans="1:13" ht="12.75">
      <c r="A69" s="115" t="s">
        <v>148</v>
      </c>
      <c r="B69" s="116">
        <v>13</v>
      </c>
      <c r="C69" s="116">
        <v>20</v>
      </c>
      <c r="D69" s="116">
        <v>20</v>
      </c>
      <c r="E69" s="116">
        <v>20</v>
      </c>
      <c r="F69" s="116">
        <v>20</v>
      </c>
      <c r="G69" s="116">
        <v>20</v>
      </c>
      <c r="H69" s="116">
        <v>20</v>
      </c>
      <c r="I69" s="116">
        <v>20</v>
      </c>
      <c r="J69" s="116">
        <v>21</v>
      </c>
      <c r="K69" s="21" t="s">
        <v>89</v>
      </c>
      <c r="L69" s="21" t="s">
        <v>89</v>
      </c>
      <c r="M69" s="21" t="s">
        <v>89</v>
      </c>
    </row>
    <row r="70" spans="1:13" ht="12.75">
      <c r="A70" s="115" t="s">
        <v>149</v>
      </c>
      <c r="B70" s="116">
        <v>17</v>
      </c>
      <c r="C70" s="116">
        <v>17</v>
      </c>
      <c r="D70" s="116">
        <v>17</v>
      </c>
      <c r="E70" s="116">
        <v>17</v>
      </c>
      <c r="F70" s="116">
        <v>17</v>
      </c>
      <c r="G70" s="116">
        <v>17</v>
      </c>
      <c r="H70" s="116">
        <v>17</v>
      </c>
      <c r="I70" s="116">
        <v>17</v>
      </c>
      <c r="J70" s="116">
        <v>17</v>
      </c>
      <c r="K70" s="21">
        <v>13</v>
      </c>
      <c r="L70" s="21" t="s">
        <v>89</v>
      </c>
      <c r="M70" s="21" t="s">
        <v>89</v>
      </c>
    </row>
    <row r="71" spans="1:13" ht="12.75">
      <c r="A71" s="115" t="s">
        <v>150</v>
      </c>
      <c r="B71" s="116">
        <v>8</v>
      </c>
      <c r="C71" s="116">
        <v>8</v>
      </c>
      <c r="D71" s="116">
        <v>8</v>
      </c>
      <c r="E71" s="116">
        <v>9</v>
      </c>
      <c r="F71" s="116">
        <v>9</v>
      </c>
      <c r="G71" s="116">
        <v>9</v>
      </c>
      <c r="H71" s="116">
        <v>9</v>
      </c>
      <c r="I71" s="116">
        <v>8</v>
      </c>
      <c r="J71" s="116">
        <v>8</v>
      </c>
      <c r="K71" s="21">
        <v>8</v>
      </c>
      <c r="L71" s="21">
        <v>8</v>
      </c>
      <c r="M71" s="21">
        <v>19</v>
      </c>
    </row>
    <row r="72" spans="1:13" ht="12.75">
      <c r="A72" s="115" t="s">
        <v>151</v>
      </c>
      <c r="B72" s="116"/>
      <c r="C72" s="116"/>
      <c r="D72" s="116"/>
      <c r="E72" s="316"/>
      <c r="F72" s="116">
        <v>10</v>
      </c>
      <c r="G72" s="116">
        <v>10</v>
      </c>
      <c r="H72" s="116">
        <v>10</v>
      </c>
      <c r="I72" s="116">
        <v>10</v>
      </c>
      <c r="J72" s="116" t="s">
        <v>89</v>
      </c>
      <c r="K72" s="116" t="s">
        <v>89</v>
      </c>
      <c r="L72" s="116" t="s">
        <v>89</v>
      </c>
      <c r="M72" s="116" t="s">
        <v>89</v>
      </c>
    </row>
    <row r="73" spans="1:13" ht="12.75">
      <c r="A73" s="115" t="s">
        <v>152</v>
      </c>
      <c r="B73" s="116">
        <v>12</v>
      </c>
      <c r="C73" s="116">
        <v>11</v>
      </c>
      <c r="D73" s="116">
        <v>11</v>
      </c>
      <c r="E73" s="116">
        <v>11</v>
      </c>
      <c r="F73" s="116">
        <v>11</v>
      </c>
      <c r="G73" s="116">
        <v>11</v>
      </c>
      <c r="H73" s="116">
        <v>11</v>
      </c>
      <c r="I73" s="116">
        <v>11</v>
      </c>
      <c r="J73" s="116">
        <v>7</v>
      </c>
      <c r="K73" s="21">
        <v>7</v>
      </c>
      <c r="L73" s="21">
        <v>11</v>
      </c>
      <c r="M73" s="21">
        <v>11</v>
      </c>
    </row>
    <row r="74" spans="1:13" ht="12.75">
      <c r="A74" s="115" t="s">
        <v>153</v>
      </c>
      <c r="B74" s="116">
        <v>22</v>
      </c>
      <c r="C74" s="116">
        <v>22</v>
      </c>
      <c r="D74" s="116">
        <v>22</v>
      </c>
      <c r="E74" s="116">
        <v>23</v>
      </c>
      <c r="F74" s="116">
        <v>22</v>
      </c>
      <c r="G74" s="116">
        <v>22</v>
      </c>
      <c r="H74" s="116" t="s">
        <v>89</v>
      </c>
      <c r="I74" s="116" t="s">
        <v>89</v>
      </c>
      <c r="J74" s="116" t="s">
        <v>89</v>
      </c>
      <c r="K74" s="116" t="s">
        <v>89</v>
      </c>
      <c r="L74" s="116" t="s">
        <v>89</v>
      </c>
      <c r="M74" s="116" t="s">
        <v>89</v>
      </c>
    </row>
    <row r="75" spans="1:13" ht="12.75">
      <c r="A75" s="115" t="s">
        <v>154</v>
      </c>
      <c r="B75" s="116"/>
      <c r="C75" s="116"/>
      <c r="D75" s="116"/>
      <c r="E75" s="116"/>
      <c r="F75" s="116"/>
      <c r="G75" s="116"/>
      <c r="H75" s="116"/>
      <c r="I75" s="81"/>
      <c r="J75" s="81"/>
      <c r="L75" s="21">
        <v>25</v>
      </c>
      <c r="M75" s="21">
        <v>25</v>
      </c>
    </row>
    <row r="76" spans="1:13" ht="12.75">
      <c r="A76" s="115" t="s">
        <v>155</v>
      </c>
      <c r="B76" s="116"/>
      <c r="C76" s="116"/>
      <c r="D76" s="116"/>
      <c r="E76" s="116"/>
      <c r="F76" s="116"/>
      <c r="G76" s="116"/>
      <c r="H76" s="116"/>
      <c r="I76" s="81"/>
      <c r="J76" s="81"/>
      <c r="K76" s="21">
        <v>15</v>
      </c>
      <c r="L76" s="21">
        <v>15</v>
      </c>
      <c r="M76" s="21">
        <v>15</v>
      </c>
    </row>
    <row r="77" spans="1:13" ht="12.75">
      <c r="A77" s="115" t="s">
        <v>156</v>
      </c>
      <c r="B77" s="116">
        <v>10</v>
      </c>
      <c r="C77" s="116">
        <v>10</v>
      </c>
      <c r="D77" s="116">
        <v>10</v>
      </c>
      <c r="E77" s="116">
        <v>9</v>
      </c>
      <c r="F77" s="116">
        <v>9</v>
      </c>
      <c r="G77" s="116">
        <v>9</v>
      </c>
      <c r="H77" s="116">
        <v>9</v>
      </c>
      <c r="I77" s="116">
        <v>9</v>
      </c>
      <c r="J77" s="116">
        <v>18</v>
      </c>
      <c r="K77" s="21">
        <v>18</v>
      </c>
      <c r="L77" s="21">
        <v>18</v>
      </c>
      <c r="M77" s="21">
        <v>18</v>
      </c>
    </row>
    <row r="78" spans="1:13" ht="12.75">
      <c r="A78" s="115" t="s">
        <v>157</v>
      </c>
      <c r="B78" s="116"/>
      <c r="C78" s="116"/>
      <c r="D78" s="116">
        <v>13</v>
      </c>
      <c r="E78" s="116">
        <v>20</v>
      </c>
      <c r="F78" s="116">
        <v>8</v>
      </c>
      <c r="G78" s="116">
        <v>8</v>
      </c>
      <c r="H78" s="116">
        <v>8</v>
      </c>
      <c r="I78" s="81" t="s">
        <v>89</v>
      </c>
      <c r="J78" s="81" t="s">
        <v>89</v>
      </c>
      <c r="K78" s="81" t="s">
        <v>89</v>
      </c>
      <c r="L78" s="81" t="s">
        <v>89</v>
      </c>
      <c r="M78" s="81" t="s">
        <v>89</v>
      </c>
    </row>
    <row r="79" spans="1:13" ht="12.75">
      <c r="A79" s="115" t="s">
        <v>158</v>
      </c>
      <c r="B79" s="116"/>
      <c r="C79" s="116"/>
      <c r="D79" s="116"/>
      <c r="E79" s="116"/>
      <c r="F79" s="116"/>
      <c r="G79" s="116"/>
      <c r="H79" s="116"/>
      <c r="I79" s="81"/>
      <c r="J79" s="81"/>
      <c r="K79" s="81"/>
      <c r="L79" s="81"/>
      <c r="M79" s="81">
        <v>12</v>
      </c>
    </row>
    <row r="80" spans="1:13" ht="12.75">
      <c r="A80" s="317"/>
      <c r="B80" s="312"/>
      <c r="C80" s="312"/>
      <c r="D80" s="312"/>
      <c r="E80" s="312"/>
      <c r="F80" s="312"/>
      <c r="G80" s="312"/>
      <c r="H80" s="312" t="s">
        <v>135</v>
      </c>
      <c r="I80" s="32"/>
      <c r="J80" s="32"/>
    </row>
    <row r="81" spans="1:13" ht="12.75">
      <c r="A81" s="240" t="s">
        <v>159</v>
      </c>
      <c r="B81" s="241">
        <v>325</v>
      </c>
      <c r="C81" s="241">
        <v>325</v>
      </c>
      <c r="D81" s="241">
        <v>325</v>
      </c>
      <c r="E81" s="241">
        <v>325</v>
      </c>
      <c r="F81" s="241">
        <v>325</v>
      </c>
      <c r="G81" s="241">
        <v>325</v>
      </c>
      <c r="H81" s="241">
        <f t="shared" ref="H81:M81" si="2">SUM(H82:H83)</f>
        <v>451</v>
      </c>
      <c r="I81" s="241">
        <f t="shared" si="2"/>
        <v>451</v>
      </c>
      <c r="J81" s="241">
        <f t="shared" si="2"/>
        <v>451</v>
      </c>
      <c r="K81" s="241">
        <f t="shared" si="2"/>
        <v>451</v>
      </c>
      <c r="L81" s="241">
        <f t="shared" si="2"/>
        <v>451</v>
      </c>
      <c r="M81" s="241">
        <f t="shared" si="2"/>
        <v>547</v>
      </c>
    </row>
    <row r="82" spans="1:13" ht="12.75">
      <c r="A82" s="115" t="s">
        <v>160</v>
      </c>
      <c r="B82" s="116"/>
      <c r="C82" s="116"/>
      <c r="D82" s="116"/>
      <c r="E82" s="82"/>
      <c r="F82" s="82"/>
      <c r="G82" s="82" t="s">
        <v>135</v>
      </c>
      <c r="H82" s="116">
        <v>168</v>
      </c>
      <c r="I82" s="81">
        <v>168</v>
      </c>
      <c r="J82" s="81">
        <v>168</v>
      </c>
      <c r="K82" s="21">
        <v>168</v>
      </c>
      <c r="L82" s="21">
        <v>168</v>
      </c>
      <c r="M82" s="21">
        <v>264</v>
      </c>
    </row>
    <row r="83" spans="1:13" ht="12.75">
      <c r="A83" s="115" t="s">
        <v>161</v>
      </c>
      <c r="B83" s="21">
        <v>283</v>
      </c>
      <c r="C83" s="21">
        <v>283</v>
      </c>
      <c r="D83" s="21">
        <v>283</v>
      </c>
      <c r="E83" s="21">
        <v>283</v>
      </c>
      <c r="F83" s="21">
        <v>283</v>
      </c>
      <c r="G83" s="21">
        <v>283</v>
      </c>
      <c r="H83" s="21">
        <v>283</v>
      </c>
      <c r="I83" s="21">
        <v>283</v>
      </c>
      <c r="J83" s="21">
        <v>283</v>
      </c>
      <c r="K83" s="21">
        <v>283</v>
      </c>
      <c r="L83" s="21">
        <v>283</v>
      </c>
      <c r="M83" s="21">
        <v>283</v>
      </c>
    </row>
    <row r="84" spans="1:13" ht="12.75">
      <c r="A84" s="83"/>
      <c r="B84" s="82"/>
      <c r="C84" s="82"/>
      <c r="D84" s="82"/>
      <c r="E84" s="116"/>
      <c r="F84" s="116"/>
      <c r="G84" s="116"/>
      <c r="H84" s="116"/>
      <c r="I84" s="84"/>
      <c r="J84" s="84"/>
    </row>
    <row r="85" spans="1:13" ht="12.75">
      <c r="A85" s="240" t="s">
        <v>162</v>
      </c>
      <c r="B85" s="241">
        <v>7</v>
      </c>
      <c r="C85" s="241">
        <v>7</v>
      </c>
      <c r="D85" s="241">
        <v>7</v>
      </c>
      <c r="E85" s="241">
        <v>7</v>
      </c>
      <c r="F85" s="241">
        <v>7</v>
      </c>
      <c r="G85" s="241">
        <v>7</v>
      </c>
      <c r="H85" s="241">
        <v>7</v>
      </c>
      <c r="I85" s="241">
        <v>7</v>
      </c>
      <c r="J85" s="241">
        <v>7</v>
      </c>
      <c r="K85" s="241">
        <v>7</v>
      </c>
      <c r="L85" s="241">
        <v>0</v>
      </c>
      <c r="M85" s="241">
        <v>0</v>
      </c>
    </row>
    <row r="86" spans="1:13" ht="12.75">
      <c r="A86" s="115" t="s">
        <v>163</v>
      </c>
      <c r="B86" s="116">
        <v>7</v>
      </c>
      <c r="C86" s="116">
        <v>7</v>
      </c>
      <c r="D86" s="116">
        <v>7</v>
      </c>
      <c r="E86" s="116">
        <v>7</v>
      </c>
      <c r="F86" s="116">
        <v>7</v>
      </c>
      <c r="G86" s="116">
        <v>7</v>
      </c>
      <c r="H86" s="116">
        <v>7</v>
      </c>
      <c r="I86" s="116">
        <v>7</v>
      </c>
      <c r="J86" s="116">
        <v>7</v>
      </c>
      <c r="K86" s="21">
        <v>7</v>
      </c>
      <c r="L86" s="21" t="s">
        <v>89</v>
      </c>
      <c r="M86" s="21" t="s">
        <v>89</v>
      </c>
    </row>
    <row r="87" spans="1:13" ht="12.75">
      <c r="A87" s="118"/>
      <c r="B87" s="116"/>
      <c r="C87" s="116"/>
      <c r="D87" s="116"/>
      <c r="E87" s="116"/>
      <c r="F87" s="116"/>
      <c r="G87" s="116"/>
      <c r="H87" s="116"/>
      <c r="I87" s="84"/>
      <c r="J87" s="84" t="s">
        <v>135</v>
      </c>
    </row>
    <row r="88" spans="1:13" ht="12.75">
      <c r="A88" s="34" t="s">
        <v>164</v>
      </c>
      <c r="B88" s="82"/>
      <c r="C88" s="82"/>
      <c r="D88" s="82"/>
      <c r="E88" s="85"/>
      <c r="F88" s="316"/>
      <c r="G88" s="316"/>
      <c r="H88" s="316"/>
      <c r="I88" s="84"/>
      <c r="J88" s="84"/>
    </row>
    <row r="89" spans="1:13" ht="12.75">
      <c r="A89" s="240" t="s">
        <v>165</v>
      </c>
      <c r="B89" s="247">
        <f>SUM(B90:B168)</f>
        <v>3213</v>
      </c>
      <c r="C89" s="247">
        <f t="shared" ref="C89:M89" si="3">SUM(C90:C168)</f>
        <v>3221</v>
      </c>
      <c r="D89" s="247">
        <f t="shared" si="3"/>
        <v>3434</v>
      </c>
      <c r="E89" s="247">
        <f t="shared" si="3"/>
        <v>4162</v>
      </c>
      <c r="F89" s="247">
        <f t="shared" si="3"/>
        <v>4360</v>
      </c>
      <c r="G89" s="247">
        <f t="shared" si="3"/>
        <v>4614</v>
      </c>
      <c r="H89" s="247">
        <f t="shared" si="3"/>
        <v>4754</v>
      </c>
      <c r="I89" s="247">
        <f t="shared" si="3"/>
        <v>4765</v>
      </c>
      <c r="J89" s="247">
        <f t="shared" si="3"/>
        <v>4628</v>
      </c>
      <c r="K89" s="247">
        <f t="shared" si="3"/>
        <v>4759</v>
      </c>
      <c r="L89" s="247">
        <f t="shared" si="3"/>
        <v>5010</v>
      </c>
      <c r="M89" s="247">
        <f t="shared" si="3"/>
        <v>5234</v>
      </c>
    </row>
    <row r="90" spans="1:13" ht="12.75">
      <c r="A90" s="115" t="s">
        <v>166</v>
      </c>
      <c r="B90" s="116"/>
      <c r="C90" s="116"/>
      <c r="D90" s="116"/>
      <c r="E90" s="116"/>
      <c r="F90" s="116"/>
      <c r="G90" s="116"/>
      <c r="H90" s="116"/>
      <c r="I90" s="116"/>
      <c r="J90" s="116"/>
      <c r="K90" s="3"/>
      <c r="L90" s="21">
        <v>136</v>
      </c>
      <c r="M90" s="21">
        <v>136</v>
      </c>
    </row>
    <row r="91" spans="1:13" ht="12.75">
      <c r="A91" s="115" t="s">
        <v>167</v>
      </c>
      <c r="B91" s="116">
        <v>24</v>
      </c>
      <c r="C91" s="21" t="s">
        <v>89</v>
      </c>
      <c r="D91" s="21" t="s">
        <v>89</v>
      </c>
      <c r="E91" s="21" t="s">
        <v>89</v>
      </c>
      <c r="F91" s="21" t="s">
        <v>89</v>
      </c>
      <c r="G91" s="21" t="s">
        <v>89</v>
      </c>
      <c r="H91" s="21" t="s">
        <v>89</v>
      </c>
      <c r="I91" s="21" t="s">
        <v>89</v>
      </c>
      <c r="J91" s="21" t="s">
        <v>89</v>
      </c>
      <c r="K91" s="21" t="s">
        <v>89</v>
      </c>
      <c r="L91" s="21" t="s">
        <v>89</v>
      </c>
      <c r="M91" s="21" t="s">
        <v>89</v>
      </c>
    </row>
    <row r="92" spans="1:13" ht="12.75">
      <c r="A92" s="115" t="s">
        <v>168</v>
      </c>
      <c r="B92" s="116">
        <v>32</v>
      </c>
      <c r="C92" s="116">
        <v>32</v>
      </c>
      <c r="D92" s="116">
        <v>32</v>
      </c>
      <c r="E92" s="116">
        <v>36</v>
      </c>
      <c r="F92" s="116">
        <v>30</v>
      </c>
      <c r="G92" s="116">
        <v>30</v>
      </c>
      <c r="H92" s="116">
        <v>30</v>
      </c>
      <c r="I92" s="116">
        <v>30</v>
      </c>
      <c r="J92" s="116">
        <v>36</v>
      </c>
      <c r="K92" s="21">
        <v>36</v>
      </c>
      <c r="L92" s="21">
        <v>32</v>
      </c>
      <c r="M92" s="21">
        <v>32</v>
      </c>
    </row>
    <row r="93" spans="1:13" ht="12.75">
      <c r="A93" s="115" t="s">
        <v>169</v>
      </c>
      <c r="B93" s="116">
        <v>20</v>
      </c>
      <c r="C93" s="116">
        <v>20</v>
      </c>
      <c r="D93" s="116">
        <v>20</v>
      </c>
      <c r="E93" s="116">
        <v>20</v>
      </c>
      <c r="F93" s="116">
        <v>20</v>
      </c>
      <c r="G93" s="116">
        <v>20</v>
      </c>
      <c r="H93" s="116">
        <v>20</v>
      </c>
      <c r="I93" s="116">
        <v>20</v>
      </c>
      <c r="J93" s="116">
        <v>20</v>
      </c>
      <c r="K93" s="21">
        <v>20</v>
      </c>
      <c r="L93" s="21">
        <v>20</v>
      </c>
      <c r="M93" s="21">
        <v>20</v>
      </c>
    </row>
    <row r="94" spans="1:13" ht="12.75">
      <c r="A94" s="115" t="s">
        <v>170</v>
      </c>
      <c r="B94" s="116">
        <v>16</v>
      </c>
      <c r="C94" s="116">
        <v>16</v>
      </c>
      <c r="D94" s="116">
        <v>16</v>
      </c>
      <c r="E94" s="116">
        <v>16</v>
      </c>
      <c r="F94" s="116">
        <v>16</v>
      </c>
      <c r="G94" s="116">
        <v>16</v>
      </c>
      <c r="H94" s="116">
        <v>16</v>
      </c>
      <c r="I94" s="116">
        <v>16</v>
      </c>
      <c r="J94" s="116">
        <v>16</v>
      </c>
      <c r="K94" s="21">
        <v>16</v>
      </c>
      <c r="L94" s="21">
        <v>16</v>
      </c>
      <c r="M94" s="21">
        <v>16</v>
      </c>
    </row>
    <row r="95" spans="1:13" ht="12.75">
      <c r="A95" s="115" t="s">
        <v>171</v>
      </c>
      <c r="B95" s="116">
        <v>19</v>
      </c>
      <c r="C95" s="116">
        <v>19</v>
      </c>
      <c r="D95" s="116">
        <v>19</v>
      </c>
      <c r="E95" s="116">
        <v>19</v>
      </c>
      <c r="F95" s="116">
        <v>19</v>
      </c>
      <c r="G95" s="116">
        <v>19</v>
      </c>
      <c r="H95" s="116">
        <v>19</v>
      </c>
      <c r="I95" s="116">
        <v>19</v>
      </c>
      <c r="J95" s="116">
        <v>19</v>
      </c>
      <c r="K95" s="21">
        <v>19</v>
      </c>
      <c r="L95" s="21">
        <v>19</v>
      </c>
      <c r="M95" s="21">
        <v>19</v>
      </c>
    </row>
    <row r="96" spans="1:13" ht="12.75">
      <c r="A96" s="115" t="s">
        <v>172</v>
      </c>
      <c r="B96" s="116"/>
      <c r="C96" s="116"/>
      <c r="D96" s="116"/>
      <c r="E96" s="116"/>
      <c r="F96" s="116"/>
      <c r="G96" s="116"/>
      <c r="H96" s="116"/>
      <c r="I96" s="116"/>
      <c r="J96" s="116"/>
      <c r="K96" s="21">
        <v>60</v>
      </c>
      <c r="L96" s="21">
        <v>60</v>
      </c>
      <c r="M96" s="21">
        <v>60</v>
      </c>
    </row>
    <row r="97" spans="1:13" ht="12.75">
      <c r="A97" s="115" t="s">
        <v>173</v>
      </c>
      <c r="B97" s="116">
        <v>106</v>
      </c>
      <c r="C97" s="116">
        <v>108</v>
      </c>
      <c r="D97" s="116">
        <v>108</v>
      </c>
      <c r="E97" s="116">
        <v>108</v>
      </c>
      <c r="F97" s="116">
        <v>108</v>
      </c>
      <c r="G97" s="116">
        <v>108</v>
      </c>
      <c r="H97" s="116">
        <v>108</v>
      </c>
      <c r="I97" s="116">
        <v>108</v>
      </c>
      <c r="J97" s="116">
        <v>108</v>
      </c>
      <c r="K97" s="21">
        <v>108</v>
      </c>
      <c r="L97" s="21">
        <v>106</v>
      </c>
      <c r="M97" s="21">
        <v>106</v>
      </c>
    </row>
    <row r="98" spans="1:13" ht="12.75">
      <c r="A98" s="115" t="s">
        <v>174</v>
      </c>
      <c r="B98" s="116">
        <v>53</v>
      </c>
      <c r="C98" s="116">
        <v>53</v>
      </c>
      <c r="D98" s="116">
        <v>53</v>
      </c>
      <c r="E98" s="116">
        <v>52</v>
      </c>
      <c r="F98" s="116">
        <v>52</v>
      </c>
      <c r="G98" s="116">
        <v>52</v>
      </c>
      <c r="H98" s="116">
        <v>52</v>
      </c>
      <c r="I98" s="116">
        <v>52</v>
      </c>
      <c r="J98" s="116">
        <v>53</v>
      </c>
      <c r="K98" s="21">
        <v>53</v>
      </c>
      <c r="L98" s="21">
        <v>52</v>
      </c>
      <c r="M98" s="21">
        <v>52</v>
      </c>
    </row>
    <row r="99" spans="1:13" ht="12.75">
      <c r="A99" s="246" t="s">
        <v>175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21">
        <v>150</v>
      </c>
      <c r="L99" s="21">
        <v>152</v>
      </c>
      <c r="M99" s="21">
        <v>152</v>
      </c>
    </row>
    <row r="100" spans="1:13" ht="12.75">
      <c r="A100" s="115" t="s">
        <v>176</v>
      </c>
      <c r="B100" s="116"/>
      <c r="C100" s="116"/>
      <c r="D100" s="116"/>
      <c r="E100" s="316"/>
      <c r="F100" s="316"/>
      <c r="G100" s="316"/>
      <c r="H100" s="116"/>
      <c r="I100" s="116"/>
      <c r="J100" s="116"/>
      <c r="L100" s="21"/>
      <c r="M100" s="21">
        <v>15</v>
      </c>
    </row>
    <row r="101" spans="1:13" ht="15" customHeight="1">
      <c r="A101" s="115" t="s">
        <v>177</v>
      </c>
      <c r="B101" s="116">
        <v>751</v>
      </c>
      <c r="C101" s="116">
        <v>751</v>
      </c>
      <c r="D101" s="116">
        <v>751</v>
      </c>
      <c r="E101" s="116">
        <v>750</v>
      </c>
      <c r="F101" s="116">
        <v>750</v>
      </c>
      <c r="G101" s="116">
        <v>750</v>
      </c>
      <c r="H101" s="116">
        <v>750</v>
      </c>
      <c r="I101" s="116">
        <v>750</v>
      </c>
      <c r="J101" s="116">
        <v>720</v>
      </c>
      <c r="K101" s="21">
        <v>720</v>
      </c>
      <c r="L101" s="21">
        <v>720</v>
      </c>
      <c r="M101" s="21">
        <v>720</v>
      </c>
    </row>
    <row r="102" spans="1:13" ht="14.25" customHeight="1">
      <c r="A102" s="115" t="s">
        <v>178</v>
      </c>
      <c r="B102" s="116">
        <v>29</v>
      </c>
      <c r="C102" s="116">
        <v>29</v>
      </c>
      <c r="D102" s="116">
        <v>29</v>
      </c>
      <c r="E102" s="21" t="s">
        <v>89</v>
      </c>
      <c r="F102" s="21" t="s">
        <v>89</v>
      </c>
      <c r="G102" s="21" t="s">
        <v>89</v>
      </c>
      <c r="H102" s="21" t="s">
        <v>89</v>
      </c>
      <c r="I102" s="21" t="s">
        <v>89</v>
      </c>
      <c r="J102" s="21" t="s">
        <v>89</v>
      </c>
      <c r="K102" s="21" t="s">
        <v>89</v>
      </c>
      <c r="L102" s="21" t="s">
        <v>89</v>
      </c>
      <c r="M102" s="21" t="s">
        <v>89</v>
      </c>
    </row>
    <row r="103" spans="1:13" ht="12.75">
      <c r="A103" s="115" t="s">
        <v>179</v>
      </c>
      <c r="B103" s="116"/>
      <c r="C103" s="116"/>
      <c r="D103" s="116">
        <v>174</v>
      </c>
      <c r="E103" s="116">
        <v>174</v>
      </c>
      <c r="F103" s="116">
        <v>174</v>
      </c>
      <c r="G103" s="116">
        <v>174</v>
      </c>
      <c r="H103" s="116">
        <v>174</v>
      </c>
      <c r="I103" s="116">
        <v>174</v>
      </c>
      <c r="J103" s="116">
        <v>174</v>
      </c>
      <c r="K103" s="21">
        <v>174</v>
      </c>
      <c r="L103" s="21">
        <v>174</v>
      </c>
      <c r="M103" s="21">
        <v>174</v>
      </c>
    </row>
    <row r="104" spans="1:13" s="117" customFormat="1" ht="12.75">
      <c r="A104" s="115" t="s">
        <v>180</v>
      </c>
      <c r="B104" s="118"/>
      <c r="C104" s="118"/>
      <c r="D104" s="118"/>
      <c r="E104" s="115"/>
      <c r="F104" s="115"/>
      <c r="G104" s="115"/>
      <c r="H104" s="118">
        <v>68</v>
      </c>
      <c r="I104" s="118">
        <v>68</v>
      </c>
      <c r="J104" s="118">
        <v>68</v>
      </c>
      <c r="K104" s="244">
        <v>69</v>
      </c>
      <c r="L104" s="244">
        <v>69</v>
      </c>
      <c r="M104" s="244">
        <v>69</v>
      </c>
    </row>
    <row r="105" spans="1:13" ht="12.75">
      <c r="A105" s="115" t="s">
        <v>181</v>
      </c>
      <c r="B105" s="118"/>
      <c r="C105" s="118"/>
      <c r="D105" s="118"/>
      <c r="E105" s="115"/>
      <c r="F105" s="115"/>
      <c r="G105" s="118">
        <v>30</v>
      </c>
      <c r="H105" s="118">
        <v>30</v>
      </c>
      <c r="I105" s="118">
        <v>30</v>
      </c>
      <c r="J105" s="118">
        <v>30</v>
      </c>
      <c r="K105" s="244">
        <v>30</v>
      </c>
      <c r="L105" s="244">
        <v>30</v>
      </c>
      <c r="M105" s="244" t="s">
        <v>89</v>
      </c>
    </row>
    <row r="106" spans="1:13" s="117" customFormat="1" ht="12.75">
      <c r="A106" s="115" t="s">
        <v>182</v>
      </c>
      <c r="B106" s="116"/>
      <c r="C106" s="116"/>
      <c r="D106" s="116"/>
      <c r="E106" s="316"/>
      <c r="F106" s="116">
        <v>367</v>
      </c>
      <c r="G106" s="116">
        <v>486</v>
      </c>
      <c r="H106" s="116">
        <v>486</v>
      </c>
      <c r="I106" s="116">
        <v>486</v>
      </c>
      <c r="J106" s="116">
        <v>486</v>
      </c>
      <c r="K106" s="21">
        <v>486</v>
      </c>
      <c r="L106" s="21">
        <v>486</v>
      </c>
      <c r="M106" s="21">
        <v>486</v>
      </c>
    </row>
    <row r="107" spans="1:13" ht="12.75">
      <c r="A107" s="115" t="s">
        <v>183</v>
      </c>
      <c r="B107" s="118"/>
      <c r="C107" s="118"/>
      <c r="D107" s="118"/>
      <c r="E107" s="118"/>
      <c r="F107" s="118"/>
      <c r="G107" s="118"/>
      <c r="H107" s="118">
        <v>19</v>
      </c>
      <c r="I107" s="118">
        <v>19</v>
      </c>
      <c r="J107" s="118">
        <v>19</v>
      </c>
      <c r="K107" s="21">
        <v>19</v>
      </c>
      <c r="L107" s="21">
        <v>19</v>
      </c>
      <c r="M107" s="21">
        <v>19</v>
      </c>
    </row>
    <row r="108" spans="1:13" ht="12.75">
      <c r="A108" s="115" t="s">
        <v>184</v>
      </c>
      <c r="B108" s="116"/>
      <c r="C108" s="116"/>
      <c r="D108" s="116"/>
      <c r="E108" s="116"/>
      <c r="F108" s="116"/>
      <c r="G108" s="116"/>
      <c r="H108" s="116">
        <v>19</v>
      </c>
      <c r="I108" s="81">
        <v>19</v>
      </c>
      <c r="J108" s="81">
        <v>20</v>
      </c>
      <c r="K108" s="21">
        <v>20</v>
      </c>
      <c r="L108" s="21">
        <v>20</v>
      </c>
      <c r="M108" s="21">
        <v>20</v>
      </c>
    </row>
    <row r="109" spans="1:13" ht="12.75">
      <c r="A109" s="115" t="s">
        <v>185</v>
      </c>
      <c r="B109" s="116"/>
      <c r="C109" s="116">
        <v>27</v>
      </c>
      <c r="D109" s="116">
        <v>27</v>
      </c>
      <c r="E109" s="21" t="s">
        <v>89</v>
      </c>
      <c r="F109" s="21" t="s">
        <v>89</v>
      </c>
      <c r="G109" s="21" t="s">
        <v>89</v>
      </c>
      <c r="H109" s="21" t="s">
        <v>89</v>
      </c>
      <c r="I109" s="21" t="s">
        <v>89</v>
      </c>
      <c r="J109" s="21" t="s">
        <v>89</v>
      </c>
      <c r="K109" s="21" t="s">
        <v>89</v>
      </c>
      <c r="L109" s="21" t="s">
        <v>89</v>
      </c>
      <c r="M109" s="21" t="s">
        <v>89</v>
      </c>
    </row>
    <row r="110" spans="1:13" ht="12.75">
      <c r="A110" s="115" t="s">
        <v>186</v>
      </c>
      <c r="B110" s="116"/>
      <c r="C110" s="116"/>
      <c r="D110" s="116"/>
      <c r="E110" s="316"/>
      <c r="F110" s="116">
        <v>16</v>
      </c>
      <c r="G110" s="116">
        <v>16</v>
      </c>
      <c r="H110" s="116">
        <v>16</v>
      </c>
      <c r="I110" s="116">
        <v>16</v>
      </c>
      <c r="J110" s="116" t="s">
        <v>89</v>
      </c>
      <c r="K110" s="21" t="s">
        <v>89</v>
      </c>
      <c r="L110" s="21" t="s">
        <v>89</v>
      </c>
      <c r="M110" s="21" t="s">
        <v>89</v>
      </c>
    </row>
    <row r="111" spans="1:13" ht="12.75">
      <c r="A111" s="115" t="s">
        <v>187</v>
      </c>
      <c r="B111" s="116"/>
      <c r="C111" s="116"/>
      <c r="D111" s="116"/>
      <c r="E111" s="116"/>
      <c r="F111" s="116"/>
      <c r="G111" s="116"/>
      <c r="H111" s="116">
        <v>26</v>
      </c>
      <c r="I111" s="81">
        <v>26</v>
      </c>
      <c r="J111" s="81">
        <v>35</v>
      </c>
      <c r="K111" s="21" t="s">
        <v>89</v>
      </c>
      <c r="L111" s="21" t="s">
        <v>89</v>
      </c>
      <c r="M111" s="21" t="s">
        <v>89</v>
      </c>
    </row>
    <row r="112" spans="1:13" ht="12.75">
      <c r="A112" s="115" t="s">
        <v>188</v>
      </c>
      <c r="B112" s="116">
        <v>156</v>
      </c>
      <c r="C112" s="116">
        <v>156</v>
      </c>
      <c r="D112" s="116">
        <v>156</v>
      </c>
      <c r="E112" s="116">
        <v>156</v>
      </c>
      <c r="F112" s="116">
        <v>153</v>
      </c>
      <c r="G112" s="116">
        <v>253</v>
      </c>
      <c r="H112" s="116">
        <v>253</v>
      </c>
      <c r="I112" s="116">
        <v>253</v>
      </c>
      <c r="J112" s="116">
        <v>253</v>
      </c>
      <c r="K112" s="21">
        <v>254</v>
      </c>
      <c r="L112" s="21">
        <v>254</v>
      </c>
      <c r="M112" s="21">
        <v>254</v>
      </c>
    </row>
    <row r="113" spans="1:13" ht="12.75">
      <c r="A113" s="115" t="s">
        <v>189</v>
      </c>
      <c r="B113" s="116">
        <v>121</v>
      </c>
      <c r="C113" s="116">
        <v>121</v>
      </c>
      <c r="D113" s="116">
        <v>121</v>
      </c>
      <c r="E113" s="116">
        <v>120</v>
      </c>
      <c r="F113" s="116">
        <v>116</v>
      </c>
      <c r="G113" s="116">
        <v>116</v>
      </c>
      <c r="H113" s="116">
        <v>116</v>
      </c>
      <c r="I113" s="116">
        <v>116</v>
      </c>
      <c r="J113" s="116">
        <v>116</v>
      </c>
      <c r="K113" s="21">
        <v>116</v>
      </c>
      <c r="L113" s="21">
        <v>116</v>
      </c>
      <c r="M113" s="21">
        <v>116</v>
      </c>
    </row>
    <row r="114" spans="1:13" ht="12.75">
      <c r="A114" s="115" t="s">
        <v>190</v>
      </c>
      <c r="B114" s="116">
        <v>20</v>
      </c>
      <c r="C114" s="116">
        <v>20</v>
      </c>
      <c r="D114" s="116">
        <v>20</v>
      </c>
      <c r="E114" s="116">
        <v>16</v>
      </c>
      <c r="F114" s="116">
        <v>22</v>
      </c>
      <c r="G114" s="116">
        <v>22</v>
      </c>
      <c r="H114" s="116">
        <v>22</v>
      </c>
      <c r="I114" s="116">
        <v>22</v>
      </c>
      <c r="J114" s="116">
        <v>23</v>
      </c>
      <c r="K114" s="21">
        <v>23</v>
      </c>
      <c r="L114" s="21">
        <v>23</v>
      </c>
      <c r="M114" s="21">
        <v>23</v>
      </c>
    </row>
    <row r="115" spans="1:13" ht="12.75">
      <c r="A115" s="115" t="s">
        <v>191</v>
      </c>
      <c r="B115" s="116">
        <v>32</v>
      </c>
      <c r="C115" s="116">
        <v>32</v>
      </c>
      <c r="D115" s="116">
        <v>32</v>
      </c>
      <c r="E115" s="21" t="s">
        <v>89</v>
      </c>
      <c r="F115" s="21" t="s">
        <v>89</v>
      </c>
      <c r="G115" s="21" t="s">
        <v>89</v>
      </c>
      <c r="H115" s="21" t="s">
        <v>89</v>
      </c>
      <c r="I115" s="21" t="s">
        <v>89</v>
      </c>
      <c r="J115" s="21" t="s">
        <v>89</v>
      </c>
      <c r="K115" s="21" t="s">
        <v>89</v>
      </c>
      <c r="L115" s="21" t="s">
        <v>89</v>
      </c>
      <c r="M115" s="21" t="s">
        <v>89</v>
      </c>
    </row>
    <row r="116" spans="1:13" ht="12.75">
      <c r="A116" s="115" t="s">
        <v>192</v>
      </c>
      <c r="B116" s="116">
        <v>20</v>
      </c>
      <c r="C116" s="116">
        <v>20</v>
      </c>
      <c r="D116" s="116">
        <v>20</v>
      </c>
      <c r="E116" s="116">
        <v>20</v>
      </c>
      <c r="F116" s="116">
        <v>20</v>
      </c>
      <c r="G116" s="116">
        <v>20</v>
      </c>
      <c r="H116" s="116">
        <v>20</v>
      </c>
      <c r="I116" s="116">
        <v>20</v>
      </c>
      <c r="J116" s="116">
        <v>20</v>
      </c>
      <c r="K116" s="21">
        <v>20</v>
      </c>
      <c r="L116" s="21">
        <v>20</v>
      </c>
      <c r="M116" s="21">
        <v>20</v>
      </c>
    </row>
    <row r="117" spans="1:13" ht="12.75">
      <c r="A117" s="115" t="s">
        <v>193</v>
      </c>
      <c r="B117" s="116">
        <v>40</v>
      </c>
      <c r="C117" s="116">
        <v>52</v>
      </c>
      <c r="D117" s="116">
        <v>52</v>
      </c>
      <c r="E117" s="116">
        <v>52</v>
      </c>
      <c r="F117" s="116">
        <v>52</v>
      </c>
      <c r="G117" s="116">
        <v>52</v>
      </c>
      <c r="H117" s="116">
        <v>52</v>
      </c>
      <c r="I117" s="116">
        <v>52</v>
      </c>
      <c r="J117" s="116">
        <v>72</v>
      </c>
      <c r="K117" s="21">
        <v>72</v>
      </c>
      <c r="L117" s="21">
        <v>72</v>
      </c>
      <c r="M117" s="21">
        <v>72</v>
      </c>
    </row>
    <row r="118" spans="1:13" ht="12.75">
      <c r="A118" s="115" t="s">
        <v>194</v>
      </c>
      <c r="B118" s="116">
        <v>21</v>
      </c>
      <c r="C118" s="116" t="s">
        <v>89</v>
      </c>
      <c r="D118" s="116" t="s">
        <v>89</v>
      </c>
      <c r="E118" s="116" t="s">
        <v>89</v>
      </c>
      <c r="F118" s="116" t="s">
        <v>89</v>
      </c>
      <c r="G118" s="116" t="s">
        <v>89</v>
      </c>
      <c r="H118" s="116" t="s">
        <v>89</v>
      </c>
      <c r="I118" s="116" t="s">
        <v>89</v>
      </c>
      <c r="J118" s="116" t="s">
        <v>89</v>
      </c>
      <c r="K118" s="21" t="s">
        <v>89</v>
      </c>
      <c r="L118" s="21" t="s">
        <v>89</v>
      </c>
      <c r="M118" s="21" t="s">
        <v>89</v>
      </c>
    </row>
    <row r="119" spans="1:13" ht="12.75">
      <c r="A119" s="115" t="s">
        <v>195</v>
      </c>
      <c r="B119" s="116"/>
      <c r="C119" s="116"/>
      <c r="D119" s="116"/>
      <c r="E119" s="116">
        <v>29</v>
      </c>
      <c r="F119" s="116">
        <v>29</v>
      </c>
      <c r="G119" s="116">
        <v>29</v>
      </c>
      <c r="H119" s="116">
        <v>29</v>
      </c>
      <c r="I119" s="116">
        <v>29</v>
      </c>
      <c r="J119" s="116">
        <v>29</v>
      </c>
      <c r="K119" s="21">
        <v>29</v>
      </c>
      <c r="L119" s="21">
        <v>29</v>
      </c>
      <c r="M119" s="21">
        <v>29</v>
      </c>
    </row>
    <row r="120" spans="1:13" ht="12.75">
      <c r="A120" s="115" t="s">
        <v>196</v>
      </c>
      <c r="B120" s="116"/>
      <c r="C120" s="116"/>
      <c r="D120" s="116"/>
      <c r="E120" s="316"/>
      <c r="F120" s="316"/>
      <c r="G120" s="116"/>
      <c r="H120" s="116">
        <v>38</v>
      </c>
      <c r="I120" s="81">
        <v>38</v>
      </c>
      <c r="J120" s="81">
        <v>38</v>
      </c>
      <c r="K120" s="21">
        <v>38</v>
      </c>
      <c r="L120" s="21">
        <v>38</v>
      </c>
      <c r="M120" s="21">
        <v>38</v>
      </c>
    </row>
    <row r="121" spans="1:13" ht="12.75">
      <c r="A121" s="115" t="s">
        <v>197</v>
      </c>
      <c r="B121" s="116" t="s">
        <v>198</v>
      </c>
      <c r="C121" s="116" t="s">
        <v>198</v>
      </c>
      <c r="D121" s="116" t="s">
        <v>198</v>
      </c>
      <c r="E121" s="116" t="s">
        <v>198</v>
      </c>
      <c r="F121" s="116">
        <v>98</v>
      </c>
      <c r="G121" s="116">
        <v>98</v>
      </c>
      <c r="H121" s="116">
        <v>98</v>
      </c>
      <c r="I121" s="116">
        <v>97</v>
      </c>
      <c r="J121" s="116">
        <v>118</v>
      </c>
      <c r="K121" s="21">
        <v>118</v>
      </c>
      <c r="L121" s="21">
        <v>118</v>
      </c>
      <c r="M121" s="21">
        <v>118</v>
      </c>
    </row>
    <row r="122" spans="1:13" ht="12.75">
      <c r="A122" s="115" t="s">
        <v>199</v>
      </c>
      <c r="B122" s="116"/>
      <c r="C122" s="116"/>
      <c r="D122" s="116"/>
      <c r="E122" s="116">
        <v>21</v>
      </c>
      <c r="F122" s="116">
        <v>18</v>
      </c>
      <c r="G122" s="116">
        <v>21</v>
      </c>
      <c r="H122" s="116">
        <v>21</v>
      </c>
      <c r="I122" s="116">
        <v>18</v>
      </c>
      <c r="J122" s="116">
        <v>21</v>
      </c>
      <c r="K122" s="21">
        <v>21</v>
      </c>
      <c r="L122" s="21" t="s">
        <v>89</v>
      </c>
      <c r="M122" s="21" t="s">
        <v>89</v>
      </c>
    </row>
    <row r="123" spans="1:13" ht="12.75">
      <c r="A123" s="115" t="s">
        <v>200</v>
      </c>
      <c r="B123" s="116">
        <v>27</v>
      </c>
      <c r="C123" s="116">
        <v>27</v>
      </c>
      <c r="D123" s="116">
        <v>27</v>
      </c>
      <c r="E123" s="116">
        <v>27</v>
      </c>
      <c r="F123" s="116">
        <v>27</v>
      </c>
      <c r="G123" s="116">
        <v>27</v>
      </c>
      <c r="H123" s="116">
        <v>27</v>
      </c>
      <c r="I123" s="116">
        <v>27</v>
      </c>
      <c r="J123" s="116">
        <v>27</v>
      </c>
      <c r="K123" s="21">
        <v>27</v>
      </c>
      <c r="L123" s="21">
        <v>27</v>
      </c>
      <c r="M123" s="21">
        <v>27</v>
      </c>
    </row>
    <row r="124" spans="1:13" ht="12.75">
      <c r="A124" s="115" t="s">
        <v>201</v>
      </c>
      <c r="B124" s="116"/>
      <c r="C124" s="116"/>
      <c r="D124" s="116"/>
      <c r="E124" s="116"/>
      <c r="F124" s="116"/>
      <c r="G124" s="116"/>
      <c r="H124" s="116">
        <v>18</v>
      </c>
      <c r="I124" s="116">
        <v>18</v>
      </c>
      <c r="J124" s="116">
        <v>18</v>
      </c>
      <c r="K124" s="21">
        <v>18</v>
      </c>
      <c r="L124" s="21" t="s">
        <v>89</v>
      </c>
      <c r="M124" s="21" t="s">
        <v>89</v>
      </c>
    </row>
    <row r="125" spans="1:13" ht="12.75">
      <c r="A125" s="115" t="s">
        <v>202</v>
      </c>
      <c r="B125" s="118"/>
      <c r="C125" s="118"/>
      <c r="D125" s="118"/>
      <c r="E125" s="118">
        <v>55</v>
      </c>
      <c r="F125" s="118">
        <v>55</v>
      </c>
      <c r="G125" s="118">
        <v>55</v>
      </c>
      <c r="H125" s="118">
        <v>55</v>
      </c>
      <c r="I125" s="118">
        <v>55</v>
      </c>
      <c r="J125" s="118">
        <v>55</v>
      </c>
      <c r="K125" s="244">
        <v>55</v>
      </c>
      <c r="L125" s="244">
        <v>57</v>
      </c>
      <c r="M125" s="244">
        <v>57</v>
      </c>
    </row>
    <row r="126" spans="1:13" ht="12.75">
      <c r="A126" s="115" t="s">
        <v>203</v>
      </c>
      <c r="B126" s="116"/>
      <c r="C126" s="116"/>
      <c r="D126" s="116"/>
      <c r="E126" s="116"/>
      <c r="F126" s="116"/>
      <c r="G126" s="116"/>
      <c r="H126" s="116"/>
      <c r="I126" s="116"/>
      <c r="J126" s="116">
        <v>16</v>
      </c>
      <c r="K126" s="21" t="s">
        <v>89</v>
      </c>
      <c r="L126" s="21" t="s">
        <v>89</v>
      </c>
      <c r="M126" s="21" t="s">
        <v>89</v>
      </c>
    </row>
    <row r="127" spans="1:13" ht="12.75">
      <c r="A127" s="115" t="s">
        <v>204</v>
      </c>
      <c r="B127" s="116">
        <v>80</v>
      </c>
      <c r="C127" s="116">
        <v>80</v>
      </c>
      <c r="D127" s="116">
        <v>75</v>
      </c>
      <c r="E127" s="116">
        <v>75</v>
      </c>
      <c r="F127" s="116">
        <v>73</v>
      </c>
      <c r="G127" s="116">
        <v>73</v>
      </c>
      <c r="H127" s="116">
        <v>73</v>
      </c>
      <c r="I127" s="116">
        <v>73</v>
      </c>
      <c r="J127" s="116">
        <v>73</v>
      </c>
      <c r="K127" s="21">
        <v>73</v>
      </c>
      <c r="L127" s="21">
        <v>73</v>
      </c>
      <c r="M127" s="21">
        <v>73</v>
      </c>
    </row>
    <row r="128" spans="1:13" ht="12.75">
      <c r="A128" s="115" t="s">
        <v>205</v>
      </c>
      <c r="B128" s="116"/>
      <c r="C128" s="116"/>
      <c r="D128" s="116"/>
      <c r="E128" s="316"/>
      <c r="F128" s="316"/>
      <c r="G128" s="316"/>
      <c r="H128" s="116"/>
      <c r="I128" s="116"/>
      <c r="J128" s="116"/>
      <c r="L128" s="21"/>
      <c r="M128" s="21">
        <v>20</v>
      </c>
    </row>
    <row r="129" spans="1:13" ht="12.75">
      <c r="A129" s="115" t="s">
        <v>206</v>
      </c>
      <c r="B129" s="116">
        <v>23</v>
      </c>
      <c r="C129" s="116">
        <v>23</v>
      </c>
      <c r="D129" s="116">
        <v>23</v>
      </c>
      <c r="E129" s="116">
        <v>23</v>
      </c>
      <c r="F129" s="116">
        <v>23</v>
      </c>
      <c r="G129" s="116">
        <v>23</v>
      </c>
      <c r="H129" s="116">
        <v>23</v>
      </c>
      <c r="I129" s="116">
        <v>23</v>
      </c>
      <c r="J129" s="116">
        <v>24</v>
      </c>
      <c r="K129" s="21">
        <v>24</v>
      </c>
      <c r="L129" s="21" t="s">
        <v>89</v>
      </c>
      <c r="M129" s="21" t="s">
        <v>89</v>
      </c>
    </row>
    <row r="130" spans="1:13" ht="12.75">
      <c r="A130" s="115" t="s">
        <v>207</v>
      </c>
      <c r="B130" s="116">
        <v>15</v>
      </c>
      <c r="C130" s="116">
        <v>15</v>
      </c>
      <c r="D130" s="116">
        <v>15</v>
      </c>
      <c r="E130" s="116">
        <v>15</v>
      </c>
      <c r="F130" s="116">
        <v>13</v>
      </c>
      <c r="G130" s="116">
        <v>13</v>
      </c>
      <c r="H130" s="116">
        <v>13</v>
      </c>
      <c r="I130" s="116">
        <v>13</v>
      </c>
      <c r="J130" s="116">
        <v>17</v>
      </c>
      <c r="K130" s="21">
        <v>19</v>
      </c>
      <c r="L130" s="21">
        <v>15</v>
      </c>
      <c r="M130" s="21">
        <v>15</v>
      </c>
    </row>
    <row r="131" spans="1:13" ht="12.75">
      <c r="A131" s="115" t="s">
        <v>208</v>
      </c>
      <c r="B131" s="116">
        <v>27</v>
      </c>
      <c r="C131" s="116">
        <v>27</v>
      </c>
      <c r="D131" s="116">
        <v>27</v>
      </c>
      <c r="E131" s="116">
        <v>27</v>
      </c>
      <c r="F131" s="116">
        <v>27</v>
      </c>
      <c r="G131" s="116">
        <v>27</v>
      </c>
      <c r="H131" s="116">
        <v>27</v>
      </c>
      <c r="I131" s="116">
        <v>19</v>
      </c>
      <c r="J131" s="116">
        <v>25</v>
      </c>
      <c r="K131" s="21">
        <v>25</v>
      </c>
      <c r="L131" s="21">
        <v>25</v>
      </c>
      <c r="M131" s="21">
        <v>25</v>
      </c>
    </row>
    <row r="132" spans="1:13" ht="12.75">
      <c r="A132" s="115" t="s">
        <v>209</v>
      </c>
      <c r="B132" s="116"/>
      <c r="C132" s="116"/>
      <c r="D132" s="116"/>
      <c r="E132" s="116"/>
      <c r="F132" s="116"/>
      <c r="G132" s="116"/>
      <c r="H132" s="116">
        <v>16</v>
      </c>
      <c r="I132" s="81" t="s">
        <v>89</v>
      </c>
      <c r="J132" s="81" t="s">
        <v>89</v>
      </c>
      <c r="K132" s="21" t="s">
        <v>89</v>
      </c>
      <c r="L132" s="21" t="s">
        <v>89</v>
      </c>
      <c r="M132" s="21" t="s">
        <v>89</v>
      </c>
    </row>
    <row r="133" spans="1:13" ht="12.75">
      <c r="A133" s="115" t="s">
        <v>210</v>
      </c>
      <c r="B133" s="116"/>
      <c r="C133" s="116"/>
      <c r="D133" s="116"/>
      <c r="E133" s="316"/>
      <c r="F133" s="316"/>
      <c r="G133" s="116">
        <v>30</v>
      </c>
      <c r="H133" s="116">
        <v>30</v>
      </c>
      <c r="I133" s="116">
        <v>30</v>
      </c>
      <c r="J133" s="116">
        <v>30</v>
      </c>
      <c r="K133" s="21">
        <v>30</v>
      </c>
      <c r="L133" s="21">
        <v>30</v>
      </c>
      <c r="M133" s="21">
        <v>30</v>
      </c>
    </row>
    <row r="134" spans="1:13" ht="12.75">
      <c r="A134" s="115" t="s">
        <v>211</v>
      </c>
      <c r="B134" s="116"/>
      <c r="C134" s="116"/>
      <c r="D134" s="116"/>
      <c r="E134" s="316"/>
      <c r="F134" s="316"/>
      <c r="G134" s="316"/>
      <c r="H134" s="116"/>
      <c r="I134" s="116"/>
      <c r="J134" s="116"/>
      <c r="L134" s="21"/>
      <c r="M134" s="21">
        <v>139</v>
      </c>
    </row>
    <row r="135" spans="1:13" ht="12.75">
      <c r="A135" s="115" t="s">
        <v>212</v>
      </c>
      <c r="B135" s="116"/>
      <c r="C135" s="116"/>
      <c r="D135" s="116"/>
      <c r="E135" s="316"/>
      <c r="F135" s="316"/>
      <c r="G135" s="116"/>
      <c r="H135" s="116"/>
      <c r="I135" s="116"/>
      <c r="J135" s="116"/>
      <c r="L135" s="21">
        <v>36</v>
      </c>
      <c r="M135" s="21">
        <v>36</v>
      </c>
    </row>
    <row r="136" spans="1:13" ht="12.75">
      <c r="A136" s="115" t="s">
        <v>213</v>
      </c>
      <c r="B136" s="116"/>
      <c r="C136" s="116"/>
      <c r="D136" s="116"/>
      <c r="E136" s="116">
        <v>15</v>
      </c>
      <c r="F136" s="116">
        <v>19</v>
      </c>
      <c r="G136" s="116">
        <v>19</v>
      </c>
      <c r="H136" s="116">
        <v>19</v>
      </c>
      <c r="I136" s="116">
        <v>19</v>
      </c>
      <c r="J136" s="116">
        <v>19</v>
      </c>
      <c r="K136" s="21">
        <v>19</v>
      </c>
      <c r="L136" s="21">
        <v>19</v>
      </c>
      <c r="M136" s="21">
        <v>19</v>
      </c>
    </row>
    <row r="137" spans="1:13" ht="12.75">
      <c r="A137" s="115" t="s">
        <v>214</v>
      </c>
      <c r="B137" s="116"/>
      <c r="C137" s="116">
        <v>39</v>
      </c>
      <c r="D137" s="116">
        <v>39</v>
      </c>
      <c r="E137" s="116">
        <v>35</v>
      </c>
      <c r="F137" s="116">
        <v>36</v>
      </c>
      <c r="G137" s="116">
        <v>36</v>
      </c>
      <c r="H137" s="116">
        <v>36</v>
      </c>
      <c r="I137" s="116">
        <v>36</v>
      </c>
      <c r="J137" s="116">
        <v>39</v>
      </c>
      <c r="K137" s="21">
        <v>39</v>
      </c>
      <c r="L137" s="21">
        <v>39</v>
      </c>
      <c r="M137" s="21">
        <v>39</v>
      </c>
    </row>
    <row r="138" spans="1:13" ht="12.75">
      <c r="A138" s="115" t="s">
        <v>215</v>
      </c>
      <c r="B138" s="116">
        <v>120</v>
      </c>
      <c r="C138" s="116">
        <v>120</v>
      </c>
      <c r="D138" s="116">
        <v>120</v>
      </c>
      <c r="E138" s="116">
        <v>120</v>
      </c>
      <c r="F138" s="116">
        <v>120</v>
      </c>
      <c r="G138" s="116">
        <v>120</v>
      </c>
      <c r="H138" s="116">
        <v>120</v>
      </c>
      <c r="I138" s="116">
        <v>120</v>
      </c>
      <c r="J138" s="116">
        <v>120</v>
      </c>
      <c r="K138" s="21">
        <v>120</v>
      </c>
      <c r="L138" s="21">
        <v>120</v>
      </c>
      <c r="M138" s="21">
        <v>120</v>
      </c>
    </row>
    <row r="139" spans="1:13" ht="12.75">
      <c r="A139" s="115" t="s">
        <v>216</v>
      </c>
      <c r="B139" s="116"/>
      <c r="C139" s="116"/>
      <c r="D139" s="116"/>
      <c r="E139" s="116">
        <v>262</v>
      </c>
      <c r="F139" s="116">
        <v>262</v>
      </c>
      <c r="G139" s="116">
        <v>262</v>
      </c>
      <c r="H139" s="116" t="s">
        <v>89</v>
      </c>
      <c r="I139" s="81" t="s">
        <v>89</v>
      </c>
      <c r="J139" s="81" t="s">
        <v>89</v>
      </c>
      <c r="K139" s="21" t="s">
        <v>89</v>
      </c>
      <c r="L139" s="21" t="s">
        <v>89</v>
      </c>
      <c r="M139" s="21" t="s">
        <v>89</v>
      </c>
    </row>
    <row r="140" spans="1:13" ht="12.75">
      <c r="A140" s="115" t="s">
        <v>217</v>
      </c>
      <c r="B140" s="116"/>
      <c r="C140" s="116"/>
      <c r="D140" s="116"/>
      <c r="E140" s="116">
        <v>506</v>
      </c>
      <c r="F140" s="116" t="s">
        <v>89</v>
      </c>
      <c r="G140" s="116" t="s">
        <v>89</v>
      </c>
      <c r="H140" s="116" t="s">
        <v>89</v>
      </c>
      <c r="I140" s="116" t="s">
        <v>89</v>
      </c>
      <c r="J140" s="116" t="s">
        <v>89</v>
      </c>
      <c r="K140" s="21" t="s">
        <v>89</v>
      </c>
      <c r="L140" s="21" t="s">
        <v>89</v>
      </c>
      <c r="M140" s="21" t="s">
        <v>89</v>
      </c>
    </row>
    <row r="141" spans="1:13" ht="12.75">
      <c r="A141" s="115" t="s">
        <v>218</v>
      </c>
      <c r="B141" s="116">
        <v>40</v>
      </c>
      <c r="C141" s="116" t="s">
        <v>198</v>
      </c>
      <c r="D141" s="116" t="s">
        <v>198</v>
      </c>
      <c r="E141" s="116" t="s">
        <v>198</v>
      </c>
      <c r="F141" s="116" t="s">
        <v>198</v>
      </c>
      <c r="G141" s="116" t="s">
        <v>198</v>
      </c>
      <c r="H141" s="116">
        <v>40</v>
      </c>
      <c r="I141" s="81">
        <v>40</v>
      </c>
      <c r="J141" s="81">
        <v>42</v>
      </c>
      <c r="K141" s="21">
        <v>42</v>
      </c>
      <c r="L141" s="21">
        <v>47</v>
      </c>
      <c r="M141" s="21">
        <v>47</v>
      </c>
    </row>
    <row r="142" spans="1:13" ht="12.75">
      <c r="A142" s="115" t="s">
        <v>219</v>
      </c>
      <c r="B142" s="118">
        <v>28</v>
      </c>
      <c r="C142" s="118">
        <v>28</v>
      </c>
      <c r="D142" s="118">
        <v>28</v>
      </c>
      <c r="E142" s="118">
        <v>28</v>
      </c>
      <c r="F142" s="118">
        <v>28</v>
      </c>
      <c r="G142" s="116" t="s">
        <v>89</v>
      </c>
      <c r="H142" s="116" t="s">
        <v>89</v>
      </c>
      <c r="I142" s="116" t="s">
        <v>89</v>
      </c>
      <c r="J142" s="116" t="s">
        <v>89</v>
      </c>
      <c r="K142" s="116" t="s">
        <v>89</v>
      </c>
      <c r="L142" s="116" t="s">
        <v>89</v>
      </c>
      <c r="M142" s="116" t="s">
        <v>89</v>
      </c>
    </row>
    <row r="143" spans="1:13" ht="12.75">
      <c r="A143" s="115" t="s">
        <v>220</v>
      </c>
      <c r="B143" s="116">
        <v>31</v>
      </c>
      <c r="C143" s="116">
        <v>31</v>
      </c>
      <c r="D143" s="116">
        <v>3</v>
      </c>
      <c r="E143" s="116">
        <v>31</v>
      </c>
      <c r="F143" s="116">
        <v>60</v>
      </c>
      <c r="G143" s="116">
        <v>60</v>
      </c>
      <c r="H143" s="116">
        <v>60</v>
      </c>
      <c r="I143" s="116">
        <v>60</v>
      </c>
      <c r="J143" s="116">
        <v>60</v>
      </c>
      <c r="K143" s="21">
        <v>60</v>
      </c>
      <c r="L143" s="21">
        <v>31</v>
      </c>
      <c r="M143" s="21">
        <v>31</v>
      </c>
    </row>
    <row r="144" spans="1:13" ht="12.75">
      <c r="A144" s="115" t="s">
        <v>221</v>
      </c>
      <c r="B144" s="118"/>
      <c r="C144" s="118"/>
      <c r="D144" s="118"/>
      <c r="E144" s="83"/>
      <c r="F144" s="83"/>
      <c r="G144" s="83"/>
      <c r="H144" s="83"/>
      <c r="I144" s="118">
        <v>15</v>
      </c>
      <c r="J144" s="118">
        <v>15</v>
      </c>
      <c r="K144" s="21">
        <v>15</v>
      </c>
      <c r="L144" s="21">
        <v>15</v>
      </c>
      <c r="M144" s="21">
        <v>15</v>
      </c>
    </row>
    <row r="145" spans="1:13" ht="12.75">
      <c r="A145" s="115" t="s">
        <v>222</v>
      </c>
      <c r="B145" s="116"/>
      <c r="C145" s="116"/>
      <c r="D145" s="116"/>
      <c r="E145" s="316"/>
      <c r="F145" s="316"/>
      <c r="G145" s="316"/>
      <c r="H145" s="116"/>
      <c r="I145" s="116"/>
      <c r="J145" s="116"/>
      <c r="L145" s="21"/>
      <c r="M145" s="21">
        <v>22</v>
      </c>
    </row>
    <row r="146" spans="1:13" ht="12.75">
      <c r="A146" s="115" t="s">
        <v>223</v>
      </c>
      <c r="B146" s="116"/>
      <c r="C146" s="116"/>
      <c r="D146" s="116"/>
      <c r="E146" s="116">
        <v>33</v>
      </c>
      <c r="F146" s="116">
        <v>32</v>
      </c>
      <c r="G146" s="116">
        <v>32</v>
      </c>
      <c r="H146" s="116">
        <v>32</v>
      </c>
      <c r="I146" s="116">
        <v>32</v>
      </c>
      <c r="J146" s="116">
        <v>32</v>
      </c>
      <c r="K146" s="21">
        <v>32</v>
      </c>
      <c r="L146" s="21">
        <v>32</v>
      </c>
      <c r="M146" s="21">
        <v>32</v>
      </c>
    </row>
    <row r="147" spans="1:13" ht="12.75">
      <c r="A147" s="115" t="s">
        <v>224</v>
      </c>
      <c r="B147" s="116">
        <v>142</v>
      </c>
      <c r="C147" s="116">
        <v>142</v>
      </c>
      <c r="D147" s="116">
        <v>142</v>
      </c>
      <c r="E147" s="116">
        <v>142</v>
      </c>
      <c r="F147" s="116">
        <v>142</v>
      </c>
      <c r="G147" s="116">
        <v>142</v>
      </c>
      <c r="H147" s="116">
        <v>142</v>
      </c>
      <c r="I147" s="116">
        <v>142</v>
      </c>
      <c r="J147" s="116">
        <v>141</v>
      </c>
      <c r="K147" s="21">
        <v>141</v>
      </c>
      <c r="L147" s="21">
        <v>141</v>
      </c>
      <c r="M147" s="21">
        <v>141</v>
      </c>
    </row>
    <row r="148" spans="1:13" ht="12.75">
      <c r="A148" s="115" t="s">
        <v>225</v>
      </c>
      <c r="B148" s="116">
        <v>140</v>
      </c>
      <c r="C148" s="116">
        <v>140</v>
      </c>
      <c r="D148" s="116">
        <v>140</v>
      </c>
      <c r="E148" s="116">
        <v>140</v>
      </c>
      <c r="F148" s="116">
        <v>140</v>
      </c>
      <c r="G148" s="116">
        <v>140</v>
      </c>
      <c r="H148" s="116">
        <v>140</v>
      </c>
      <c r="I148" s="116">
        <v>140</v>
      </c>
      <c r="J148" s="116">
        <v>140</v>
      </c>
      <c r="K148" s="21">
        <v>140</v>
      </c>
      <c r="L148" s="21">
        <v>140</v>
      </c>
      <c r="M148" s="21">
        <v>140</v>
      </c>
    </row>
    <row r="149" spans="1:13" ht="12.75">
      <c r="A149" s="115" t="s">
        <v>226</v>
      </c>
      <c r="B149" s="116"/>
      <c r="C149" s="116"/>
      <c r="D149" s="116"/>
      <c r="E149" s="116">
        <v>50</v>
      </c>
      <c r="F149" s="116" t="s">
        <v>89</v>
      </c>
      <c r="G149" s="116" t="s">
        <v>89</v>
      </c>
      <c r="H149" s="116" t="s">
        <v>89</v>
      </c>
      <c r="I149" s="116" t="s">
        <v>89</v>
      </c>
      <c r="J149" s="116" t="s">
        <v>89</v>
      </c>
      <c r="K149" s="116" t="s">
        <v>89</v>
      </c>
      <c r="L149" s="116" t="s">
        <v>89</v>
      </c>
      <c r="M149" s="116" t="s">
        <v>89</v>
      </c>
    </row>
    <row r="150" spans="1:13" ht="12.75">
      <c r="A150" s="115" t="s">
        <v>227</v>
      </c>
      <c r="B150" s="116">
        <v>32</v>
      </c>
      <c r="C150" s="116">
        <v>32</v>
      </c>
      <c r="D150" s="116">
        <v>28</v>
      </c>
      <c r="E150" s="116" t="s">
        <v>89</v>
      </c>
      <c r="F150" s="116" t="s">
        <v>89</v>
      </c>
      <c r="G150" s="116" t="s">
        <v>89</v>
      </c>
      <c r="H150" s="116" t="s">
        <v>89</v>
      </c>
      <c r="I150" s="116" t="s">
        <v>89</v>
      </c>
      <c r="J150" s="116" t="s">
        <v>89</v>
      </c>
      <c r="K150" s="116" t="s">
        <v>89</v>
      </c>
      <c r="L150" s="116" t="s">
        <v>89</v>
      </c>
      <c r="M150" s="116" t="s">
        <v>89</v>
      </c>
    </row>
    <row r="151" spans="1:13" ht="12.75">
      <c r="A151" s="115" t="s">
        <v>228</v>
      </c>
      <c r="B151" s="116">
        <v>256</v>
      </c>
      <c r="C151" s="116">
        <v>224</v>
      </c>
      <c r="D151" s="116">
        <v>224</v>
      </c>
      <c r="E151" s="116" t="s">
        <v>89</v>
      </c>
      <c r="F151" s="116" t="s">
        <v>89</v>
      </c>
      <c r="G151" s="116" t="s">
        <v>89</v>
      </c>
      <c r="H151" s="116" t="s">
        <v>89</v>
      </c>
      <c r="I151" s="116" t="s">
        <v>89</v>
      </c>
      <c r="J151" s="116" t="s">
        <v>89</v>
      </c>
      <c r="K151" s="21" t="s">
        <v>89</v>
      </c>
      <c r="L151" s="21" t="s">
        <v>89</v>
      </c>
      <c r="M151" s="21" t="s">
        <v>89</v>
      </c>
    </row>
    <row r="152" spans="1:13" ht="12.75">
      <c r="A152" s="115" t="s">
        <v>229</v>
      </c>
      <c r="B152" s="116"/>
      <c r="C152" s="116"/>
      <c r="D152" s="116"/>
      <c r="E152" s="316"/>
      <c r="F152" s="316"/>
      <c r="G152" s="316"/>
      <c r="H152" s="116">
        <v>15</v>
      </c>
      <c r="I152" s="116">
        <v>15</v>
      </c>
      <c r="J152" s="116">
        <v>15</v>
      </c>
      <c r="K152" s="21">
        <v>15</v>
      </c>
      <c r="L152" s="21">
        <v>15</v>
      </c>
      <c r="M152" s="21">
        <v>15</v>
      </c>
    </row>
    <row r="153" spans="1:13" ht="12.75">
      <c r="A153" s="115" t="s">
        <v>230</v>
      </c>
      <c r="B153" s="116">
        <v>20</v>
      </c>
      <c r="C153" s="116">
        <v>20</v>
      </c>
      <c r="D153" s="116">
        <v>20</v>
      </c>
      <c r="E153" s="116">
        <v>20</v>
      </c>
      <c r="F153" s="116" t="s">
        <v>89</v>
      </c>
      <c r="G153" s="116" t="s">
        <v>89</v>
      </c>
      <c r="H153" s="116" t="s">
        <v>89</v>
      </c>
      <c r="I153" s="116" t="s">
        <v>89</v>
      </c>
      <c r="J153" s="116" t="s">
        <v>89</v>
      </c>
      <c r="K153" s="21" t="s">
        <v>89</v>
      </c>
      <c r="L153" s="21" t="s">
        <v>89</v>
      </c>
      <c r="M153" s="21" t="s">
        <v>89</v>
      </c>
    </row>
    <row r="154" spans="1:13" ht="12.75">
      <c r="A154" s="115" t="s">
        <v>231</v>
      </c>
      <c r="B154" s="116">
        <v>15</v>
      </c>
      <c r="C154" s="116">
        <v>15</v>
      </c>
      <c r="D154" s="116">
        <v>15</v>
      </c>
      <c r="E154" s="116">
        <v>15</v>
      </c>
      <c r="F154" s="116">
        <v>15</v>
      </c>
      <c r="G154" s="116">
        <v>15</v>
      </c>
      <c r="H154" s="116" t="s">
        <v>89</v>
      </c>
      <c r="I154" s="116" t="s">
        <v>89</v>
      </c>
      <c r="J154" s="116" t="s">
        <v>89</v>
      </c>
      <c r="K154" s="21" t="s">
        <v>89</v>
      </c>
      <c r="L154" s="21" t="s">
        <v>89</v>
      </c>
      <c r="M154" s="21" t="s">
        <v>89</v>
      </c>
    </row>
    <row r="155" spans="1:13" ht="12.75">
      <c r="A155" s="115" t="s">
        <v>232</v>
      </c>
      <c r="B155" s="116"/>
      <c r="C155" s="116"/>
      <c r="D155" s="116"/>
      <c r="E155" s="116"/>
      <c r="F155" s="116"/>
      <c r="G155" s="116"/>
      <c r="H155" s="116"/>
      <c r="I155" s="81">
        <v>24</v>
      </c>
      <c r="J155" s="81">
        <v>24</v>
      </c>
      <c r="K155" s="21">
        <v>24</v>
      </c>
      <c r="L155" s="21">
        <v>24</v>
      </c>
      <c r="M155" s="21">
        <v>24</v>
      </c>
    </row>
    <row r="156" spans="1:13" ht="12.75">
      <c r="A156" s="115" t="s">
        <v>233</v>
      </c>
      <c r="B156" s="118"/>
      <c r="C156" s="118"/>
      <c r="D156" s="118"/>
      <c r="E156" s="118">
        <v>75</v>
      </c>
      <c r="F156" s="118">
        <v>75</v>
      </c>
      <c r="G156" s="118">
        <v>75</v>
      </c>
      <c r="H156" s="118">
        <v>75</v>
      </c>
      <c r="I156" s="86">
        <v>75</v>
      </c>
      <c r="J156" s="86">
        <v>75</v>
      </c>
      <c r="K156" s="21">
        <v>75</v>
      </c>
      <c r="L156" s="21">
        <v>75</v>
      </c>
      <c r="M156" s="21">
        <v>75</v>
      </c>
    </row>
    <row r="157" spans="1:13" ht="12.75">
      <c r="A157" s="115" t="s">
        <v>234</v>
      </c>
      <c r="B157" s="118"/>
      <c r="C157" s="118"/>
      <c r="D157" s="118"/>
      <c r="E157" s="118"/>
      <c r="F157" s="118"/>
      <c r="G157" s="118"/>
      <c r="H157" s="118"/>
      <c r="I157" s="86"/>
      <c r="J157" s="86"/>
      <c r="L157" s="21">
        <v>62</v>
      </c>
      <c r="M157" s="21">
        <v>62</v>
      </c>
    </row>
    <row r="158" spans="1:13" ht="12.75">
      <c r="A158" s="115" t="s">
        <v>235</v>
      </c>
      <c r="B158" s="116"/>
      <c r="C158" s="116"/>
      <c r="D158" s="116">
        <v>60</v>
      </c>
      <c r="E158" s="116">
        <v>60</v>
      </c>
      <c r="F158" s="116">
        <v>60</v>
      </c>
      <c r="G158" s="116">
        <v>60</v>
      </c>
      <c r="H158" s="116">
        <v>60</v>
      </c>
      <c r="I158" s="116">
        <v>60</v>
      </c>
      <c r="J158" s="116">
        <v>60</v>
      </c>
      <c r="K158" s="21">
        <v>60</v>
      </c>
      <c r="L158" s="21">
        <v>60</v>
      </c>
      <c r="M158" s="21">
        <v>118</v>
      </c>
    </row>
    <row r="159" spans="1:13" ht="12.75">
      <c r="A159" s="115" t="s">
        <v>236</v>
      </c>
      <c r="B159" s="116"/>
      <c r="C159" s="116"/>
      <c r="D159" s="116"/>
      <c r="E159" s="316"/>
      <c r="F159" s="116">
        <v>112</v>
      </c>
      <c r="G159" s="116">
        <v>112</v>
      </c>
      <c r="H159" s="116">
        <v>112</v>
      </c>
      <c r="I159" s="116">
        <v>112</v>
      </c>
      <c r="J159" s="116">
        <v>112</v>
      </c>
      <c r="K159" s="21">
        <v>112</v>
      </c>
      <c r="L159" s="21">
        <v>112</v>
      </c>
      <c r="M159" s="21">
        <v>112</v>
      </c>
    </row>
    <row r="160" spans="1:13" ht="12.75">
      <c r="A160" s="115" t="s">
        <v>237</v>
      </c>
      <c r="B160" s="116">
        <v>15</v>
      </c>
      <c r="C160" s="116">
        <v>15</v>
      </c>
      <c r="D160" s="116">
        <v>15</v>
      </c>
      <c r="E160" s="116">
        <v>15</v>
      </c>
      <c r="F160" s="116">
        <v>14</v>
      </c>
      <c r="G160" s="116">
        <v>14</v>
      </c>
      <c r="H160" s="116">
        <v>14</v>
      </c>
      <c r="I160" s="116">
        <v>14</v>
      </c>
      <c r="J160" s="116">
        <v>15</v>
      </c>
      <c r="K160" s="21" t="s">
        <v>89</v>
      </c>
      <c r="L160" s="21" t="s">
        <v>89</v>
      </c>
      <c r="M160" s="21" t="s">
        <v>89</v>
      </c>
    </row>
    <row r="161" spans="1:13" ht="12.75">
      <c r="A161" s="115" t="s">
        <v>238</v>
      </c>
      <c r="B161" s="116">
        <v>600</v>
      </c>
      <c r="C161" s="116">
        <v>600</v>
      </c>
      <c r="D161" s="116">
        <v>600</v>
      </c>
      <c r="E161" s="116">
        <v>600</v>
      </c>
      <c r="F161" s="116">
        <v>600</v>
      </c>
      <c r="G161" s="116">
        <v>600</v>
      </c>
      <c r="H161" s="116">
        <v>600</v>
      </c>
      <c r="I161" s="116">
        <v>600</v>
      </c>
      <c r="J161" s="116">
        <v>598</v>
      </c>
      <c r="K161" s="21">
        <v>598</v>
      </c>
      <c r="L161" s="21">
        <v>598</v>
      </c>
      <c r="M161" s="21">
        <v>598</v>
      </c>
    </row>
    <row r="162" spans="1:13" ht="12.75">
      <c r="A162" s="115" t="s">
        <v>239</v>
      </c>
      <c r="B162" s="116">
        <v>30</v>
      </c>
      <c r="C162" s="116">
        <v>30</v>
      </c>
      <c r="D162" s="116">
        <v>30</v>
      </c>
      <c r="E162" s="116">
        <v>31</v>
      </c>
      <c r="F162" s="116">
        <v>31</v>
      </c>
      <c r="G162" s="116">
        <v>31</v>
      </c>
      <c r="H162" s="116">
        <v>31</v>
      </c>
      <c r="I162" s="116">
        <v>31</v>
      </c>
      <c r="J162" s="116">
        <v>22</v>
      </c>
      <c r="K162" s="21">
        <v>22</v>
      </c>
      <c r="L162" s="21">
        <v>29</v>
      </c>
      <c r="M162" s="21">
        <v>29</v>
      </c>
    </row>
    <row r="163" spans="1:13" ht="12.75">
      <c r="A163" s="115" t="s">
        <v>240</v>
      </c>
      <c r="B163" s="116"/>
      <c r="C163" s="116"/>
      <c r="D163" s="116">
        <v>16</v>
      </c>
      <c r="E163" s="116">
        <v>16</v>
      </c>
      <c r="F163" s="116">
        <v>17</v>
      </c>
      <c r="G163" s="116">
        <v>17</v>
      </c>
      <c r="H163" s="116">
        <v>17</v>
      </c>
      <c r="I163" s="116">
        <v>17</v>
      </c>
      <c r="J163" s="116">
        <v>17</v>
      </c>
      <c r="K163" s="21" t="s">
        <v>89</v>
      </c>
      <c r="L163" s="21" t="s">
        <v>89</v>
      </c>
      <c r="M163" s="21" t="s">
        <v>89</v>
      </c>
    </row>
    <row r="164" spans="1:13" ht="12.75">
      <c r="A164" s="115" t="s">
        <v>241</v>
      </c>
      <c r="B164" s="116">
        <v>63</v>
      </c>
      <c r="C164" s="116">
        <v>63</v>
      </c>
      <c r="D164" s="116">
        <v>63</v>
      </c>
      <c r="E164" s="116">
        <v>63</v>
      </c>
      <c r="F164" s="116">
        <v>69</v>
      </c>
      <c r="G164" s="116">
        <v>69</v>
      </c>
      <c r="H164" s="116">
        <v>69</v>
      </c>
      <c r="I164" s="116">
        <v>69</v>
      </c>
      <c r="J164" s="116">
        <v>69</v>
      </c>
      <c r="K164" s="21">
        <v>69</v>
      </c>
      <c r="L164" s="21">
        <v>69</v>
      </c>
      <c r="M164" s="21">
        <v>69</v>
      </c>
    </row>
    <row r="165" spans="1:13" ht="12.75">
      <c r="A165" s="115" t="s">
        <v>242</v>
      </c>
      <c r="B165" s="116"/>
      <c r="C165" s="116"/>
      <c r="D165" s="116"/>
      <c r="E165" s="316"/>
      <c r="F165" s="116">
        <v>156</v>
      </c>
      <c r="G165" s="116">
        <v>156</v>
      </c>
      <c r="H165" s="116">
        <v>156</v>
      </c>
      <c r="I165" s="116">
        <v>156</v>
      </c>
      <c r="J165" s="116" t="s">
        <v>89</v>
      </c>
      <c r="K165" s="21" t="s">
        <v>89</v>
      </c>
      <c r="L165" s="21">
        <v>156</v>
      </c>
      <c r="M165" s="21">
        <v>156</v>
      </c>
    </row>
    <row r="166" spans="1:13" ht="12.75">
      <c r="A166" s="115" t="s">
        <v>243</v>
      </c>
      <c r="B166" s="116">
        <v>49</v>
      </c>
      <c r="C166" s="116">
        <v>94</v>
      </c>
      <c r="D166" s="116">
        <v>94</v>
      </c>
      <c r="E166" s="116">
        <v>94</v>
      </c>
      <c r="F166" s="116">
        <v>94</v>
      </c>
      <c r="G166" s="116">
        <v>94</v>
      </c>
      <c r="H166" s="116">
        <v>94</v>
      </c>
      <c r="I166" s="116">
        <v>94</v>
      </c>
      <c r="J166" s="116">
        <v>75</v>
      </c>
      <c r="K166" s="21">
        <v>75</v>
      </c>
      <c r="L166" s="21">
        <v>75</v>
      </c>
      <c r="M166" s="21">
        <v>75</v>
      </c>
    </row>
    <row r="167" spans="1:13" ht="12.75">
      <c r="A167" s="115" t="s">
        <v>244</v>
      </c>
      <c r="B167" s="116"/>
      <c r="C167" s="116"/>
      <c r="D167" s="116"/>
      <c r="E167" s="316"/>
      <c r="F167" s="316"/>
      <c r="G167" s="316"/>
      <c r="H167" s="116">
        <v>51</v>
      </c>
      <c r="I167" s="81">
        <v>51</v>
      </c>
      <c r="J167" s="81">
        <v>52</v>
      </c>
      <c r="K167" s="21">
        <v>52</v>
      </c>
      <c r="L167" s="21" t="s">
        <v>89</v>
      </c>
      <c r="M167" s="21" t="s">
        <v>89</v>
      </c>
    </row>
    <row r="168" spans="1:13" ht="12.75">
      <c r="A168" s="115" t="s">
        <v>245</v>
      </c>
      <c r="B168" s="116"/>
      <c r="C168" s="116"/>
      <c r="D168" s="116"/>
      <c r="E168" s="316"/>
      <c r="F168" s="316"/>
      <c r="G168" s="116"/>
      <c r="H168" s="116">
        <v>107</v>
      </c>
      <c r="I168" s="116">
        <v>107</v>
      </c>
      <c r="J168" s="116">
        <v>107</v>
      </c>
      <c r="K168" s="21">
        <v>107</v>
      </c>
      <c r="L168" s="21">
        <v>107</v>
      </c>
      <c r="M168" s="21">
        <v>107</v>
      </c>
    </row>
    <row r="169" spans="1:13" ht="12.75">
      <c r="A169" s="115"/>
      <c r="B169" s="116"/>
      <c r="C169" s="116"/>
      <c r="D169" s="116"/>
      <c r="E169" s="316"/>
      <c r="F169" s="316"/>
      <c r="G169" s="316"/>
      <c r="H169" s="116"/>
      <c r="I169" s="116"/>
      <c r="J169" s="116"/>
      <c r="L169" s="21"/>
    </row>
    <row r="170" spans="1:13" ht="12.75">
      <c r="A170" s="240" t="s">
        <v>137</v>
      </c>
      <c r="B170" s="241">
        <f>SUM(B171:B213)</f>
        <v>171</v>
      </c>
      <c r="C170" s="241">
        <f t="shared" ref="C170:M170" si="4">SUM(C171:C213)</f>
        <v>239</v>
      </c>
      <c r="D170" s="241">
        <f t="shared" si="4"/>
        <v>229</v>
      </c>
      <c r="E170" s="241">
        <f t="shared" si="4"/>
        <v>271</v>
      </c>
      <c r="F170" s="241">
        <f t="shared" si="4"/>
        <v>296</v>
      </c>
      <c r="G170" s="241">
        <f t="shared" si="4"/>
        <v>300</v>
      </c>
      <c r="H170" s="241">
        <f t="shared" si="4"/>
        <v>308</v>
      </c>
      <c r="I170" s="241">
        <f t="shared" si="4"/>
        <v>306</v>
      </c>
      <c r="J170" s="241">
        <f t="shared" si="4"/>
        <v>294</v>
      </c>
      <c r="K170" s="241">
        <f t="shared" si="4"/>
        <v>302</v>
      </c>
      <c r="L170" s="241">
        <f t="shared" si="4"/>
        <v>331</v>
      </c>
      <c r="M170" s="241">
        <f t="shared" si="4"/>
        <v>298</v>
      </c>
    </row>
    <row r="171" spans="1:13" ht="12.75">
      <c r="A171" s="115" t="s">
        <v>246</v>
      </c>
      <c r="B171" s="116">
        <v>5</v>
      </c>
      <c r="C171" s="116">
        <v>5</v>
      </c>
      <c r="D171" s="116">
        <v>5</v>
      </c>
      <c r="E171" s="116">
        <v>5</v>
      </c>
      <c r="F171" s="116">
        <v>5</v>
      </c>
      <c r="G171" s="116">
        <v>5</v>
      </c>
      <c r="H171" s="116">
        <v>5</v>
      </c>
      <c r="I171" s="116">
        <v>5</v>
      </c>
      <c r="J171" s="116" t="s">
        <v>89</v>
      </c>
      <c r="K171" s="21" t="s">
        <v>89</v>
      </c>
      <c r="L171" s="21" t="s">
        <v>89</v>
      </c>
      <c r="M171" s="21" t="s">
        <v>89</v>
      </c>
    </row>
    <row r="172" spans="1:13" ht="12.75">
      <c r="A172" s="115" t="s">
        <v>247</v>
      </c>
      <c r="B172" s="116">
        <v>7</v>
      </c>
      <c r="C172" s="116">
        <v>13</v>
      </c>
      <c r="D172" s="116" t="s">
        <v>248</v>
      </c>
      <c r="E172" s="116" t="s">
        <v>248</v>
      </c>
      <c r="F172" s="116" t="s">
        <v>248</v>
      </c>
      <c r="G172" s="116" t="s">
        <v>248</v>
      </c>
      <c r="H172" s="116" t="s">
        <v>248</v>
      </c>
      <c r="I172" s="116" t="s">
        <v>248</v>
      </c>
      <c r="J172" s="116" t="s">
        <v>89</v>
      </c>
      <c r="K172" s="21" t="s">
        <v>89</v>
      </c>
      <c r="L172" s="21" t="s">
        <v>89</v>
      </c>
      <c r="M172" s="21" t="s">
        <v>89</v>
      </c>
    </row>
    <row r="173" spans="1:13" ht="12.75">
      <c r="A173" s="115" t="s">
        <v>249</v>
      </c>
      <c r="B173" s="116">
        <v>13</v>
      </c>
      <c r="C173" s="116">
        <v>13</v>
      </c>
      <c r="D173" s="116">
        <v>13</v>
      </c>
      <c r="E173" s="116">
        <v>14</v>
      </c>
      <c r="F173" s="116">
        <v>13</v>
      </c>
      <c r="G173" s="116">
        <v>13</v>
      </c>
      <c r="H173" s="116">
        <v>13</v>
      </c>
      <c r="I173" s="116">
        <v>13</v>
      </c>
      <c r="J173" s="116">
        <v>14</v>
      </c>
      <c r="K173" s="21" t="s">
        <v>89</v>
      </c>
      <c r="L173" s="21" t="s">
        <v>89</v>
      </c>
      <c r="M173" s="21" t="s">
        <v>89</v>
      </c>
    </row>
    <row r="174" spans="1:13" ht="12.75">
      <c r="A174" s="115" t="s">
        <v>250</v>
      </c>
      <c r="B174" s="116"/>
      <c r="C174" s="116"/>
      <c r="D174" s="116"/>
      <c r="E174" s="116">
        <v>8</v>
      </c>
      <c r="F174" s="116">
        <v>8</v>
      </c>
      <c r="G174" s="116">
        <v>8</v>
      </c>
      <c r="H174" s="116">
        <v>8</v>
      </c>
      <c r="I174" s="116">
        <v>8</v>
      </c>
      <c r="J174" s="116">
        <v>9</v>
      </c>
      <c r="K174" s="21">
        <v>9</v>
      </c>
      <c r="L174" s="21">
        <v>9</v>
      </c>
      <c r="M174" s="21">
        <v>9</v>
      </c>
    </row>
    <row r="175" spans="1:13" ht="12.75">
      <c r="A175" s="115" t="s">
        <v>251</v>
      </c>
      <c r="B175" s="116"/>
      <c r="C175" s="116"/>
      <c r="D175" s="116"/>
      <c r="E175" s="116"/>
      <c r="F175" s="116"/>
      <c r="G175" s="116"/>
      <c r="H175" s="116"/>
      <c r="I175" s="116"/>
      <c r="J175" s="116"/>
      <c r="L175" s="21"/>
      <c r="M175" s="21">
        <v>12</v>
      </c>
    </row>
    <row r="176" spans="1:13" ht="12.75">
      <c r="A176" s="115" t="s">
        <v>252</v>
      </c>
      <c r="B176" s="116"/>
      <c r="C176" s="116"/>
      <c r="D176" s="116"/>
      <c r="E176" s="316"/>
      <c r="F176" s="316"/>
      <c r="G176" s="316"/>
      <c r="H176" s="116">
        <v>7</v>
      </c>
      <c r="I176" s="81">
        <v>7</v>
      </c>
      <c r="J176" s="81">
        <v>7</v>
      </c>
      <c r="K176" s="21">
        <v>7</v>
      </c>
      <c r="L176" s="21">
        <v>7</v>
      </c>
      <c r="M176" s="21">
        <v>7</v>
      </c>
    </row>
    <row r="177" spans="1:13" ht="12.75">
      <c r="A177" s="115" t="s">
        <v>253</v>
      </c>
      <c r="B177" s="116"/>
      <c r="C177" s="116">
        <v>9</v>
      </c>
      <c r="D177" s="116">
        <v>10</v>
      </c>
      <c r="E177" s="116">
        <v>10</v>
      </c>
      <c r="F177" s="116">
        <v>10</v>
      </c>
      <c r="G177" s="116">
        <v>10</v>
      </c>
      <c r="H177" s="116">
        <v>10</v>
      </c>
      <c r="I177" s="116">
        <v>10</v>
      </c>
      <c r="J177" s="116">
        <v>10</v>
      </c>
      <c r="K177" s="21">
        <v>10</v>
      </c>
      <c r="L177" s="21">
        <v>10</v>
      </c>
      <c r="M177" s="21">
        <v>10</v>
      </c>
    </row>
    <row r="178" spans="1:13" ht="12.75">
      <c r="A178" s="115" t="s">
        <v>254</v>
      </c>
      <c r="B178" s="116"/>
      <c r="C178" s="116">
        <v>9</v>
      </c>
      <c r="D178" s="116">
        <v>9</v>
      </c>
      <c r="E178" s="116">
        <v>9</v>
      </c>
      <c r="F178" s="116">
        <v>9</v>
      </c>
      <c r="G178" s="116">
        <v>9</v>
      </c>
      <c r="H178" s="116">
        <v>9</v>
      </c>
      <c r="I178" s="116">
        <v>9</v>
      </c>
      <c r="J178" s="116">
        <v>9</v>
      </c>
      <c r="K178" s="21">
        <v>9</v>
      </c>
      <c r="L178" s="21">
        <v>9</v>
      </c>
      <c r="M178" s="21">
        <v>9</v>
      </c>
    </row>
    <row r="179" spans="1:13" ht="12.75">
      <c r="A179" s="115" t="s">
        <v>255</v>
      </c>
      <c r="B179" s="116"/>
      <c r="C179" s="116"/>
      <c r="D179" s="116"/>
      <c r="E179" s="116"/>
      <c r="F179" s="116"/>
      <c r="G179" s="116"/>
      <c r="H179" s="116"/>
      <c r="I179" s="116"/>
      <c r="J179" s="116"/>
      <c r="L179" s="21">
        <v>9</v>
      </c>
      <c r="M179" s="21">
        <v>9</v>
      </c>
    </row>
    <row r="180" spans="1:13" ht="12.75">
      <c r="A180" s="115" t="s">
        <v>256</v>
      </c>
      <c r="B180" s="116"/>
      <c r="C180" s="116"/>
      <c r="D180" s="116">
        <v>2</v>
      </c>
      <c r="E180" s="116">
        <v>2</v>
      </c>
      <c r="F180" s="116">
        <v>5</v>
      </c>
      <c r="G180" s="116">
        <v>5</v>
      </c>
      <c r="H180" s="116">
        <v>5</v>
      </c>
      <c r="I180" s="116">
        <v>5</v>
      </c>
      <c r="J180" s="116">
        <v>5</v>
      </c>
      <c r="K180" s="21">
        <v>5</v>
      </c>
      <c r="L180" s="21">
        <v>5</v>
      </c>
      <c r="M180" s="21">
        <v>5</v>
      </c>
    </row>
    <row r="181" spans="1:13" ht="12.75">
      <c r="A181" s="115" t="s">
        <v>257</v>
      </c>
      <c r="B181" s="116">
        <v>9</v>
      </c>
      <c r="C181" s="116">
        <v>9</v>
      </c>
      <c r="D181" s="116">
        <v>9</v>
      </c>
      <c r="E181" s="116">
        <v>9</v>
      </c>
      <c r="F181" s="116">
        <v>9</v>
      </c>
      <c r="G181" s="116">
        <v>9</v>
      </c>
      <c r="H181" s="116">
        <v>9</v>
      </c>
      <c r="I181" s="116">
        <v>9</v>
      </c>
      <c r="J181" s="116">
        <v>9</v>
      </c>
      <c r="K181" s="21">
        <v>9</v>
      </c>
      <c r="L181" s="21">
        <v>9</v>
      </c>
      <c r="M181" s="21">
        <v>9</v>
      </c>
    </row>
    <row r="182" spans="1:13" ht="12.75">
      <c r="A182" s="115" t="s">
        <v>258</v>
      </c>
      <c r="B182" s="116"/>
      <c r="C182" s="116"/>
      <c r="D182" s="116"/>
      <c r="E182" s="116">
        <v>12</v>
      </c>
      <c r="F182" s="116">
        <v>14</v>
      </c>
      <c r="G182" s="116">
        <v>14</v>
      </c>
      <c r="H182" s="116">
        <v>14</v>
      </c>
      <c r="I182" s="116">
        <v>14</v>
      </c>
      <c r="J182" s="116">
        <v>12</v>
      </c>
      <c r="K182" s="21">
        <v>12</v>
      </c>
      <c r="L182" s="21">
        <v>12</v>
      </c>
      <c r="M182" s="21">
        <v>12</v>
      </c>
    </row>
    <row r="183" spans="1:13" ht="12.75">
      <c r="A183" s="115" t="s">
        <v>259</v>
      </c>
      <c r="B183" s="116"/>
      <c r="C183" s="116">
        <v>5</v>
      </c>
      <c r="D183" s="116">
        <v>5</v>
      </c>
      <c r="E183" s="116">
        <v>6</v>
      </c>
      <c r="F183" s="116">
        <v>6</v>
      </c>
      <c r="G183" s="116">
        <v>6</v>
      </c>
      <c r="H183" s="116">
        <v>6</v>
      </c>
      <c r="I183" s="116">
        <v>6</v>
      </c>
      <c r="J183" s="116">
        <v>7</v>
      </c>
      <c r="K183" s="21">
        <v>7</v>
      </c>
      <c r="L183" s="21">
        <v>7</v>
      </c>
      <c r="M183" s="21">
        <v>7</v>
      </c>
    </row>
    <row r="184" spans="1:13" ht="12.75">
      <c r="A184" s="115" t="s">
        <v>260</v>
      </c>
      <c r="B184" s="116"/>
      <c r="C184" s="116"/>
      <c r="D184" s="116"/>
      <c r="E184" s="116">
        <v>14</v>
      </c>
      <c r="F184" s="116">
        <v>14</v>
      </c>
      <c r="G184" s="116">
        <v>14</v>
      </c>
      <c r="H184" s="116">
        <v>14</v>
      </c>
      <c r="I184" s="116">
        <v>14</v>
      </c>
      <c r="J184" s="116">
        <v>14</v>
      </c>
      <c r="K184" s="21" t="s">
        <v>89</v>
      </c>
      <c r="L184" s="21" t="s">
        <v>89</v>
      </c>
      <c r="M184" s="21" t="s">
        <v>89</v>
      </c>
    </row>
    <row r="185" spans="1:13" ht="12.75">
      <c r="A185" s="115" t="s">
        <v>261</v>
      </c>
      <c r="B185" s="116"/>
      <c r="C185" s="116"/>
      <c r="D185" s="116"/>
      <c r="E185" s="116"/>
      <c r="F185" s="116">
        <v>16</v>
      </c>
      <c r="G185" s="116">
        <v>16</v>
      </c>
      <c r="H185" s="116">
        <v>16</v>
      </c>
      <c r="I185" s="21" t="s">
        <v>89</v>
      </c>
      <c r="J185" s="21" t="s">
        <v>89</v>
      </c>
      <c r="K185" s="21" t="s">
        <v>89</v>
      </c>
      <c r="L185" s="21" t="s">
        <v>89</v>
      </c>
      <c r="M185" s="21" t="s">
        <v>89</v>
      </c>
    </row>
    <row r="186" spans="1:13" ht="12.75">
      <c r="A186" s="115" t="s">
        <v>262</v>
      </c>
      <c r="B186" s="116">
        <v>13</v>
      </c>
      <c r="C186" s="116">
        <v>13</v>
      </c>
      <c r="D186" s="116">
        <v>13</v>
      </c>
      <c r="E186" s="116">
        <v>17</v>
      </c>
      <c r="F186" s="116">
        <v>17</v>
      </c>
      <c r="G186" s="116">
        <v>17</v>
      </c>
      <c r="H186" s="116">
        <v>17</v>
      </c>
      <c r="I186" s="116">
        <v>17</v>
      </c>
      <c r="J186" s="116">
        <v>17</v>
      </c>
      <c r="K186" s="21">
        <v>17</v>
      </c>
      <c r="L186" s="21">
        <v>17</v>
      </c>
      <c r="M186" s="21">
        <v>17</v>
      </c>
    </row>
    <row r="187" spans="1:13" ht="12.75">
      <c r="A187" s="115" t="s">
        <v>263</v>
      </c>
      <c r="B187" s="116"/>
      <c r="C187" s="116"/>
      <c r="D187" s="116"/>
      <c r="E187" s="316"/>
      <c r="F187" s="316"/>
      <c r="G187" s="116">
        <v>5</v>
      </c>
      <c r="H187" s="116">
        <v>5</v>
      </c>
      <c r="I187" s="81">
        <v>5</v>
      </c>
      <c r="J187" s="81">
        <v>5</v>
      </c>
      <c r="K187" s="21">
        <v>5</v>
      </c>
      <c r="L187" s="21">
        <v>5</v>
      </c>
      <c r="M187" s="21">
        <v>5</v>
      </c>
    </row>
    <row r="188" spans="1:13" ht="12.75">
      <c r="A188" s="115" t="s">
        <v>264</v>
      </c>
      <c r="B188" s="116"/>
      <c r="C188" s="116">
        <v>13</v>
      </c>
      <c r="D188" s="116">
        <v>13</v>
      </c>
      <c r="E188" s="116">
        <v>13</v>
      </c>
      <c r="F188" s="116">
        <v>13</v>
      </c>
      <c r="G188" s="116">
        <v>13</v>
      </c>
      <c r="H188" s="116">
        <v>13</v>
      </c>
      <c r="I188" s="116">
        <v>13</v>
      </c>
      <c r="J188" s="116">
        <v>13</v>
      </c>
      <c r="K188" s="21">
        <v>13</v>
      </c>
      <c r="L188" s="21">
        <v>13</v>
      </c>
      <c r="M188" s="21" t="s">
        <v>89</v>
      </c>
    </row>
    <row r="189" spans="1:13" ht="12.75">
      <c r="A189" s="115" t="s">
        <v>265</v>
      </c>
      <c r="B189" s="116">
        <v>8</v>
      </c>
      <c r="C189" s="116">
        <v>8</v>
      </c>
      <c r="D189" s="116">
        <v>8</v>
      </c>
      <c r="E189" s="116">
        <v>9</v>
      </c>
      <c r="F189" s="116">
        <v>13</v>
      </c>
      <c r="G189" s="116">
        <v>13</v>
      </c>
      <c r="H189" s="116">
        <v>13</v>
      </c>
      <c r="I189" s="116">
        <v>13</v>
      </c>
      <c r="J189" s="116">
        <v>13</v>
      </c>
      <c r="K189" s="21">
        <v>13</v>
      </c>
      <c r="L189" s="21">
        <v>13</v>
      </c>
      <c r="M189" s="21">
        <v>13</v>
      </c>
    </row>
    <row r="190" spans="1:13" ht="12.75">
      <c r="A190" s="115" t="s">
        <v>266</v>
      </c>
      <c r="B190" s="116"/>
      <c r="C190" s="116"/>
      <c r="D190" s="116"/>
      <c r="E190" s="116"/>
      <c r="F190" s="116"/>
      <c r="G190" s="116"/>
      <c r="H190" s="116"/>
      <c r="I190" s="116">
        <v>10</v>
      </c>
      <c r="J190" s="116">
        <v>10</v>
      </c>
      <c r="K190" s="21">
        <v>10</v>
      </c>
      <c r="L190" s="21">
        <v>10</v>
      </c>
      <c r="M190" s="21">
        <v>10</v>
      </c>
    </row>
    <row r="191" spans="1:13" ht="12.75">
      <c r="A191" s="115" t="s">
        <v>267</v>
      </c>
      <c r="B191" s="116">
        <v>13</v>
      </c>
      <c r="C191" s="116">
        <v>13</v>
      </c>
      <c r="D191" s="116">
        <v>13</v>
      </c>
      <c r="E191" s="116">
        <v>13</v>
      </c>
      <c r="F191" s="116">
        <v>13</v>
      </c>
      <c r="G191" s="116">
        <v>13</v>
      </c>
      <c r="H191" s="116">
        <v>13</v>
      </c>
      <c r="I191" s="116">
        <v>13</v>
      </c>
      <c r="J191" s="116">
        <v>13</v>
      </c>
      <c r="K191" s="21">
        <v>13</v>
      </c>
      <c r="L191" s="21">
        <v>13</v>
      </c>
      <c r="M191" s="21" t="s">
        <v>89</v>
      </c>
    </row>
    <row r="192" spans="1:13" ht="12.75">
      <c r="A192" s="115" t="s">
        <v>268</v>
      </c>
      <c r="B192" s="116">
        <v>16</v>
      </c>
      <c r="C192" s="116">
        <v>16</v>
      </c>
      <c r="D192" s="116">
        <v>16</v>
      </c>
      <c r="E192" s="116">
        <v>16</v>
      </c>
      <c r="F192" s="116">
        <v>16</v>
      </c>
      <c r="G192" s="116">
        <v>16</v>
      </c>
      <c r="H192" s="116">
        <v>16</v>
      </c>
      <c r="I192" s="116">
        <v>16</v>
      </c>
      <c r="J192" s="116">
        <v>16</v>
      </c>
      <c r="K192" s="21">
        <v>16</v>
      </c>
      <c r="L192" s="21">
        <v>16</v>
      </c>
      <c r="M192" s="21">
        <v>16</v>
      </c>
    </row>
    <row r="193" spans="1:13" ht="12.75">
      <c r="A193" s="115" t="s">
        <v>269</v>
      </c>
      <c r="B193" s="116"/>
      <c r="C193" s="116"/>
      <c r="D193" s="116"/>
      <c r="E193" s="116">
        <v>13</v>
      </c>
      <c r="F193" s="116">
        <v>13</v>
      </c>
      <c r="G193" s="116">
        <v>13</v>
      </c>
      <c r="H193" s="116">
        <v>13</v>
      </c>
      <c r="I193" s="116">
        <v>13</v>
      </c>
      <c r="J193" s="116">
        <v>13</v>
      </c>
      <c r="K193" s="21">
        <v>13</v>
      </c>
      <c r="L193" s="21">
        <v>13</v>
      </c>
      <c r="M193" s="21">
        <v>13</v>
      </c>
    </row>
    <row r="194" spans="1:13" ht="12.75">
      <c r="A194" s="115" t="s">
        <v>270</v>
      </c>
      <c r="B194" s="116"/>
      <c r="C194" s="116"/>
      <c r="D194" s="116"/>
      <c r="E194" s="316"/>
      <c r="F194" s="316"/>
      <c r="G194" s="316"/>
      <c r="H194" s="116">
        <v>9</v>
      </c>
      <c r="I194" s="81">
        <v>9</v>
      </c>
      <c r="J194" s="81">
        <v>10</v>
      </c>
      <c r="K194" s="21">
        <v>10</v>
      </c>
      <c r="L194" s="21">
        <v>10</v>
      </c>
      <c r="M194" s="21" t="s">
        <v>89</v>
      </c>
    </row>
    <row r="195" spans="1:13" ht="12.75">
      <c r="A195" s="115" t="s">
        <v>271</v>
      </c>
      <c r="B195" s="116"/>
      <c r="C195" s="116"/>
      <c r="D195" s="116"/>
      <c r="E195" s="116"/>
      <c r="F195" s="116"/>
      <c r="G195" s="116"/>
      <c r="H195" s="116"/>
      <c r="I195" s="116"/>
      <c r="J195" s="116"/>
      <c r="K195" s="21">
        <v>24</v>
      </c>
      <c r="L195" s="21">
        <v>24</v>
      </c>
      <c r="M195" s="21">
        <v>24</v>
      </c>
    </row>
    <row r="196" spans="1:13" ht="12.75">
      <c r="A196" s="115" t="s">
        <v>272</v>
      </c>
      <c r="B196" s="116">
        <v>9</v>
      </c>
      <c r="C196" s="116">
        <v>9</v>
      </c>
      <c r="D196" s="116">
        <v>9</v>
      </c>
      <c r="E196" s="116">
        <v>9</v>
      </c>
      <c r="F196" s="116">
        <v>10</v>
      </c>
      <c r="G196" s="116">
        <v>9</v>
      </c>
      <c r="H196" s="116">
        <v>9</v>
      </c>
      <c r="I196" s="116">
        <v>9</v>
      </c>
      <c r="J196" s="116">
        <v>10</v>
      </c>
      <c r="K196" s="21">
        <v>10</v>
      </c>
      <c r="L196" s="21">
        <v>8</v>
      </c>
      <c r="M196" s="21">
        <v>8</v>
      </c>
    </row>
    <row r="197" spans="1:13" ht="12.75">
      <c r="A197" s="115" t="s">
        <v>273</v>
      </c>
      <c r="B197" s="116">
        <v>9</v>
      </c>
      <c r="C197" s="116">
        <v>9</v>
      </c>
      <c r="D197" s="116">
        <v>9</v>
      </c>
      <c r="E197" s="116">
        <v>9</v>
      </c>
      <c r="F197" s="81" t="s">
        <v>89</v>
      </c>
      <c r="G197" s="81" t="s">
        <v>89</v>
      </c>
      <c r="H197" s="81" t="s">
        <v>89</v>
      </c>
      <c r="I197" s="81" t="s">
        <v>89</v>
      </c>
      <c r="J197" s="81" t="s">
        <v>89</v>
      </c>
      <c r="K197" s="81" t="s">
        <v>89</v>
      </c>
      <c r="L197" s="81" t="s">
        <v>89</v>
      </c>
      <c r="M197" s="81" t="s">
        <v>89</v>
      </c>
    </row>
    <row r="198" spans="1:13" ht="12.75">
      <c r="A198" s="115" t="s">
        <v>274</v>
      </c>
      <c r="B198" s="116"/>
      <c r="C198" s="116">
        <v>6</v>
      </c>
      <c r="D198" s="116">
        <v>6</v>
      </c>
      <c r="E198" s="116">
        <v>6</v>
      </c>
      <c r="F198" s="81" t="s">
        <v>89</v>
      </c>
      <c r="G198" s="81" t="s">
        <v>89</v>
      </c>
      <c r="H198" s="81" t="s">
        <v>89</v>
      </c>
      <c r="I198" s="81" t="s">
        <v>89</v>
      </c>
      <c r="J198" s="81" t="s">
        <v>89</v>
      </c>
      <c r="K198" s="81" t="s">
        <v>89</v>
      </c>
      <c r="L198" s="81" t="s">
        <v>89</v>
      </c>
      <c r="M198" s="81" t="s">
        <v>89</v>
      </c>
    </row>
    <row r="199" spans="1:13" ht="12.75">
      <c r="A199" s="115" t="s">
        <v>275</v>
      </c>
      <c r="B199" s="116"/>
      <c r="C199" s="116"/>
      <c r="D199" s="116"/>
      <c r="E199" s="116"/>
      <c r="F199" s="116"/>
      <c r="G199" s="116"/>
      <c r="H199" s="116"/>
      <c r="I199" s="116">
        <v>14</v>
      </c>
      <c r="J199" s="116">
        <v>14</v>
      </c>
      <c r="K199" s="21">
        <v>14</v>
      </c>
      <c r="L199" s="21">
        <v>14</v>
      </c>
      <c r="M199" s="21">
        <v>14</v>
      </c>
    </row>
    <row r="200" spans="1:13" ht="12.75">
      <c r="A200" s="115" t="s">
        <v>276</v>
      </c>
      <c r="B200" s="116"/>
      <c r="C200" s="116"/>
      <c r="D200" s="116"/>
      <c r="E200" s="116"/>
      <c r="F200" s="116"/>
      <c r="G200" s="116"/>
      <c r="H200" s="116"/>
      <c r="I200" s="81"/>
      <c r="J200" s="81"/>
      <c r="L200" s="21">
        <v>10</v>
      </c>
      <c r="M200" s="21">
        <v>10</v>
      </c>
    </row>
    <row r="201" spans="1:13" ht="12.75">
      <c r="A201" s="115" t="s">
        <v>277</v>
      </c>
      <c r="B201" s="116">
        <v>8</v>
      </c>
      <c r="C201" s="116">
        <v>8</v>
      </c>
      <c r="D201" s="116">
        <v>8</v>
      </c>
      <c r="E201" s="116">
        <v>8</v>
      </c>
      <c r="F201" s="116">
        <v>8</v>
      </c>
      <c r="G201" s="116">
        <v>8</v>
      </c>
      <c r="H201" s="116">
        <v>8</v>
      </c>
      <c r="I201" s="116">
        <v>8</v>
      </c>
      <c r="J201" s="116">
        <v>8</v>
      </c>
      <c r="K201" s="21">
        <v>8</v>
      </c>
      <c r="L201" s="21">
        <v>8</v>
      </c>
      <c r="M201" s="21">
        <v>8</v>
      </c>
    </row>
    <row r="202" spans="1:13" ht="12.75">
      <c r="A202" s="115" t="s">
        <v>278</v>
      </c>
      <c r="B202" s="116">
        <v>9</v>
      </c>
      <c r="C202" s="116">
        <v>9</v>
      </c>
      <c r="D202" s="116">
        <v>9</v>
      </c>
      <c r="E202" s="116">
        <v>10</v>
      </c>
      <c r="F202" s="116">
        <v>10</v>
      </c>
      <c r="G202" s="116">
        <v>10</v>
      </c>
      <c r="H202" s="116">
        <v>10</v>
      </c>
      <c r="I202" s="81" t="s">
        <v>89</v>
      </c>
      <c r="J202" s="81" t="s">
        <v>89</v>
      </c>
      <c r="K202" s="81" t="s">
        <v>89</v>
      </c>
      <c r="L202" s="81" t="s">
        <v>89</v>
      </c>
      <c r="M202" s="81" t="s">
        <v>89</v>
      </c>
    </row>
    <row r="203" spans="1:13" ht="12.75">
      <c r="A203" s="115" t="s">
        <v>279</v>
      </c>
      <c r="B203" s="116"/>
      <c r="C203" s="116"/>
      <c r="D203" s="116"/>
      <c r="E203" s="116"/>
      <c r="F203" s="116"/>
      <c r="G203" s="116"/>
      <c r="H203" s="116"/>
      <c r="I203" s="81"/>
      <c r="J203" s="81"/>
      <c r="K203" s="21">
        <v>12</v>
      </c>
      <c r="L203" s="21">
        <v>12</v>
      </c>
      <c r="M203" s="21">
        <v>12</v>
      </c>
    </row>
    <row r="204" spans="1:13" ht="12.75">
      <c r="A204" s="115" t="s">
        <v>280</v>
      </c>
      <c r="B204" s="116">
        <v>12</v>
      </c>
      <c r="C204" s="116">
        <v>14</v>
      </c>
      <c r="D204" s="116">
        <v>14</v>
      </c>
      <c r="E204" s="116">
        <v>14</v>
      </c>
      <c r="F204" s="116">
        <v>14</v>
      </c>
      <c r="G204" s="116">
        <v>14</v>
      </c>
      <c r="H204" s="81" t="s">
        <v>89</v>
      </c>
      <c r="I204" s="81" t="s">
        <v>89</v>
      </c>
      <c r="J204" s="81" t="s">
        <v>89</v>
      </c>
      <c r="K204" s="81" t="s">
        <v>89</v>
      </c>
      <c r="L204" s="81" t="s">
        <v>89</v>
      </c>
      <c r="M204" s="81" t="s">
        <v>89</v>
      </c>
    </row>
    <row r="205" spans="1:13" ht="12.75">
      <c r="A205" s="115" t="s">
        <v>281</v>
      </c>
      <c r="B205" s="116">
        <v>10</v>
      </c>
      <c r="C205" s="116">
        <v>10</v>
      </c>
      <c r="D205" s="116">
        <v>10</v>
      </c>
      <c r="E205" s="116">
        <v>10</v>
      </c>
      <c r="F205" s="116">
        <v>10</v>
      </c>
      <c r="G205" s="116">
        <v>10</v>
      </c>
      <c r="H205" s="116">
        <v>10</v>
      </c>
      <c r="I205" s="116">
        <v>10</v>
      </c>
      <c r="J205" s="116" t="s">
        <v>89</v>
      </c>
      <c r="K205" s="21" t="s">
        <v>89</v>
      </c>
      <c r="L205" s="21" t="s">
        <v>89</v>
      </c>
      <c r="M205" s="21" t="s">
        <v>89</v>
      </c>
    </row>
    <row r="206" spans="1:13" ht="12.75">
      <c r="A206" s="115" t="s">
        <v>282</v>
      </c>
      <c r="B206" s="116">
        <v>16</v>
      </c>
      <c r="C206" s="116">
        <v>16</v>
      </c>
      <c r="D206" s="116">
        <v>16</v>
      </c>
      <c r="E206" s="116">
        <v>16</v>
      </c>
      <c r="F206" s="116">
        <v>16</v>
      </c>
      <c r="G206" s="116">
        <v>16</v>
      </c>
      <c r="H206" s="116">
        <v>16</v>
      </c>
      <c r="I206" s="116">
        <v>16</v>
      </c>
      <c r="J206" s="116">
        <v>15</v>
      </c>
      <c r="K206" s="21">
        <v>15</v>
      </c>
      <c r="L206" s="21">
        <v>15</v>
      </c>
      <c r="M206" s="21">
        <v>15</v>
      </c>
    </row>
    <row r="207" spans="1:13" ht="12.75">
      <c r="A207" s="115" t="s">
        <v>283</v>
      </c>
      <c r="B207" s="116"/>
      <c r="C207" s="116">
        <v>13</v>
      </c>
      <c r="D207" s="116">
        <v>13</v>
      </c>
      <c r="E207" s="81" t="s">
        <v>89</v>
      </c>
      <c r="F207" s="81" t="s">
        <v>89</v>
      </c>
      <c r="G207" s="81" t="s">
        <v>89</v>
      </c>
      <c r="H207" s="81" t="s">
        <v>89</v>
      </c>
      <c r="I207" s="81" t="s">
        <v>89</v>
      </c>
      <c r="J207" s="81" t="s">
        <v>89</v>
      </c>
      <c r="K207" s="81" t="s">
        <v>89</v>
      </c>
      <c r="L207" s="81" t="s">
        <v>89</v>
      </c>
      <c r="M207" s="81" t="s">
        <v>89</v>
      </c>
    </row>
    <row r="208" spans="1:13" ht="12.75">
      <c r="A208" s="115" t="s">
        <v>284</v>
      </c>
      <c r="B208" s="116">
        <v>7</v>
      </c>
      <c r="C208" s="116">
        <v>11</v>
      </c>
      <c r="D208" s="116">
        <v>11</v>
      </c>
      <c r="E208" s="116">
        <v>11</v>
      </c>
      <c r="F208" s="116">
        <v>11</v>
      </c>
      <c r="G208" s="116">
        <v>11</v>
      </c>
      <c r="H208" s="116">
        <v>11</v>
      </c>
      <c r="I208" s="116">
        <v>11</v>
      </c>
      <c r="J208" s="116">
        <v>11</v>
      </c>
      <c r="K208" s="21">
        <v>11</v>
      </c>
      <c r="L208" s="21">
        <v>11</v>
      </c>
      <c r="M208" s="21">
        <v>11</v>
      </c>
    </row>
    <row r="209" spans="1:13" ht="12.75">
      <c r="A209" s="115" t="s">
        <v>285</v>
      </c>
      <c r="B209" s="116"/>
      <c r="C209" s="116"/>
      <c r="D209" s="116"/>
      <c r="E209" s="316"/>
      <c r="F209" s="316"/>
      <c r="G209" s="316"/>
      <c r="H209" s="116">
        <v>6</v>
      </c>
      <c r="I209" s="81">
        <v>6</v>
      </c>
      <c r="J209" s="81">
        <v>6</v>
      </c>
      <c r="K209" s="21">
        <v>6</v>
      </c>
      <c r="L209" s="21">
        <v>6</v>
      </c>
      <c r="M209" s="21">
        <v>6</v>
      </c>
    </row>
    <row r="210" spans="1:13" ht="12.75">
      <c r="A210" s="115" t="s">
        <v>286</v>
      </c>
      <c r="B210" s="116"/>
      <c r="C210" s="116">
        <v>8</v>
      </c>
      <c r="D210" s="116">
        <v>8</v>
      </c>
      <c r="E210" s="116">
        <v>8</v>
      </c>
      <c r="F210" s="116">
        <v>8</v>
      </c>
      <c r="G210" s="116">
        <v>8</v>
      </c>
      <c r="H210" s="116">
        <v>8</v>
      </c>
      <c r="I210" s="116">
        <v>8</v>
      </c>
      <c r="J210" s="116">
        <v>9</v>
      </c>
      <c r="K210" s="21">
        <v>9</v>
      </c>
      <c r="L210" s="21">
        <v>9</v>
      </c>
      <c r="M210" s="21" t="s">
        <v>89</v>
      </c>
    </row>
    <row r="211" spans="1:13" ht="12.75">
      <c r="A211" s="115" t="s">
        <v>287</v>
      </c>
      <c r="B211" s="116"/>
      <c r="C211" s="116"/>
      <c r="D211" s="116"/>
      <c r="E211" s="116"/>
      <c r="F211" s="116"/>
      <c r="G211" s="116"/>
      <c r="H211" s="116"/>
      <c r="I211" s="116"/>
      <c r="J211" s="116"/>
      <c r="L211" s="21">
        <v>12</v>
      </c>
      <c r="M211" s="21">
        <v>12</v>
      </c>
    </row>
    <row r="212" spans="1:13" ht="12.75">
      <c r="A212" s="115" t="s">
        <v>288</v>
      </c>
      <c r="B212" s="116">
        <v>7</v>
      </c>
      <c r="C212" s="116" t="s">
        <v>89</v>
      </c>
      <c r="D212" s="116" t="s">
        <v>89</v>
      </c>
      <c r="E212" s="116" t="s">
        <v>89</v>
      </c>
      <c r="F212" s="116" t="s">
        <v>89</v>
      </c>
      <c r="G212" s="116" t="s">
        <v>89</v>
      </c>
      <c r="H212" s="116" t="s">
        <v>89</v>
      </c>
      <c r="I212" s="116" t="s">
        <v>89</v>
      </c>
      <c r="J212" s="116" t="s">
        <v>89</v>
      </c>
      <c r="K212" s="21" t="s">
        <v>89</v>
      </c>
      <c r="L212" s="21" t="s">
        <v>89</v>
      </c>
      <c r="M212" s="21" t="s">
        <v>89</v>
      </c>
    </row>
    <row r="213" spans="1:13" ht="12.75">
      <c r="A213" s="115" t="s">
        <v>289</v>
      </c>
      <c r="B213" s="116"/>
      <c r="C213" s="116"/>
      <c r="D213" s="116"/>
      <c r="E213" s="116"/>
      <c r="F213" s="116">
        <v>15</v>
      </c>
      <c r="G213" s="116">
        <v>15</v>
      </c>
      <c r="H213" s="116">
        <v>15</v>
      </c>
      <c r="I213" s="116">
        <v>15</v>
      </c>
      <c r="J213" s="116">
        <v>15</v>
      </c>
      <c r="K213" s="21">
        <v>15</v>
      </c>
      <c r="L213" s="21">
        <v>15</v>
      </c>
      <c r="M213" s="21">
        <v>15</v>
      </c>
    </row>
    <row r="214" spans="1:13" ht="12.75">
      <c r="A214" s="115"/>
      <c r="B214" s="116"/>
      <c r="C214" s="116"/>
      <c r="D214" s="116"/>
      <c r="E214" s="116"/>
      <c r="F214" s="116"/>
      <c r="G214" s="116"/>
      <c r="H214" s="116"/>
      <c r="I214" s="116"/>
      <c r="J214" s="116"/>
      <c r="L214" s="21"/>
    </row>
    <row r="215" spans="1:13" ht="12.75">
      <c r="A215" s="240" t="s">
        <v>290</v>
      </c>
      <c r="B215" s="241">
        <f>SUM(B216:B245)</f>
        <v>961</v>
      </c>
      <c r="C215" s="241">
        <f t="shared" ref="C215:M215" si="5">SUM(C216:C245)</f>
        <v>1031</v>
      </c>
      <c r="D215" s="241">
        <f t="shared" si="5"/>
        <v>1066</v>
      </c>
      <c r="E215" s="241">
        <f t="shared" si="5"/>
        <v>1085</v>
      </c>
      <c r="F215" s="241">
        <f t="shared" si="5"/>
        <v>1013</v>
      </c>
      <c r="G215" s="241">
        <f t="shared" si="5"/>
        <v>1026</v>
      </c>
      <c r="H215" s="241">
        <f t="shared" si="5"/>
        <v>866</v>
      </c>
      <c r="I215" s="241">
        <f t="shared" si="5"/>
        <v>896</v>
      </c>
      <c r="J215" s="241">
        <f t="shared" si="5"/>
        <v>842</v>
      </c>
      <c r="K215" s="241">
        <f t="shared" si="5"/>
        <v>755</v>
      </c>
      <c r="L215" s="241">
        <f t="shared" si="5"/>
        <v>807</v>
      </c>
      <c r="M215" s="241">
        <f t="shared" si="5"/>
        <v>802</v>
      </c>
    </row>
    <row r="216" spans="1:13" ht="12.75">
      <c r="A216" s="115" t="s">
        <v>291</v>
      </c>
      <c r="B216" s="116">
        <v>48</v>
      </c>
      <c r="C216" s="116">
        <v>48</v>
      </c>
      <c r="D216" s="116">
        <v>48</v>
      </c>
      <c r="E216" s="116">
        <v>48</v>
      </c>
      <c r="F216" s="116">
        <v>48</v>
      </c>
      <c r="G216" s="116">
        <v>48</v>
      </c>
      <c r="H216" s="116">
        <v>48</v>
      </c>
      <c r="I216" s="116">
        <v>48</v>
      </c>
      <c r="J216" s="116" t="s">
        <v>89</v>
      </c>
      <c r="K216" s="116" t="s">
        <v>89</v>
      </c>
      <c r="L216" s="116" t="s">
        <v>89</v>
      </c>
      <c r="M216" s="116" t="s">
        <v>89</v>
      </c>
    </row>
    <row r="217" spans="1:13" ht="12.75">
      <c r="A217" s="115" t="s">
        <v>292</v>
      </c>
      <c r="B217" s="116">
        <v>33</v>
      </c>
      <c r="C217" s="116" t="s">
        <v>89</v>
      </c>
      <c r="D217" s="116" t="s">
        <v>89</v>
      </c>
      <c r="E217" s="116" t="s">
        <v>89</v>
      </c>
      <c r="F217" s="116" t="s">
        <v>89</v>
      </c>
      <c r="G217" s="116" t="s">
        <v>89</v>
      </c>
      <c r="H217" s="116" t="s">
        <v>89</v>
      </c>
      <c r="I217" s="116" t="s">
        <v>89</v>
      </c>
      <c r="J217" s="116" t="s">
        <v>89</v>
      </c>
      <c r="K217" s="116" t="s">
        <v>89</v>
      </c>
      <c r="L217" s="116" t="s">
        <v>89</v>
      </c>
      <c r="M217" s="116" t="s">
        <v>89</v>
      </c>
    </row>
    <row r="218" spans="1:13" ht="12.75">
      <c r="A218" s="115" t="s">
        <v>293</v>
      </c>
      <c r="B218" s="118">
        <v>52</v>
      </c>
      <c r="C218" s="118">
        <v>52</v>
      </c>
      <c r="D218" s="118">
        <v>52</v>
      </c>
      <c r="E218" s="118">
        <v>52</v>
      </c>
      <c r="F218" s="118">
        <v>51</v>
      </c>
      <c r="G218" s="118">
        <v>51</v>
      </c>
      <c r="H218" s="116" t="s">
        <v>89</v>
      </c>
      <c r="I218" s="116" t="s">
        <v>89</v>
      </c>
      <c r="J218" s="116" t="s">
        <v>89</v>
      </c>
      <c r="K218" s="116" t="s">
        <v>89</v>
      </c>
      <c r="L218" s="116" t="s">
        <v>89</v>
      </c>
      <c r="M218" s="116" t="s">
        <v>89</v>
      </c>
    </row>
    <row r="219" spans="1:13" ht="12.75">
      <c r="A219" s="115" t="s">
        <v>294</v>
      </c>
      <c r="B219" s="116">
        <v>44</v>
      </c>
      <c r="C219" s="116">
        <v>75</v>
      </c>
      <c r="D219" s="116">
        <v>75</v>
      </c>
      <c r="E219" s="116">
        <v>75</v>
      </c>
      <c r="F219" s="116" t="s">
        <v>198</v>
      </c>
      <c r="G219" s="116" t="s">
        <v>198</v>
      </c>
      <c r="H219" s="116" t="s">
        <v>89</v>
      </c>
      <c r="I219" s="116" t="s">
        <v>89</v>
      </c>
      <c r="J219" s="116" t="s">
        <v>89</v>
      </c>
      <c r="K219" s="116" t="s">
        <v>89</v>
      </c>
      <c r="L219" s="116" t="s">
        <v>89</v>
      </c>
      <c r="M219" s="116" t="s">
        <v>89</v>
      </c>
    </row>
    <row r="220" spans="1:13" ht="12.75">
      <c r="A220" s="115" t="s">
        <v>295</v>
      </c>
      <c r="B220" s="116">
        <v>38</v>
      </c>
      <c r="C220" s="116">
        <v>38</v>
      </c>
      <c r="D220" s="116">
        <v>38</v>
      </c>
      <c r="E220" s="116">
        <v>38</v>
      </c>
      <c r="F220" s="116">
        <v>38</v>
      </c>
      <c r="G220" s="116">
        <v>38</v>
      </c>
      <c r="H220" s="116" t="s">
        <v>89</v>
      </c>
      <c r="I220" s="116" t="s">
        <v>89</v>
      </c>
      <c r="J220" s="116" t="s">
        <v>89</v>
      </c>
      <c r="K220" s="116" t="s">
        <v>89</v>
      </c>
      <c r="L220" s="116" t="s">
        <v>89</v>
      </c>
      <c r="M220" s="116" t="s">
        <v>89</v>
      </c>
    </row>
    <row r="221" spans="1:13" ht="12.75">
      <c r="A221" s="115" t="s">
        <v>296</v>
      </c>
      <c r="B221" s="116">
        <v>19</v>
      </c>
      <c r="C221" s="116">
        <v>19</v>
      </c>
      <c r="D221" s="116">
        <v>19</v>
      </c>
      <c r="E221" s="116">
        <v>19</v>
      </c>
      <c r="F221" s="116">
        <v>19</v>
      </c>
      <c r="G221" s="116">
        <v>19</v>
      </c>
      <c r="H221" s="116" t="s">
        <v>89</v>
      </c>
      <c r="I221" s="116" t="s">
        <v>89</v>
      </c>
      <c r="J221" s="116" t="s">
        <v>89</v>
      </c>
      <c r="K221" s="116" t="s">
        <v>89</v>
      </c>
      <c r="L221" s="116" t="s">
        <v>89</v>
      </c>
      <c r="M221" s="116" t="s">
        <v>89</v>
      </c>
    </row>
    <row r="222" spans="1:13" ht="12.75">
      <c r="A222" s="115" t="s">
        <v>187</v>
      </c>
      <c r="B222" s="116">
        <v>17</v>
      </c>
      <c r="C222" s="116">
        <v>21</v>
      </c>
      <c r="D222" s="116">
        <v>21</v>
      </c>
      <c r="E222" s="116">
        <v>26</v>
      </c>
      <c r="F222" s="116">
        <v>26</v>
      </c>
      <c r="G222" s="116">
        <v>26</v>
      </c>
      <c r="H222" s="116" t="s">
        <v>89</v>
      </c>
      <c r="I222" s="116" t="s">
        <v>89</v>
      </c>
      <c r="J222" s="116" t="s">
        <v>89</v>
      </c>
      <c r="K222" s="116" t="s">
        <v>89</v>
      </c>
      <c r="L222" s="116" t="s">
        <v>89</v>
      </c>
      <c r="M222" s="116" t="s">
        <v>89</v>
      </c>
    </row>
    <row r="223" spans="1:13" ht="12.75">
      <c r="A223" s="115" t="s">
        <v>297</v>
      </c>
      <c r="B223" s="116"/>
      <c r="C223" s="116">
        <v>40</v>
      </c>
      <c r="D223" s="116">
        <v>40</v>
      </c>
      <c r="E223" s="116">
        <v>40</v>
      </c>
      <c r="F223" s="116">
        <v>40</v>
      </c>
      <c r="G223" s="116">
        <v>40</v>
      </c>
      <c r="H223" s="116" t="s">
        <v>89</v>
      </c>
      <c r="I223" s="116" t="s">
        <v>89</v>
      </c>
      <c r="J223" s="116" t="s">
        <v>89</v>
      </c>
      <c r="K223" s="116" t="s">
        <v>89</v>
      </c>
      <c r="L223" s="116" t="s">
        <v>89</v>
      </c>
      <c r="M223" s="116" t="s">
        <v>89</v>
      </c>
    </row>
    <row r="224" spans="1:13" ht="12.75">
      <c r="A224" s="115" t="s">
        <v>226</v>
      </c>
      <c r="B224" s="116">
        <v>52</v>
      </c>
      <c r="C224" s="116" t="s">
        <v>89</v>
      </c>
      <c r="D224" s="116" t="s">
        <v>89</v>
      </c>
      <c r="E224" s="116" t="s">
        <v>89</v>
      </c>
      <c r="F224" s="116" t="s">
        <v>89</v>
      </c>
      <c r="G224" s="116" t="s">
        <v>89</v>
      </c>
      <c r="H224" s="116" t="s">
        <v>89</v>
      </c>
      <c r="I224" s="116" t="s">
        <v>89</v>
      </c>
      <c r="J224" s="116" t="s">
        <v>89</v>
      </c>
      <c r="K224" s="116" t="s">
        <v>89</v>
      </c>
      <c r="L224" s="116" t="s">
        <v>89</v>
      </c>
      <c r="M224" s="116" t="s">
        <v>89</v>
      </c>
    </row>
    <row r="225" spans="1:13" ht="12.75">
      <c r="A225" s="115" t="s">
        <v>298</v>
      </c>
      <c r="B225" s="116">
        <v>24</v>
      </c>
      <c r="C225" s="116">
        <v>24</v>
      </c>
      <c r="D225" s="116">
        <v>24</v>
      </c>
      <c r="E225" s="116">
        <v>24</v>
      </c>
      <c r="F225" s="116">
        <v>24</v>
      </c>
      <c r="G225" s="116">
        <v>24</v>
      </c>
      <c r="H225" s="116">
        <v>24</v>
      </c>
      <c r="I225" s="116">
        <v>24</v>
      </c>
      <c r="J225" s="116">
        <v>27</v>
      </c>
      <c r="K225" s="21">
        <v>27</v>
      </c>
      <c r="L225" s="21">
        <v>27</v>
      </c>
      <c r="M225" s="21">
        <v>27</v>
      </c>
    </row>
    <row r="226" spans="1:13" ht="12.75">
      <c r="A226" s="115" t="s">
        <v>299</v>
      </c>
      <c r="B226" s="116">
        <v>75</v>
      </c>
      <c r="C226" s="116">
        <v>75</v>
      </c>
      <c r="D226" s="116">
        <v>75</v>
      </c>
      <c r="E226" s="116">
        <v>75</v>
      </c>
      <c r="F226" s="116">
        <v>75</v>
      </c>
      <c r="G226" s="116">
        <v>75</v>
      </c>
      <c r="H226" s="116">
        <v>75</v>
      </c>
      <c r="I226" s="116">
        <v>75</v>
      </c>
      <c r="J226" s="116">
        <v>75</v>
      </c>
      <c r="K226" s="21">
        <v>75</v>
      </c>
      <c r="L226" s="21">
        <v>75</v>
      </c>
      <c r="M226" s="21">
        <v>75</v>
      </c>
    </row>
    <row r="227" spans="1:13" ht="12.75">
      <c r="A227" s="115" t="s">
        <v>300</v>
      </c>
      <c r="B227" s="116"/>
      <c r="C227" s="116">
        <v>24</v>
      </c>
      <c r="D227" s="116">
        <v>24</v>
      </c>
      <c r="E227" s="116">
        <v>24</v>
      </c>
      <c r="F227" s="116">
        <v>24</v>
      </c>
      <c r="G227" s="116">
        <v>24</v>
      </c>
      <c r="H227" s="116">
        <v>24</v>
      </c>
      <c r="I227" s="116">
        <v>24</v>
      </c>
      <c r="J227" s="116">
        <v>24</v>
      </c>
      <c r="K227" s="21">
        <v>24</v>
      </c>
      <c r="L227" s="21">
        <v>24</v>
      </c>
      <c r="M227" s="21">
        <v>24</v>
      </c>
    </row>
    <row r="228" spans="1:13" ht="12.75">
      <c r="A228" s="115" t="s">
        <v>301</v>
      </c>
      <c r="B228" s="116"/>
      <c r="C228" s="116"/>
      <c r="D228" s="116"/>
      <c r="E228" s="116"/>
      <c r="F228" s="116" t="s">
        <v>135</v>
      </c>
      <c r="G228" s="116" t="s">
        <v>135</v>
      </c>
      <c r="H228" s="116" t="s">
        <v>135</v>
      </c>
      <c r="I228" s="116">
        <v>16</v>
      </c>
      <c r="J228" s="116">
        <v>16</v>
      </c>
      <c r="K228" s="21">
        <v>16</v>
      </c>
      <c r="L228" s="21">
        <v>16</v>
      </c>
      <c r="M228" s="21">
        <v>16</v>
      </c>
    </row>
    <row r="229" spans="1:13" ht="12.75">
      <c r="A229" s="115" t="s">
        <v>302</v>
      </c>
      <c r="B229" s="116">
        <v>20</v>
      </c>
      <c r="C229" s="116">
        <v>20</v>
      </c>
      <c r="D229" s="116">
        <v>20</v>
      </c>
      <c r="E229" s="116">
        <v>20</v>
      </c>
      <c r="F229" s="116">
        <v>20</v>
      </c>
      <c r="G229" s="116">
        <v>33</v>
      </c>
      <c r="H229" s="116">
        <v>20</v>
      </c>
      <c r="I229" s="116">
        <v>33</v>
      </c>
      <c r="J229" s="116">
        <v>33</v>
      </c>
      <c r="K229" s="21">
        <v>33</v>
      </c>
      <c r="L229" s="21">
        <v>33</v>
      </c>
      <c r="M229" s="21">
        <v>49</v>
      </c>
    </row>
    <row r="230" spans="1:13" ht="12.75">
      <c r="A230" s="115" t="s">
        <v>303</v>
      </c>
      <c r="B230" s="116">
        <v>51</v>
      </c>
      <c r="C230" s="116">
        <v>75</v>
      </c>
      <c r="D230" s="116">
        <v>75</v>
      </c>
      <c r="E230" s="116">
        <v>75</v>
      </c>
      <c r="F230" s="116">
        <v>75</v>
      </c>
      <c r="G230" s="116">
        <v>75</v>
      </c>
      <c r="H230" s="116">
        <v>75</v>
      </c>
      <c r="I230" s="116">
        <v>76</v>
      </c>
      <c r="J230" s="116">
        <v>74</v>
      </c>
      <c r="K230" s="21">
        <v>74</v>
      </c>
      <c r="L230" s="21">
        <v>74</v>
      </c>
      <c r="M230" s="21">
        <v>74</v>
      </c>
    </row>
    <row r="231" spans="1:13" ht="12.75">
      <c r="A231" s="115" t="s">
        <v>304</v>
      </c>
      <c r="B231" s="116"/>
      <c r="C231" s="116"/>
      <c r="D231" s="116"/>
      <c r="E231" s="316"/>
      <c r="F231" s="316"/>
      <c r="G231" s="316"/>
      <c r="H231" s="116">
        <v>27</v>
      </c>
      <c r="I231" s="116">
        <v>27</v>
      </c>
      <c r="J231" s="116">
        <v>27</v>
      </c>
      <c r="K231" s="21">
        <v>27</v>
      </c>
      <c r="L231" s="21">
        <v>27</v>
      </c>
      <c r="M231" s="21">
        <v>27</v>
      </c>
    </row>
    <row r="232" spans="1:13" ht="12.75">
      <c r="A232" s="115" t="s">
        <v>305</v>
      </c>
      <c r="B232" s="118">
        <v>21</v>
      </c>
      <c r="C232" s="118">
        <v>21</v>
      </c>
      <c r="D232" s="118">
        <v>21</v>
      </c>
      <c r="E232" s="118">
        <v>21</v>
      </c>
      <c r="F232" s="118">
        <v>21</v>
      </c>
      <c r="G232" s="118">
        <v>21</v>
      </c>
      <c r="H232" s="118">
        <v>21</v>
      </c>
      <c r="I232" s="118">
        <v>21</v>
      </c>
      <c r="J232" s="118">
        <v>21</v>
      </c>
      <c r="K232" s="244">
        <v>21</v>
      </c>
      <c r="L232" s="244">
        <v>21</v>
      </c>
      <c r="M232" s="244" t="s">
        <v>89</v>
      </c>
    </row>
    <row r="233" spans="1:13" ht="12.75">
      <c r="A233" s="115" t="s">
        <v>306</v>
      </c>
      <c r="B233" s="116">
        <v>32</v>
      </c>
      <c r="C233" s="116">
        <v>35</v>
      </c>
      <c r="D233" s="116">
        <v>35</v>
      </c>
      <c r="E233" s="116">
        <v>35</v>
      </c>
      <c r="F233" s="116">
        <v>42</v>
      </c>
      <c r="G233" s="116">
        <v>42</v>
      </c>
      <c r="H233" s="116">
        <v>42</v>
      </c>
      <c r="I233" s="116">
        <v>42</v>
      </c>
      <c r="J233" s="116">
        <v>42</v>
      </c>
      <c r="K233" s="21">
        <v>42</v>
      </c>
      <c r="L233" s="21">
        <v>42</v>
      </c>
      <c r="M233" s="21">
        <v>42</v>
      </c>
    </row>
    <row r="234" spans="1:13" ht="12.75">
      <c r="A234" s="115" t="s">
        <v>307</v>
      </c>
      <c r="B234" s="116">
        <v>41</v>
      </c>
      <c r="C234" s="116">
        <v>41</v>
      </c>
      <c r="D234" s="116">
        <v>41</v>
      </c>
      <c r="E234" s="116">
        <v>41</v>
      </c>
      <c r="F234" s="116">
        <v>41</v>
      </c>
      <c r="G234" s="116">
        <v>41</v>
      </c>
      <c r="H234" s="116">
        <v>41</v>
      </c>
      <c r="I234" s="116">
        <v>41</v>
      </c>
      <c r="J234" s="116">
        <v>41</v>
      </c>
      <c r="K234" s="21">
        <v>41</v>
      </c>
      <c r="L234" s="21">
        <v>41</v>
      </c>
      <c r="M234" s="21">
        <v>41</v>
      </c>
    </row>
    <row r="235" spans="1:13" ht="12.75">
      <c r="A235" s="115" t="s">
        <v>308</v>
      </c>
      <c r="B235" s="116">
        <v>21</v>
      </c>
      <c r="C235" s="116">
        <v>29</v>
      </c>
      <c r="D235" s="116">
        <v>29</v>
      </c>
      <c r="E235" s="116">
        <v>34</v>
      </c>
      <c r="F235" s="116">
        <v>34</v>
      </c>
      <c r="G235" s="116">
        <v>34</v>
      </c>
      <c r="H235" s="116">
        <v>34</v>
      </c>
      <c r="I235" s="116">
        <v>34</v>
      </c>
      <c r="J235" s="116">
        <v>34</v>
      </c>
      <c r="K235" s="21">
        <v>34</v>
      </c>
      <c r="L235" s="21">
        <v>34</v>
      </c>
      <c r="M235" s="21">
        <v>34</v>
      </c>
    </row>
    <row r="236" spans="1:13" ht="12.75">
      <c r="A236" s="115" t="s">
        <v>309</v>
      </c>
      <c r="B236" s="116">
        <v>49</v>
      </c>
      <c r="C236" s="116">
        <v>49</v>
      </c>
      <c r="D236" s="116">
        <v>49</v>
      </c>
      <c r="E236" s="116">
        <v>58</v>
      </c>
      <c r="F236" s="116">
        <v>49</v>
      </c>
      <c r="G236" s="116">
        <v>49</v>
      </c>
      <c r="H236" s="116">
        <v>49</v>
      </c>
      <c r="I236" s="116">
        <v>49</v>
      </c>
      <c r="J236" s="116">
        <v>49</v>
      </c>
      <c r="K236" s="21">
        <v>49</v>
      </c>
      <c r="L236" s="21">
        <v>49</v>
      </c>
      <c r="M236" s="21">
        <v>49</v>
      </c>
    </row>
    <row r="237" spans="1:13" ht="12.75">
      <c r="A237" s="115" t="s">
        <v>310</v>
      </c>
      <c r="B237" s="116">
        <v>58</v>
      </c>
      <c r="C237" s="116">
        <v>58</v>
      </c>
      <c r="D237" s="116">
        <v>58</v>
      </c>
      <c r="E237" s="116">
        <v>58</v>
      </c>
      <c r="F237" s="116">
        <v>58</v>
      </c>
      <c r="G237" s="116">
        <v>58</v>
      </c>
      <c r="H237" s="116">
        <v>58</v>
      </c>
      <c r="I237" s="116">
        <v>58</v>
      </c>
      <c r="J237" s="116">
        <v>58</v>
      </c>
      <c r="K237" s="21" t="s">
        <v>89</v>
      </c>
      <c r="L237" s="21" t="s">
        <v>89</v>
      </c>
      <c r="M237" s="21" t="s">
        <v>89</v>
      </c>
    </row>
    <row r="238" spans="1:13" ht="12.75">
      <c r="A238" s="115" t="s">
        <v>311</v>
      </c>
      <c r="B238" s="116">
        <v>27</v>
      </c>
      <c r="C238" s="116">
        <v>35</v>
      </c>
      <c r="D238" s="116">
        <v>35</v>
      </c>
      <c r="E238" s="116">
        <v>35</v>
      </c>
      <c r="F238" s="116">
        <v>35</v>
      </c>
      <c r="G238" s="116">
        <v>35</v>
      </c>
      <c r="H238" s="116">
        <v>35</v>
      </c>
      <c r="I238" s="116">
        <v>35</v>
      </c>
      <c r="J238" s="116">
        <v>29</v>
      </c>
      <c r="K238" s="21" t="s">
        <v>89</v>
      </c>
      <c r="L238" s="21" t="s">
        <v>89</v>
      </c>
      <c r="M238" s="21" t="s">
        <v>89</v>
      </c>
    </row>
    <row r="239" spans="1:13" ht="12.75">
      <c r="A239" s="115" t="s">
        <v>312</v>
      </c>
      <c r="B239" s="116">
        <v>55</v>
      </c>
      <c r="C239" s="116">
        <v>61</v>
      </c>
      <c r="D239" s="116">
        <v>61</v>
      </c>
      <c r="E239" s="116">
        <v>61</v>
      </c>
      <c r="F239" s="116">
        <v>61</v>
      </c>
      <c r="G239" s="116">
        <v>61</v>
      </c>
      <c r="H239" s="116">
        <v>61</v>
      </c>
      <c r="I239" s="116">
        <v>61</v>
      </c>
      <c r="J239" s="116">
        <v>61</v>
      </c>
      <c r="K239" s="21">
        <v>61</v>
      </c>
      <c r="L239" s="21">
        <v>61</v>
      </c>
      <c r="M239" s="21">
        <v>61</v>
      </c>
    </row>
    <row r="240" spans="1:13" ht="12.75">
      <c r="A240" s="115" t="s">
        <v>313</v>
      </c>
      <c r="B240" s="116">
        <v>25</v>
      </c>
      <c r="C240" s="116">
        <v>24</v>
      </c>
      <c r="D240" s="116">
        <v>24</v>
      </c>
      <c r="E240" s="116">
        <v>24</v>
      </c>
      <c r="F240" s="116">
        <v>26</v>
      </c>
      <c r="G240" s="116">
        <v>26</v>
      </c>
      <c r="H240" s="116">
        <v>26</v>
      </c>
      <c r="I240" s="116">
        <v>26</v>
      </c>
      <c r="J240" s="116">
        <v>25</v>
      </c>
      <c r="K240" s="21">
        <v>25</v>
      </c>
      <c r="L240" s="21">
        <v>25</v>
      </c>
      <c r="M240" s="21">
        <v>25</v>
      </c>
    </row>
    <row r="241" spans="1:13" ht="12.75">
      <c r="A241" s="115" t="s">
        <v>314</v>
      </c>
      <c r="B241" s="116">
        <v>62</v>
      </c>
      <c r="C241" s="116">
        <v>70</v>
      </c>
      <c r="D241" s="116">
        <v>70</v>
      </c>
      <c r="E241" s="116">
        <v>70</v>
      </c>
      <c r="F241" s="116">
        <v>74</v>
      </c>
      <c r="G241" s="116">
        <v>74</v>
      </c>
      <c r="H241" s="116">
        <v>74</v>
      </c>
      <c r="I241" s="116">
        <v>74</v>
      </c>
      <c r="J241" s="116">
        <v>74</v>
      </c>
      <c r="K241" s="21">
        <v>74</v>
      </c>
      <c r="L241" s="21">
        <v>74</v>
      </c>
      <c r="M241" s="21">
        <v>74</v>
      </c>
    </row>
    <row r="242" spans="1:13" ht="12.75">
      <c r="A242" s="115" t="s">
        <v>315</v>
      </c>
      <c r="B242" s="21">
        <v>42</v>
      </c>
      <c r="C242" s="21">
        <v>42</v>
      </c>
      <c r="D242" s="21">
        <v>42</v>
      </c>
      <c r="E242" s="21">
        <v>42</v>
      </c>
      <c r="F242" s="21">
        <v>42</v>
      </c>
      <c r="G242" s="21">
        <v>42</v>
      </c>
      <c r="H242" s="21">
        <v>42</v>
      </c>
      <c r="I242" s="21">
        <v>42</v>
      </c>
      <c r="J242" s="21">
        <v>42</v>
      </c>
      <c r="K242" s="21">
        <v>42</v>
      </c>
      <c r="L242" s="21">
        <v>42</v>
      </c>
      <c r="M242" s="21">
        <v>42</v>
      </c>
    </row>
    <row r="243" spans="1:13" ht="12.75">
      <c r="A243" s="115" t="s">
        <v>316</v>
      </c>
      <c r="B243" s="116"/>
      <c r="C243" s="116"/>
      <c r="D243" s="116">
        <v>35</v>
      </c>
      <c r="E243" s="116">
        <v>35</v>
      </c>
      <c r="F243" s="116">
        <v>35</v>
      </c>
      <c r="G243" s="116">
        <v>35</v>
      </c>
      <c r="H243" s="116">
        <v>35</v>
      </c>
      <c r="I243" s="116">
        <v>35</v>
      </c>
      <c r="J243" s="116">
        <v>35</v>
      </c>
      <c r="K243" s="116">
        <v>35</v>
      </c>
      <c r="L243" s="116">
        <v>35</v>
      </c>
      <c r="M243" s="21">
        <v>35</v>
      </c>
    </row>
    <row r="244" spans="1:13" ht="12.75">
      <c r="A244" s="115" t="s">
        <v>317</v>
      </c>
      <c r="B244" s="116">
        <v>55</v>
      </c>
      <c r="C244" s="116">
        <v>55</v>
      </c>
      <c r="D244" s="116">
        <v>55</v>
      </c>
      <c r="E244" s="116">
        <v>55</v>
      </c>
      <c r="F244" s="116">
        <v>55</v>
      </c>
      <c r="G244" s="116">
        <v>55</v>
      </c>
      <c r="H244" s="116">
        <v>55</v>
      </c>
      <c r="I244" s="116">
        <v>55</v>
      </c>
      <c r="J244" s="116">
        <v>55</v>
      </c>
      <c r="K244" s="21">
        <v>55</v>
      </c>
      <c r="L244" s="21">
        <v>55</v>
      </c>
      <c r="M244" s="21">
        <v>55</v>
      </c>
    </row>
    <row r="245" spans="1:13" ht="12.75">
      <c r="A245" s="115" t="s">
        <v>318</v>
      </c>
      <c r="B245" s="116"/>
      <c r="C245" s="116"/>
      <c r="D245" s="116"/>
      <c r="E245" s="316"/>
      <c r="F245" s="116"/>
      <c r="G245" s="116"/>
      <c r="H245" s="116"/>
      <c r="I245" s="116"/>
      <c r="J245" s="116"/>
      <c r="L245" s="21">
        <v>52</v>
      </c>
      <c r="M245" s="21">
        <v>52</v>
      </c>
    </row>
    <row r="246" spans="1:13" ht="12.75">
      <c r="A246" s="115"/>
      <c r="B246" s="116"/>
      <c r="C246" s="116"/>
      <c r="D246" s="116"/>
      <c r="E246" s="316"/>
      <c r="F246" s="116"/>
      <c r="G246" s="116"/>
      <c r="H246" s="116"/>
      <c r="I246" s="116"/>
      <c r="J246" s="116"/>
      <c r="L246" s="21"/>
      <c r="M246" s="21"/>
    </row>
    <row r="247" spans="1:13" ht="12.75">
      <c r="A247" s="240" t="s">
        <v>319</v>
      </c>
      <c r="B247" s="241">
        <f>SUM(B248:B249)</f>
        <v>180</v>
      </c>
      <c r="C247" s="241">
        <f t="shared" ref="C247:M247" si="6">SUM(C248:C249)</f>
        <v>260</v>
      </c>
      <c r="D247" s="241">
        <f t="shared" si="6"/>
        <v>260</v>
      </c>
      <c r="E247" s="241">
        <f t="shared" si="6"/>
        <v>260</v>
      </c>
      <c r="F247" s="241">
        <f t="shared" si="6"/>
        <v>156</v>
      </c>
      <c r="G247" s="241">
        <f t="shared" si="6"/>
        <v>156</v>
      </c>
      <c r="H247" s="241">
        <f t="shared" si="6"/>
        <v>156</v>
      </c>
      <c r="I247" s="241">
        <f t="shared" si="6"/>
        <v>156</v>
      </c>
      <c r="J247" s="241">
        <f t="shared" si="6"/>
        <v>162</v>
      </c>
      <c r="K247" s="241">
        <f t="shared" si="6"/>
        <v>162</v>
      </c>
      <c r="L247" s="241">
        <f t="shared" si="6"/>
        <v>162</v>
      </c>
      <c r="M247" s="241">
        <f t="shared" si="6"/>
        <v>162</v>
      </c>
    </row>
    <row r="248" spans="1:13" ht="12.75">
      <c r="A248" s="115" t="s">
        <v>320</v>
      </c>
      <c r="B248" s="118">
        <v>104</v>
      </c>
      <c r="C248" s="118">
        <v>104</v>
      </c>
      <c r="D248" s="118">
        <v>104</v>
      </c>
      <c r="E248" s="118">
        <v>104</v>
      </c>
      <c r="F248" s="118" t="s">
        <v>89</v>
      </c>
      <c r="G248" s="118" t="s">
        <v>89</v>
      </c>
      <c r="H248" s="118" t="s">
        <v>89</v>
      </c>
      <c r="I248" s="118" t="s">
        <v>89</v>
      </c>
      <c r="J248" s="118" t="s">
        <v>89</v>
      </c>
      <c r="K248" s="118" t="s">
        <v>89</v>
      </c>
      <c r="L248" s="21" t="s">
        <v>89</v>
      </c>
      <c r="M248" s="21" t="s">
        <v>89</v>
      </c>
    </row>
    <row r="249" spans="1:13" ht="12.75">
      <c r="A249" s="115" t="s">
        <v>321</v>
      </c>
      <c r="B249" s="118">
        <v>76</v>
      </c>
      <c r="C249" s="118">
        <v>156</v>
      </c>
      <c r="D249" s="118">
        <v>156</v>
      </c>
      <c r="E249" s="118">
        <v>156</v>
      </c>
      <c r="F249" s="118">
        <v>156</v>
      </c>
      <c r="G249" s="118">
        <v>156</v>
      </c>
      <c r="H249" s="118">
        <v>156</v>
      </c>
      <c r="I249" s="118">
        <v>156</v>
      </c>
      <c r="J249" s="118">
        <v>162</v>
      </c>
      <c r="K249" s="21">
        <v>162</v>
      </c>
      <c r="L249" s="21">
        <v>162</v>
      </c>
      <c r="M249" s="21">
        <v>162</v>
      </c>
    </row>
    <row r="250" spans="1:13" ht="12.75">
      <c r="A250" s="35"/>
      <c r="B250" s="86"/>
      <c r="C250" s="86"/>
      <c r="D250" s="86"/>
      <c r="E250" s="35"/>
      <c r="F250" s="35"/>
      <c r="G250" s="35"/>
      <c r="H250" s="35"/>
      <c r="I250" s="35"/>
      <c r="J250" s="35"/>
    </row>
    <row r="251" spans="1:13" ht="12.75">
      <c r="A251" s="240" t="s">
        <v>162</v>
      </c>
      <c r="B251" s="241">
        <f>SUM(B252:B256)</f>
        <v>41</v>
      </c>
      <c r="C251" s="241">
        <f t="shared" ref="C251:M251" si="7">SUM(C252:C256)</f>
        <v>135</v>
      </c>
      <c r="D251" s="241">
        <f t="shared" si="7"/>
        <v>101</v>
      </c>
      <c r="E251" s="241">
        <f t="shared" si="7"/>
        <v>101</v>
      </c>
      <c r="F251" s="241">
        <f t="shared" si="7"/>
        <v>7</v>
      </c>
      <c r="G251" s="241">
        <f t="shared" si="7"/>
        <v>7</v>
      </c>
      <c r="H251" s="241">
        <f t="shared" si="7"/>
        <v>7</v>
      </c>
      <c r="I251" s="241">
        <f t="shared" si="7"/>
        <v>0</v>
      </c>
      <c r="J251" s="241">
        <f t="shared" si="7"/>
        <v>0</v>
      </c>
      <c r="K251" s="241">
        <f t="shared" si="7"/>
        <v>43</v>
      </c>
      <c r="L251" s="241">
        <f t="shared" si="7"/>
        <v>34</v>
      </c>
      <c r="M251" s="241">
        <f t="shared" si="7"/>
        <v>0</v>
      </c>
    </row>
    <row r="252" spans="1:13" s="117" customFormat="1" ht="12.75">
      <c r="A252" s="115" t="s">
        <v>322</v>
      </c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118">
        <v>34</v>
      </c>
      <c r="M252" s="118" t="s">
        <v>89</v>
      </c>
    </row>
    <row r="253" spans="1:13" ht="12.75">
      <c r="A253" s="115" t="s">
        <v>323</v>
      </c>
      <c r="B253" s="118">
        <v>34</v>
      </c>
      <c r="C253" s="118">
        <v>34</v>
      </c>
      <c r="D253" s="118" t="s">
        <v>89</v>
      </c>
      <c r="E253" s="118" t="s">
        <v>89</v>
      </c>
      <c r="F253" s="118" t="s">
        <v>89</v>
      </c>
      <c r="G253" s="118" t="s">
        <v>89</v>
      </c>
      <c r="H253" s="118" t="s">
        <v>89</v>
      </c>
      <c r="I253" s="118" t="s">
        <v>89</v>
      </c>
      <c r="J253" s="118" t="s">
        <v>89</v>
      </c>
      <c r="K253" s="118" t="s">
        <v>89</v>
      </c>
      <c r="L253" s="118" t="s">
        <v>89</v>
      </c>
      <c r="M253" s="118" t="s">
        <v>89</v>
      </c>
    </row>
    <row r="254" spans="1:13" ht="12.75">
      <c r="A254" s="115" t="s">
        <v>324</v>
      </c>
      <c r="B254" s="118">
        <v>7</v>
      </c>
      <c r="C254" s="118">
        <v>7</v>
      </c>
      <c r="D254" s="118">
        <v>7</v>
      </c>
      <c r="E254" s="118">
        <v>7</v>
      </c>
      <c r="F254" s="118">
        <v>7</v>
      </c>
      <c r="G254" s="118">
        <v>7</v>
      </c>
      <c r="H254" s="118">
        <v>7</v>
      </c>
      <c r="I254" s="118" t="s">
        <v>89</v>
      </c>
      <c r="J254" s="118" t="s">
        <v>89</v>
      </c>
      <c r="K254" s="118" t="s">
        <v>89</v>
      </c>
      <c r="L254" s="118" t="s">
        <v>89</v>
      </c>
      <c r="M254" s="118" t="s">
        <v>89</v>
      </c>
    </row>
    <row r="255" spans="1:13" ht="12.75">
      <c r="A255" s="115" t="s">
        <v>325</v>
      </c>
      <c r="B255" s="118"/>
      <c r="C255" s="118">
        <v>94</v>
      </c>
      <c r="D255" s="118">
        <v>94</v>
      </c>
      <c r="E255" s="118">
        <v>94</v>
      </c>
      <c r="F255" s="118" t="s">
        <v>89</v>
      </c>
      <c r="G255" s="118" t="s">
        <v>89</v>
      </c>
      <c r="H255" s="118" t="s">
        <v>89</v>
      </c>
      <c r="I255" s="118" t="s">
        <v>89</v>
      </c>
      <c r="J255" s="118" t="s">
        <v>89</v>
      </c>
      <c r="K255" s="118" t="s">
        <v>89</v>
      </c>
      <c r="L255" s="118" t="s">
        <v>89</v>
      </c>
      <c r="M255" s="118" t="s">
        <v>89</v>
      </c>
    </row>
    <row r="256" spans="1:13" ht="12.75">
      <c r="A256" s="115" t="s">
        <v>326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21">
        <v>43</v>
      </c>
      <c r="L256" s="118" t="s">
        <v>89</v>
      </c>
      <c r="M256" s="118" t="s">
        <v>89</v>
      </c>
    </row>
    <row r="257" spans="1:13" ht="12.75">
      <c r="A257" s="35"/>
      <c r="B257" s="86"/>
      <c r="C257" s="86"/>
      <c r="D257" s="86"/>
      <c r="E257" s="35"/>
      <c r="F257" s="35"/>
      <c r="G257" s="35"/>
      <c r="H257" s="35"/>
      <c r="I257" s="35"/>
      <c r="J257" s="35"/>
    </row>
    <row r="258" spans="1:13" ht="12.75">
      <c r="A258" s="240" t="s">
        <v>327</v>
      </c>
      <c r="B258" s="241">
        <f>SUM(B259:B264)</f>
        <v>224</v>
      </c>
      <c r="C258" s="241">
        <f t="shared" ref="C258:M258" si="8">SUM(C259:C264)</f>
        <v>240</v>
      </c>
      <c r="D258" s="241">
        <f t="shared" si="8"/>
        <v>342</v>
      </c>
      <c r="E258" s="241">
        <f t="shared" si="8"/>
        <v>405</v>
      </c>
      <c r="F258" s="241">
        <f t="shared" si="8"/>
        <v>379</v>
      </c>
      <c r="G258" s="241">
        <f t="shared" si="8"/>
        <v>379</v>
      </c>
      <c r="H258" s="241">
        <f t="shared" si="8"/>
        <v>379</v>
      </c>
      <c r="I258" s="241">
        <f t="shared" si="8"/>
        <v>302</v>
      </c>
      <c r="J258" s="241">
        <f t="shared" si="8"/>
        <v>298</v>
      </c>
      <c r="K258" s="241">
        <f t="shared" si="8"/>
        <v>298</v>
      </c>
      <c r="L258" s="241">
        <f t="shared" si="8"/>
        <v>298</v>
      </c>
      <c r="M258" s="241">
        <f t="shared" si="8"/>
        <v>240</v>
      </c>
    </row>
    <row r="259" spans="1:13" ht="12.75">
      <c r="A259" s="115" t="s">
        <v>328</v>
      </c>
      <c r="B259" s="118">
        <v>30</v>
      </c>
      <c r="C259" s="118">
        <v>30</v>
      </c>
      <c r="D259" s="118">
        <v>30</v>
      </c>
      <c r="E259" s="118">
        <v>30</v>
      </c>
      <c r="F259" s="118">
        <v>30</v>
      </c>
      <c r="G259" s="118">
        <v>30</v>
      </c>
      <c r="H259" s="116">
        <v>30</v>
      </c>
      <c r="I259" s="116">
        <v>30</v>
      </c>
      <c r="J259" s="116">
        <v>36</v>
      </c>
      <c r="K259" s="21">
        <v>36</v>
      </c>
      <c r="L259" s="21">
        <v>36</v>
      </c>
      <c r="M259" s="21">
        <v>36</v>
      </c>
    </row>
    <row r="260" spans="1:13" ht="12.75">
      <c r="A260" s="115" t="s">
        <v>329</v>
      </c>
      <c r="B260" s="118">
        <v>162</v>
      </c>
      <c r="C260" s="118">
        <v>162</v>
      </c>
      <c r="D260" s="118">
        <v>162</v>
      </c>
      <c r="E260" s="118">
        <v>162</v>
      </c>
      <c r="F260" s="118">
        <v>162</v>
      </c>
      <c r="G260" s="118">
        <v>162</v>
      </c>
      <c r="H260" s="118">
        <v>162</v>
      </c>
      <c r="I260" s="118">
        <v>162</v>
      </c>
      <c r="J260" s="118">
        <v>167</v>
      </c>
      <c r="K260" s="21">
        <v>167</v>
      </c>
      <c r="L260" s="21">
        <v>167</v>
      </c>
      <c r="M260" s="21">
        <v>167</v>
      </c>
    </row>
    <row r="261" spans="1:13" ht="12.75">
      <c r="A261" s="115" t="s">
        <v>330</v>
      </c>
      <c r="B261" s="118"/>
      <c r="C261" s="118">
        <v>16</v>
      </c>
      <c r="D261" s="118">
        <v>6</v>
      </c>
      <c r="E261" s="118">
        <v>16</v>
      </c>
      <c r="F261" s="118">
        <v>16</v>
      </c>
      <c r="G261" s="118">
        <v>16</v>
      </c>
      <c r="H261" s="118">
        <v>16</v>
      </c>
      <c r="I261" s="118">
        <v>16</v>
      </c>
      <c r="J261" s="118" t="s">
        <v>89</v>
      </c>
      <c r="K261" s="21" t="s">
        <v>89</v>
      </c>
      <c r="L261" s="118" t="s">
        <v>89</v>
      </c>
      <c r="M261" s="118" t="s">
        <v>89</v>
      </c>
    </row>
    <row r="262" spans="1:13" ht="12.75">
      <c r="A262" s="115" t="s">
        <v>331</v>
      </c>
      <c r="B262" s="118"/>
      <c r="C262" s="118"/>
      <c r="D262" s="118">
        <v>91</v>
      </c>
      <c r="E262" s="118">
        <v>91</v>
      </c>
      <c r="F262" s="118">
        <v>77</v>
      </c>
      <c r="G262" s="118">
        <v>77</v>
      </c>
      <c r="H262" s="118">
        <v>77</v>
      </c>
      <c r="I262" s="86" t="s">
        <v>89</v>
      </c>
      <c r="J262" s="86" t="s">
        <v>89</v>
      </c>
      <c r="K262" s="86" t="s">
        <v>89</v>
      </c>
      <c r="L262" s="86" t="s">
        <v>89</v>
      </c>
      <c r="M262" s="86" t="s">
        <v>89</v>
      </c>
    </row>
    <row r="263" spans="1:13" ht="12.75">
      <c r="A263" s="115" t="s">
        <v>332</v>
      </c>
      <c r="B263" s="118"/>
      <c r="C263" s="118"/>
      <c r="D263" s="118"/>
      <c r="E263" s="118">
        <v>53</v>
      </c>
      <c r="F263" s="118">
        <v>58</v>
      </c>
      <c r="G263" s="118">
        <v>58</v>
      </c>
      <c r="H263" s="118">
        <v>58</v>
      </c>
      <c r="I263" s="118">
        <v>58</v>
      </c>
      <c r="J263" s="118">
        <v>58</v>
      </c>
      <c r="K263" s="21">
        <v>58</v>
      </c>
      <c r="L263" s="21">
        <v>58</v>
      </c>
      <c r="M263" s="86" t="s">
        <v>89</v>
      </c>
    </row>
    <row r="264" spans="1:13" ht="12.75">
      <c r="A264" s="115" t="s">
        <v>333</v>
      </c>
      <c r="B264" s="118">
        <v>32</v>
      </c>
      <c r="C264" s="118">
        <v>32</v>
      </c>
      <c r="D264" s="118">
        <v>53</v>
      </c>
      <c r="E264" s="118">
        <v>53</v>
      </c>
      <c r="F264" s="118">
        <v>36</v>
      </c>
      <c r="G264" s="118">
        <v>36</v>
      </c>
      <c r="H264" s="118">
        <v>36</v>
      </c>
      <c r="I264" s="118">
        <v>36</v>
      </c>
      <c r="J264" s="118">
        <v>37</v>
      </c>
      <c r="K264" s="21">
        <v>37</v>
      </c>
      <c r="L264" s="21">
        <v>37</v>
      </c>
      <c r="M264" s="21">
        <v>37</v>
      </c>
    </row>
    <row r="265" spans="1:13" ht="12.75">
      <c r="A265" s="35"/>
      <c r="B265" s="86"/>
      <c r="C265" s="86"/>
      <c r="D265" s="86"/>
      <c r="E265" s="35"/>
      <c r="F265" s="35"/>
      <c r="G265" s="35"/>
      <c r="H265" s="35"/>
      <c r="I265" s="35"/>
      <c r="J265" s="35"/>
    </row>
    <row r="266" spans="1:13" ht="12.75">
      <c r="A266" s="242" t="s">
        <v>334</v>
      </c>
      <c r="B266" s="245">
        <f>B258+B251+B247+B215+B170+B89+B85+B81+B57+B7</f>
        <v>11066</v>
      </c>
      <c r="C266" s="245">
        <f t="shared" ref="C266:M266" si="9">C258+C251+C247+C215+C170+C89+C85+C81+C57+C7</f>
        <v>11442</v>
      </c>
      <c r="D266" s="245">
        <f t="shared" si="9"/>
        <v>11764</v>
      </c>
      <c r="E266" s="245">
        <f t="shared" si="9"/>
        <v>12854</v>
      </c>
      <c r="F266" s="245">
        <f t="shared" si="9"/>
        <v>12766</v>
      </c>
      <c r="G266" s="245">
        <f t="shared" si="9"/>
        <v>13336</v>
      </c>
      <c r="H266" s="245">
        <f t="shared" si="9"/>
        <v>13439</v>
      </c>
      <c r="I266" s="245">
        <f t="shared" si="9"/>
        <v>13417</v>
      </c>
      <c r="J266" s="245">
        <f t="shared" si="9"/>
        <v>13269</v>
      </c>
      <c r="K266" s="245">
        <f t="shared" si="9"/>
        <v>13430</v>
      </c>
      <c r="L266" s="245">
        <f t="shared" si="9"/>
        <v>14076</v>
      </c>
      <c r="M266" s="245">
        <f t="shared" si="9"/>
        <v>14388</v>
      </c>
    </row>
    <row r="267" spans="1:13" ht="12.75">
      <c r="A267" s="33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</row>
    <row r="268" spans="1:13">
      <c r="A268" s="154" t="s">
        <v>27</v>
      </c>
      <c r="L268" s="3" t="s">
        <v>135</v>
      </c>
    </row>
    <row r="269" spans="1:13">
      <c r="A269" s="154" t="s">
        <v>28</v>
      </c>
    </row>
  </sheetData>
  <mergeCells count="3">
    <mergeCell ref="A1:M1"/>
    <mergeCell ref="A2:M2"/>
    <mergeCell ref="A3:M3"/>
  </mergeCells>
  <phoneticPr fontId="35" type="noConversion"/>
  <pageMargins left="0.25" right="0.25" top="0.7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DB27-38A2-4945-96A5-CC3C9413222F}">
  <sheetPr>
    <tabColor rgb="FFC00000"/>
  </sheetPr>
  <dimension ref="A1:M23"/>
  <sheetViews>
    <sheetView showGridLines="0" workbookViewId="0">
      <selection activeCell="B20" sqref="B20:M20"/>
    </sheetView>
  </sheetViews>
  <sheetFormatPr defaultRowHeight="20.100000000000001" customHeight="1"/>
  <cols>
    <col min="1" max="1" width="23" customWidth="1"/>
    <col min="2" max="2" width="10.28515625" customWidth="1"/>
    <col min="3" max="3" width="11.7109375" customWidth="1"/>
    <col min="4" max="4" width="11.85546875" customWidth="1"/>
    <col min="5" max="12" width="9.140625" style="7"/>
  </cols>
  <sheetData>
    <row r="1" spans="1:13" ht="20.100000000000001" customHeight="1">
      <c r="A1" s="273" t="s">
        <v>335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s="13" customFormat="1" ht="20.100000000000001" customHeight="1">
      <c r="A2" s="290" t="s">
        <v>62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s="13" customFormat="1" ht="20.100000000000001" customHeight="1">
      <c r="A3" s="292" t="s">
        <v>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3" ht="20.100000000000001" customHeight="1">
      <c r="A4" s="79"/>
      <c r="B4" s="79"/>
      <c r="C4" s="79"/>
      <c r="D4" s="79"/>
      <c r="E4" s="128"/>
      <c r="F4" s="128"/>
      <c r="G4" s="128"/>
      <c r="H4" s="128"/>
      <c r="I4" s="128"/>
      <c r="J4" s="128"/>
      <c r="K4" s="128"/>
      <c r="L4" s="128"/>
      <c r="M4" s="159"/>
    </row>
    <row r="5" spans="1:13" ht="20.100000000000001" customHeight="1">
      <c r="A5" s="79"/>
      <c r="B5" s="161" t="s">
        <v>50</v>
      </c>
      <c r="C5" s="161" t="s">
        <v>2</v>
      </c>
      <c r="D5" s="161" t="s">
        <v>3</v>
      </c>
      <c r="E5" s="161" t="s">
        <v>4</v>
      </c>
      <c r="F5" s="161" t="s">
        <v>5</v>
      </c>
      <c r="G5" s="161" t="s">
        <v>51</v>
      </c>
      <c r="H5" s="161" t="s">
        <v>7</v>
      </c>
      <c r="I5" s="161" t="s">
        <v>8</v>
      </c>
      <c r="J5" s="161" t="s">
        <v>9</v>
      </c>
      <c r="K5" s="161" t="s">
        <v>10</v>
      </c>
      <c r="L5" s="161" t="s">
        <v>336</v>
      </c>
      <c r="M5" s="161" t="s">
        <v>12</v>
      </c>
    </row>
    <row r="6" spans="1:13" ht="20.100000000000001" customHeight="1">
      <c r="A6" s="9" t="s">
        <v>337</v>
      </c>
      <c r="B6" s="9"/>
      <c r="C6" s="9"/>
      <c r="D6" s="9"/>
      <c r="E6" s="128"/>
      <c r="F6" s="128"/>
      <c r="G6" s="128"/>
      <c r="H6" s="128"/>
      <c r="I6" s="128"/>
      <c r="J6" s="128"/>
      <c r="K6" s="128"/>
      <c r="L6" s="159"/>
      <c r="M6" s="159"/>
    </row>
    <row r="7" spans="1:13" ht="20.100000000000001" customHeight="1">
      <c r="A7" s="79" t="s">
        <v>338</v>
      </c>
      <c r="B7" s="128">
        <v>35</v>
      </c>
      <c r="C7" s="128">
        <v>36</v>
      </c>
      <c r="D7" s="128">
        <v>35</v>
      </c>
      <c r="E7" s="128">
        <v>36</v>
      </c>
      <c r="F7" s="128">
        <v>37</v>
      </c>
      <c r="G7" s="128">
        <v>37</v>
      </c>
      <c r="H7" s="128">
        <v>38</v>
      </c>
      <c r="I7" s="128">
        <v>38</v>
      </c>
      <c r="J7" s="128">
        <v>38</v>
      </c>
      <c r="K7" s="128">
        <v>37</v>
      </c>
      <c r="L7" s="128">
        <v>36</v>
      </c>
      <c r="M7" s="128">
        <v>38</v>
      </c>
    </row>
    <row r="8" spans="1:13" ht="20.100000000000001" customHeight="1">
      <c r="A8" s="79" t="s">
        <v>339</v>
      </c>
      <c r="B8" s="128">
        <v>16</v>
      </c>
      <c r="C8" s="128">
        <v>14</v>
      </c>
      <c r="D8" s="128">
        <v>16</v>
      </c>
      <c r="E8" s="128">
        <v>16</v>
      </c>
      <c r="F8" s="128">
        <v>17</v>
      </c>
      <c r="G8" s="128">
        <v>17</v>
      </c>
      <c r="H8" s="128">
        <v>16</v>
      </c>
      <c r="I8" s="128">
        <v>16</v>
      </c>
      <c r="J8" s="128">
        <v>15</v>
      </c>
      <c r="K8" s="128">
        <v>15</v>
      </c>
      <c r="L8" s="128">
        <v>13</v>
      </c>
      <c r="M8" s="128">
        <v>11</v>
      </c>
    </row>
    <row r="9" spans="1:13" ht="20.100000000000001" customHeight="1">
      <c r="A9" s="79" t="s">
        <v>340</v>
      </c>
      <c r="B9" s="128">
        <v>1</v>
      </c>
      <c r="C9" s="128">
        <v>1</v>
      </c>
      <c r="D9" s="128">
        <v>1</v>
      </c>
      <c r="E9" s="128">
        <v>1</v>
      </c>
      <c r="F9" s="128">
        <v>1</v>
      </c>
      <c r="G9" s="128">
        <v>1</v>
      </c>
      <c r="H9" s="128">
        <v>2</v>
      </c>
      <c r="I9" s="128">
        <v>2</v>
      </c>
      <c r="J9" s="128">
        <v>2</v>
      </c>
      <c r="K9" s="128">
        <v>2</v>
      </c>
      <c r="L9" s="128">
        <v>2</v>
      </c>
      <c r="M9" s="128">
        <v>2</v>
      </c>
    </row>
    <row r="10" spans="1:13" ht="20.100000000000001" customHeight="1">
      <c r="A10" s="79" t="s">
        <v>341</v>
      </c>
      <c r="B10" s="128">
        <v>1</v>
      </c>
      <c r="C10" s="128">
        <v>1</v>
      </c>
      <c r="D10" s="128">
        <v>1</v>
      </c>
      <c r="E10" s="128">
        <v>1</v>
      </c>
      <c r="F10" s="128">
        <v>1</v>
      </c>
      <c r="G10" s="128">
        <v>1</v>
      </c>
      <c r="H10" s="128">
        <v>1</v>
      </c>
      <c r="I10" s="128">
        <v>1</v>
      </c>
      <c r="J10" s="128">
        <v>1</v>
      </c>
      <c r="K10" s="128">
        <v>1</v>
      </c>
      <c r="L10" s="128">
        <v>0</v>
      </c>
      <c r="M10" s="128">
        <v>0</v>
      </c>
    </row>
    <row r="11" spans="1:13" ht="20.100000000000001" customHeight="1">
      <c r="A11" s="79"/>
      <c r="B11" s="79"/>
      <c r="C11" s="79"/>
      <c r="D11" s="79"/>
      <c r="E11" s="128"/>
      <c r="F11" s="128"/>
      <c r="G11" s="128"/>
      <c r="H11" s="128"/>
      <c r="I11" s="128"/>
      <c r="J11" s="128"/>
      <c r="K11" s="128" t="s">
        <v>135</v>
      </c>
      <c r="L11" s="159"/>
      <c r="M11" s="159"/>
    </row>
    <row r="12" spans="1:13" ht="20.100000000000001" customHeight="1">
      <c r="A12" s="9" t="s">
        <v>342</v>
      </c>
      <c r="B12" s="9"/>
      <c r="C12" s="9"/>
      <c r="D12" s="9"/>
      <c r="E12" s="128"/>
      <c r="F12" s="128"/>
      <c r="G12" s="128"/>
      <c r="H12" s="128"/>
      <c r="I12" s="128"/>
      <c r="J12" s="128"/>
      <c r="K12" s="128" t="s">
        <v>135</v>
      </c>
      <c r="L12" s="159"/>
      <c r="M12" s="159"/>
    </row>
    <row r="13" spans="1:13" ht="20.100000000000001" customHeight="1">
      <c r="A13" s="92" t="s">
        <v>338</v>
      </c>
      <c r="B13" s="93">
        <v>36</v>
      </c>
      <c r="C13" s="93">
        <v>36</v>
      </c>
      <c r="D13" s="93">
        <f>27+12</f>
        <v>39</v>
      </c>
      <c r="E13" s="93">
        <v>43</v>
      </c>
      <c r="F13" s="93">
        <v>46</v>
      </c>
      <c r="G13" s="93">
        <v>48</v>
      </c>
      <c r="H13" s="93">
        <v>56</v>
      </c>
      <c r="I13" s="93">
        <v>56</v>
      </c>
      <c r="J13" s="93">
        <v>54</v>
      </c>
      <c r="K13" s="93">
        <v>54</v>
      </c>
      <c r="L13" s="93">
        <v>54</v>
      </c>
      <c r="M13" s="93">
        <v>55</v>
      </c>
    </row>
    <row r="14" spans="1:13" ht="20.100000000000001" customHeight="1">
      <c r="A14" s="92" t="s">
        <v>343</v>
      </c>
      <c r="B14" s="93">
        <v>17</v>
      </c>
      <c r="C14" s="93">
        <v>22</v>
      </c>
      <c r="D14" s="93">
        <v>22</v>
      </c>
      <c r="E14" s="93">
        <v>23</v>
      </c>
      <c r="F14" s="93">
        <v>23</v>
      </c>
      <c r="G14" s="93">
        <v>24</v>
      </c>
      <c r="H14" s="93">
        <v>28</v>
      </c>
      <c r="I14" s="93">
        <v>28</v>
      </c>
      <c r="J14" s="93">
        <v>27</v>
      </c>
      <c r="K14" s="93">
        <v>25</v>
      </c>
      <c r="L14" s="93">
        <v>28</v>
      </c>
      <c r="M14" s="93">
        <v>27</v>
      </c>
    </row>
    <row r="15" spans="1:13" ht="20.100000000000001" customHeight="1">
      <c r="A15" s="79" t="s">
        <v>340</v>
      </c>
      <c r="B15" s="128">
        <v>3</v>
      </c>
      <c r="C15" s="128">
        <v>4</v>
      </c>
      <c r="D15" s="128">
        <v>5</v>
      </c>
      <c r="E15" s="128">
        <v>6</v>
      </c>
      <c r="F15" s="128">
        <v>6</v>
      </c>
      <c r="G15" s="128">
        <v>6</v>
      </c>
      <c r="H15" s="128">
        <v>6</v>
      </c>
      <c r="I15" s="128">
        <v>5</v>
      </c>
      <c r="J15" s="128">
        <v>4</v>
      </c>
      <c r="K15" s="128">
        <v>4</v>
      </c>
      <c r="L15" s="128">
        <v>4</v>
      </c>
      <c r="M15" s="128">
        <v>3</v>
      </c>
    </row>
    <row r="16" spans="1:13" ht="20.100000000000001" customHeight="1">
      <c r="A16" s="79" t="s">
        <v>341</v>
      </c>
      <c r="B16" s="128">
        <v>2</v>
      </c>
      <c r="C16" s="128">
        <v>3</v>
      </c>
      <c r="D16" s="128">
        <v>2</v>
      </c>
      <c r="E16" s="128">
        <v>2</v>
      </c>
      <c r="F16" s="128">
        <v>1</v>
      </c>
      <c r="G16" s="128">
        <v>1</v>
      </c>
      <c r="H16" s="128">
        <v>1</v>
      </c>
      <c r="I16" s="128">
        <v>1</v>
      </c>
      <c r="J16" s="128">
        <v>1</v>
      </c>
      <c r="K16" s="128">
        <v>2</v>
      </c>
      <c r="L16" s="128">
        <v>2</v>
      </c>
      <c r="M16" s="128">
        <v>0</v>
      </c>
    </row>
    <row r="17" spans="1:13" ht="20.100000000000001" customHeight="1">
      <c r="A17" s="79" t="s">
        <v>344</v>
      </c>
      <c r="B17" s="128">
        <v>2</v>
      </c>
      <c r="C17" s="128">
        <v>2</v>
      </c>
      <c r="D17" s="128">
        <v>2</v>
      </c>
      <c r="E17" s="128">
        <v>2</v>
      </c>
      <c r="F17" s="128">
        <v>1</v>
      </c>
      <c r="G17" s="128">
        <v>1</v>
      </c>
      <c r="H17" s="128">
        <v>1</v>
      </c>
      <c r="I17" s="128">
        <v>1</v>
      </c>
      <c r="J17" s="128">
        <v>1</v>
      </c>
      <c r="K17" s="128">
        <v>1</v>
      </c>
      <c r="L17" s="128">
        <v>1</v>
      </c>
      <c r="M17" s="128">
        <v>1</v>
      </c>
    </row>
    <row r="18" spans="1:13" ht="20.100000000000001" customHeight="1">
      <c r="A18" s="79" t="s">
        <v>345</v>
      </c>
      <c r="B18" s="128">
        <v>24</v>
      </c>
      <c r="C18" s="128">
        <v>24</v>
      </c>
      <c r="D18" s="128">
        <v>25</v>
      </c>
      <c r="E18" s="128">
        <v>25</v>
      </c>
      <c r="F18" s="128">
        <v>24</v>
      </c>
      <c r="G18" s="128">
        <v>23</v>
      </c>
      <c r="H18" s="128">
        <v>20</v>
      </c>
      <c r="I18" s="128">
        <v>21</v>
      </c>
      <c r="J18" s="128">
        <v>20</v>
      </c>
      <c r="K18" s="128">
        <v>18</v>
      </c>
      <c r="L18" s="128">
        <v>18</v>
      </c>
      <c r="M18" s="128">
        <v>18</v>
      </c>
    </row>
    <row r="19" spans="1:13" ht="20.100000000000001" customHeight="1">
      <c r="A19" s="79"/>
      <c r="B19" s="79"/>
      <c r="C19" s="79"/>
      <c r="D19" s="79"/>
      <c r="E19" s="128"/>
      <c r="F19" s="128"/>
      <c r="G19" s="128"/>
      <c r="H19" s="128"/>
      <c r="I19" s="128"/>
      <c r="J19" s="128"/>
      <c r="K19" s="128"/>
      <c r="L19" s="159"/>
      <c r="M19" s="159"/>
    </row>
    <row r="20" spans="1:13" ht="20.100000000000001" customHeight="1">
      <c r="A20" s="187" t="s">
        <v>346</v>
      </c>
      <c r="B20" s="318">
        <f>SUM(B7:B18)</f>
        <v>137</v>
      </c>
      <c r="C20" s="318">
        <f t="shared" ref="C20:M20" si="0">SUM(C7:C18)</f>
        <v>143</v>
      </c>
      <c r="D20" s="318">
        <f t="shared" si="0"/>
        <v>148</v>
      </c>
      <c r="E20" s="318">
        <f t="shared" si="0"/>
        <v>155</v>
      </c>
      <c r="F20" s="318">
        <f t="shared" si="0"/>
        <v>157</v>
      </c>
      <c r="G20" s="318">
        <f t="shared" si="0"/>
        <v>159</v>
      </c>
      <c r="H20" s="318">
        <f t="shared" si="0"/>
        <v>169</v>
      </c>
      <c r="I20" s="318">
        <f t="shared" si="0"/>
        <v>169</v>
      </c>
      <c r="J20" s="318">
        <f t="shared" si="0"/>
        <v>163</v>
      </c>
      <c r="K20" s="318">
        <f t="shared" si="0"/>
        <v>159</v>
      </c>
      <c r="L20" s="318">
        <f t="shared" si="0"/>
        <v>158</v>
      </c>
      <c r="M20" s="318">
        <f t="shared" si="0"/>
        <v>155</v>
      </c>
    </row>
    <row r="22" spans="1:13" ht="15" customHeight="1">
      <c r="A22" s="154" t="s">
        <v>27</v>
      </c>
      <c r="B22" s="159"/>
      <c r="C22" s="159"/>
      <c r="D22" s="159"/>
      <c r="M22" s="159"/>
    </row>
    <row r="23" spans="1:13" ht="15" customHeight="1">
      <c r="A23" s="154" t="s">
        <v>28</v>
      </c>
      <c r="B23" s="159"/>
      <c r="C23" s="159"/>
      <c r="D23" s="159"/>
      <c r="M23" s="159"/>
    </row>
  </sheetData>
  <mergeCells count="3">
    <mergeCell ref="A1:M1"/>
    <mergeCell ref="A2:M2"/>
    <mergeCell ref="A3:M3"/>
  </mergeCells>
  <phoneticPr fontId="35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6ABE-C73F-413A-9FCE-A362B643C04E}">
  <sheetPr>
    <tabColor rgb="FFC00000"/>
  </sheetPr>
  <dimension ref="A1:M22"/>
  <sheetViews>
    <sheetView showGridLines="0" workbookViewId="0">
      <selection activeCell="M19" sqref="M19"/>
    </sheetView>
  </sheetViews>
  <sheetFormatPr defaultRowHeight="20.100000000000001" customHeight="1"/>
  <cols>
    <col min="1" max="1" width="21.5703125" customWidth="1"/>
    <col min="2" max="2" width="11.28515625" customWidth="1"/>
    <col min="3" max="3" width="10.28515625" customWidth="1"/>
    <col min="4" max="4" width="10.42578125" customWidth="1"/>
    <col min="5" max="12" width="9.140625" style="7"/>
  </cols>
  <sheetData>
    <row r="1" spans="1:13" ht="20.100000000000001" customHeight="1">
      <c r="A1" s="273" t="s">
        <v>347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20.100000000000001" customHeight="1">
      <c r="A2" s="275" t="s">
        <v>348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4" spans="1:13" ht="20.100000000000001" customHeight="1">
      <c r="A4" s="159"/>
      <c r="B4" s="161" t="s">
        <v>50</v>
      </c>
      <c r="C4" s="161" t="s">
        <v>2</v>
      </c>
      <c r="D4" s="161" t="s">
        <v>3</v>
      </c>
      <c r="E4" s="161" t="s">
        <v>4</v>
      </c>
      <c r="F4" s="161" t="s">
        <v>5</v>
      </c>
      <c r="G4" s="161" t="s">
        <v>51</v>
      </c>
      <c r="H4" s="161" t="s">
        <v>7</v>
      </c>
      <c r="I4" s="161" t="s">
        <v>8</v>
      </c>
      <c r="J4" s="161" t="s">
        <v>9</v>
      </c>
      <c r="K4" s="161" t="s">
        <v>82</v>
      </c>
      <c r="L4" s="161" t="s">
        <v>11</v>
      </c>
      <c r="M4" s="161" t="s">
        <v>12</v>
      </c>
    </row>
    <row r="5" spans="1:13" ht="20.100000000000001" customHeight="1">
      <c r="A5" s="9" t="s">
        <v>337</v>
      </c>
      <c r="B5" s="9"/>
      <c r="C5" s="9"/>
      <c r="D5" s="9"/>
      <c r="J5" s="159"/>
      <c r="K5" s="159"/>
      <c r="L5" s="159"/>
      <c r="M5" s="159"/>
    </row>
    <row r="6" spans="1:13" ht="20.100000000000001" customHeight="1">
      <c r="A6" s="159" t="s">
        <v>338</v>
      </c>
      <c r="B6" s="18">
        <f>'Room Inventory'!B7</f>
        <v>5701</v>
      </c>
      <c r="C6" s="18">
        <f>'Room Inventory'!C7</f>
        <v>5766</v>
      </c>
      <c r="D6" s="18">
        <f>'Room Inventory'!D7</f>
        <v>5769</v>
      </c>
      <c r="E6" s="18">
        <f>'Room Inventory'!E7</f>
        <v>6000</v>
      </c>
      <c r="F6" s="18">
        <f>'Room Inventory'!F7</f>
        <v>5984</v>
      </c>
      <c r="G6" s="18">
        <f>'Room Inventory'!G7</f>
        <v>6283</v>
      </c>
      <c r="H6" s="18">
        <f>'Room Inventory'!H7</f>
        <v>6294</v>
      </c>
      <c r="I6" s="18">
        <f>'Room Inventory'!I7</f>
        <v>6314</v>
      </c>
      <c r="J6" s="18">
        <f>'Room Inventory'!J7</f>
        <v>6367</v>
      </c>
      <c r="K6" s="18">
        <f>'Room Inventory'!K7</f>
        <v>6443</v>
      </c>
      <c r="L6" s="18">
        <f>'Room Inventory'!K7</f>
        <v>6443</v>
      </c>
      <c r="M6" s="18">
        <f>'Room Inventory'!M7</f>
        <v>6926</v>
      </c>
    </row>
    <row r="7" spans="1:13" ht="20.100000000000001" customHeight="1">
      <c r="A7" s="159" t="s">
        <v>339</v>
      </c>
      <c r="B7" s="7">
        <f>'Room Inventory'!B57</f>
        <v>243</v>
      </c>
      <c r="C7" s="7">
        <f>'Room Inventory'!C57</f>
        <v>218</v>
      </c>
      <c r="D7" s="7">
        <f>'Room Inventory'!D57</f>
        <v>231</v>
      </c>
      <c r="E7" s="7">
        <f>'Room Inventory'!E57</f>
        <v>238</v>
      </c>
      <c r="F7" s="7">
        <f>'Room Inventory'!F57</f>
        <v>239</v>
      </c>
      <c r="G7" s="7">
        <f>'Room Inventory'!G57</f>
        <v>239</v>
      </c>
      <c r="H7" s="7">
        <f>'Room Inventory'!H57</f>
        <v>217</v>
      </c>
      <c r="I7" s="7">
        <f>'Room Inventory'!I57</f>
        <v>220</v>
      </c>
      <c r="J7" s="7">
        <f>'Room Inventory'!J57</f>
        <v>220</v>
      </c>
      <c r="K7" s="7">
        <f>'Room Inventory'!K57</f>
        <v>210</v>
      </c>
      <c r="L7" s="7">
        <f>'Room Inventory'!K57</f>
        <v>210</v>
      </c>
      <c r="M7" s="7">
        <f>'Room Inventory'!M57</f>
        <v>179</v>
      </c>
    </row>
    <row r="8" spans="1:13" ht="20.100000000000001" customHeight="1">
      <c r="A8" s="159" t="s">
        <v>340</v>
      </c>
      <c r="B8" s="7">
        <f>'Room Inventory'!B81</f>
        <v>325</v>
      </c>
      <c r="C8" s="7">
        <f>'Room Inventory'!C81</f>
        <v>325</v>
      </c>
      <c r="D8" s="7">
        <f>'Room Inventory'!D81</f>
        <v>325</v>
      </c>
      <c r="E8" s="7">
        <f>'Room Inventory'!E81</f>
        <v>325</v>
      </c>
      <c r="F8" s="7">
        <f>'Room Inventory'!F81</f>
        <v>325</v>
      </c>
      <c r="G8" s="7">
        <f>'Room Inventory'!G81</f>
        <v>325</v>
      </c>
      <c r="H8" s="7">
        <f>'Room Inventory'!H81</f>
        <v>451</v>
      </c>
      <c r="I8" s="7">
        <f>'Room Inventory'!I81</f>
        <v>451</v>
      </c>
      <c r="J8" s="7">
        <f>'Room Inventory'!J81</f>
        <v>451</v>
      </c>
      <c r="K8" s="7">
        <f>'Room Inventory'!K81</f>
        <v>451</v>
      </c>
      <c r="L8" s="7">
        <f>'Room Inventory'!K81</f>
        <v>451</v>
      </c>
      <c r="M8" s="7">
        <f>'Room Inventory'!M81</f>
        <v>547</v>
      </c>
    </row>
    <row r="9" spans="1:13" ht="20.100000000000001" customHeight="1">
      <c r="A9" s="159" t="s">
        <v>341</v>
      </c>
      <c r="B9" s="7">
        <f>'Room Inventory'!B85</f>
        <v>7</v>
      </c>
      <c r="C9" s="7">
        <f>'Room Inventory'!C85</f>
        <v>7</v>
      </c>
      <c r="D9" s="7">
        <f>'Room Inventory'!D85</f>
        <v>7</v>
      </c>
      <c r="E9" s="7">
        <f>'Room Inventory'!E85</f>
        <v>7</v>
      </c>
      <c r="F9" s="7">
        <f>'Room Inventory'!F85</f>
        <v>7</v>
      </c>
      <c r="G9" s="7">
        <f>'Room Inventory'!G85</f>
        <v>7</v>
      </c>
      <c r="H9" s="7">
        <f>'Room Inventory'!H85</f>
        <v>7</v>
      </c>
      <c r="I9" s="7">
        <f>'Room Inventory'!I85</f>
        <v>7</v>
      </c>
      <c r="J9" s="7">
        <f>'Room Inventory'!J85</f>
        <v>7</v>
      </c>
      <c r="K9" s="7">
        <f>'Room Inventory'!K85</f>
        <v>7</v>
      </c>
      <c r="L9" s="7">
        <f>'Room Inventory'!K85</f>
        <v>7</v>
      </c>
      <c r="M9" s="7">
        <f>'Room Inventory'!M85</f>
        <v>0</v>
      </c>
    </row>
    <row r="10" spans="1:13" ht="20.100000000000001" customHeight="1">
      <c r="A10" s="159"/>
      <c r="B10" s="159"/>
      <c r="C10" s="159"/>
      <c r="D10" s="159"/>
      <c r="K10" s="7" t="s">
        <v>135</v>
      </c>
      <c r="L10" s="7" t="s">
        <v>135</v>
      </c>
      <c r="M10" s="7" t="s">
        <v>135</v>
      </c>
    </row>
    <row r="11" spans="1:13" ht="20.100000000000001" customHeight="1">
      <c r="A11" s="9" t="s">
        <v>342</v>
      </c>
      <c r="B11" s="9"/>
      <c r="C11" s="9"/>
      <c r="D11" s="9"/>
      <c r="K11" s="7" t="s">
        <v>135</v>
      </c>
      <c r="L11" s="7" t="s">
        <v>135</v>
      </c>
      <c r="M11" s="7" t="s">
        <v>135</v>
      </c>
    </row>
    <row r="12" spans="1:13" ht="20.100000000000001" customHeight="1">
      <c r="A12" s="92" t="s">
        <v>338</v>
      </c>
      <c r="B12" s="8">
        <f>'Room Inventory'!B89</f>
        <v>3213</v>
      </c>
      <c r="C12" s="8">
        <f>'Room Inventory'!C89</f>
        <v>3221</v>
      </c>
      <c r="D12" s="8">
        <f>'Room Inventory'!D89</f>
        <v>3434</v>
      </c>
      <c r="E12" s="8">
        <f>'Room Inventory'!E89</f>
        <v>4162</v>
      </c>
      <c r="F12" s="8">
        <f>'Room Inventory'!F89</f>
        <v>4360</v>
      </c>
      <c r="G12" s="8">
        <f>'Room Inventory'!G89</f>
        <v>4614</v>
      </c>
      <c r="H12" s="8">
        <f>'Room Inventory'!H89</f>
        <v>4754</v>
      </c>
      <c r="I12" s="8">
        <f>'Room Inventory'!I89</f>
        <v>4765</v>
      </c>
      <c r="J12" s="8">
        <f>'Room Inventory'!J89</f>
        <v>4628</v>
      </c>
      <c r="K12" s="319">
        <f>'Room Inventory'!K89</f>
        <v>4759</v>
      </c>
      <c r="L12" s="319">
        <f>'Room Inventory'!K89</f>
        <v>4759</v>
      </c>
      <c r="M12" s="319">
        <f>'Room Inventory'!M89</f>
        <v>5234</v>
      </c>
    </row>
    <row r="13" spans="1:13" ht="20.100000000000001" customHeight="1">
      <c r="A13" s="92" t="s">
        <v>343</v>
      </c>
      <c r="B13" s="7">
        <f>'Room Inventory'!B170</f>
        <v>171</v>
      </c>
      <c r="C13" s="7">
        <f>'Room Inventory'!C170</f>
        <v>239</v>
      </c>
      <c r="D13" s="7">
        <f>'Room Inventory'!D170</f>
        <v>229</v>
      </c>
      <c r="E13" s="7">
        <f>'Room Inventory'!E170</f>
        <v>271</v>
      </c>
      <c r="F13" s="7">
        <f>'Room Inventory'!F170</f>
        <v>296</v>
      </c>
      <c r="G13" s="7">
        <f>'Room Inventory'!G170</f>
        <v>300</v>
      </c>
      <c r="H13" s="7">
        <f>'Room Inventory'!H170</f>
        <v>308</v>
      </c>
      <c r="I13" s="7">
        <f>'Room Inventory'!I170</f>
        <v>306</v>
      </c>
      <c r="J13" s="7">
        <f>'Room Inventory'!J170</f>
        <v>294</v>
      </c>
      <c r="K13" s="7">
        <f>'Room Inventory'!K170</f>
        <v>302</v>
      </c>
      <c r="L13" s="7">
        <f>'Room Inventory'!K170</f>
        <v>302</v>
      </c>
      <c r="M13" s="7">
        <f>'Room Inventory'!M170</f>
        <v>298</v>
      </c>
    </row>
    <row r="14" spans="1:13" ht="20.100000000000001" customHeight="1">
      <c r="A14" s="159" t="s">
        <v>340</v>
      </c>
      <c r="B14" s="7">
        <f>'Room Inventory'!B258</f>
        <v>224</v>
      </c>
      <c r="C14" s="7">
        <f>'Room Inventory'!C258</f>
        <v>240</v>
      </c>
      <c r="D14" s="7">
        <f>'Room Inventory'!D258</f>
        <v>342</v>
      </c>
      <c r="E14" s="7">
        <f>'Room Inventory'!E258</f>
        <v>405</v>
      </c>
      <c r="F14" s="7">
        <f>'Room Inventory'!F258</f>
        <v>379</v>
      </c>
      <c r="G14" s="7">
        <f>'Room Inventory'!G258</f>
        <v>379</v>
      </c>
      <c r="H14" s="7">
        <f>'Room Inventory'!H258</f>
        <v>379</v>
      </c>
      <c r="I14" s="7">
        <f>'Room Inventory'!I258</f>
        <v>302</v>
      </c>
      <c r="J14" s="7">
        <f>'Room Inventory'!J258</f>
        <v>298</v>
      </c>
      <c r="K14" s="7">
        <f>'Room Inventory'!K258</f>
        <v>298</v>
      </c>
      <c r="L14" s="7">
        <f>'Room Inventory'!K258</f>
        <v>298</v>
      </c>
      <c r="M14" s="7">
        <f>'Room Inventory'!M258</f>
        <v>240</v>
      </c>
    </row>
    <row r="15" spans="1:13" ht="20.100000000000001" customHeight="1">
      <c r="A15" s="159" t="s">
        <v>341</v>
      </c>
      <c r="B15" s="7">
        <f>'Room Inventory'!B251</f>
        <v>41</v>
      </c>
      <c r="C15" s="7">
        <f>'Room Inventory'!C251</f>
        <v>135</v>
      </c>
      <c r="D15" s="7">
        <f>'Room Inventory'!D251</f>
        <v>101</v>
      </c>
      <c r="E15" s="7">
        <f>'Room Inventory'!E251</f>
        <v>101</v>
      </c>
      <c r="F15" s="7">
        <f>'Room Inventory'!F251</f>
        <v>7</v>
      </c>
      <c r="G15" s="7">
        <f>'Room Inventory'!G251</f>
        <v>7</v>
      </c>
      <c r="H15" s="7">
        <f>'Room Inventory'!H251</f>
        <v>7</v>
      </c>
      <c r="I15" s="7">
        <f>'Room Inventory'!I251</f>
        <v>0</v>
      </c>
      <c r="J15" s="7">
        <f>'Room Inventory'!J251</f>
        <v>0</v>
      </c>
      <c r="K15" s="7">
        <f>'Room Inventory'!K251</f>
        <v>43</v>
      </c>
      <c r="L15" s="7">
        <f>'Room Inventory'!K251</f>
        <v>43</v>
      </c>
      <c r="M15" s="7">
        <f>'Room Inventory'!M251</f>
        <v>0</v>
      </c>
    </row>
    <row r="16" spans="1:13" ht="20.100000000000001" customHeight="1">
      <c r="A16" s="159" t="s">
        <v>344</v>
      </c>
      <c r="B16" s="7">
        <f>'Room Inventory'!B247</f>
        <v>180</v>
      </c>
      <c r="C16" s="7">
        <f>'Room Inventory'!C247</f>
        <v>260</v>
      </c>
      <c r="D16" s="7">
        <f>'Room Inventory'!D247</f>
        <v>260</v>
      </c>
      <c r="E16" s="7">
        <f>'Room Inventory'!E247</f>
        <v>260</v>
      </c>
      <c r="F16" s="7">
        <f>'Room Inventory'!F247</f>
        <v>156</v>
      </c>
      <c r="G16" s="7">
        <f>'Room Inventory'!G247</f>
        <v>156</v>
      </c>
      <c r="H16" s="7">
        <f>'Room Inventory'!H247</f>
        <v>156</v>
      </c>
      <c r="I16" s="7">
        <f>'Room Inventory'!I247</f>
        <v>156</v>
      </c>
      <c r="J16" s="7">
        <f>'Room Inventory'!J247</f>
        <v>162</v>
      </c>
      <c r="K16" s="7">
        <f>'Room Inventory'!K247</f>
        <v>162</v>
      </c>
      <c r="L16" s="7">
        <f>'Room Inventory'!K247</f>
        <v>162</v>
      </c>
      <c r="M16" s="7">
        <f>'Room Inventory'!M247</f>
        <v>162</v>
      </c>
    </row>
    <row r="17" spans="1:13" ht="20.100000000000001" customHeight="1">
      <c r="A17" s="159" t="s">
        <v>345</v>
      </c>
      <c r="B17" s="7">
        <f>'Room Inventory'!B215</f>
        <v>961</v>
      </c>
      <c r="C17" s="7">
        <f>'Room Inventory'!C215</f>
        <v>1031</v>
      </c>
      <c r="D17" s="7">
        <f>'Room Inventory'!D215</f>
        <v>1066</v>
      </c>
      <c r="E17" s="7">
        <f>'Room Inventory'!E215</f>
        <v>1085</v>
      </c>
      <c r="F17" s="7">
        <f>'Room Inventory'!F215</f>
        <v>1013</v>
      </c>
      <c r="G17" s="7">
        <f>'Room Inventory'!G215</f>
        <v>1026</v>
      </c>
      <c r="H17" s="7">
        <f>'Room Inventory'!H215</f>
        <v>866</v>
      </c>
      <c r="I17" s="7">
        <f>'Room Inventory'!I215</f>
        <v>896</v>
      </c>
      <c r="J17" s="7">
        <f>'Room Inventory'!J215</f>
        <v>842</v>
      </c>
      <c r="K17" s="7">
        <f>'Room Inventory'!K215</f>
        <v>755</v>
      </c>
      <c r="L17" s="7">
        <f>'Room Inventory'!K215</f>
        <v>755</v>
      </c>
      <c r="M17" s="7">
        <f>'Room Inventory'!M215</f>
        <v>802</v>
      </c>
    </row>
    <row r="18" spans="1:13" ht="20.100000000000001" customHeight="1">
      <c r="A18" s="159"/>
      <c r="B18" s="159"/>
      <c r="C18" s="159"/>
      <c r="D18" s="159"/>
      <c r="M18" s="7"/>
    </row>
    <row r="19" spans="1:13" ht="20.100000000000001" customHeight="1">
      <c r="A19" s="187" t="s">
        <v>349</v>
      </c>
      <c r="B19" s="248">
        <f>SUM(B6:B17)</f>
        <v>11066</v>
      </c>
      <c r="C19" s="248">
        <f t="shared" ref="C19:M19" si="0">SUM(C6:C17)</f>
        <v>11442</v>
      </c>
      <c r="D19" s="248">
        <f t="shared" si="0"/>
        <v>11764</v>
      </c>
      <c r="E19" s="248">
        <f t="shared" si="0"/>
        <v>12854</v>
      </c>
      <c r="F19" s="248">
        <f t="shared" si="0"/>
        <v>12766</v>
      </c>
      <c r="G19" s="248">
        <f t="shared" si="0"/>
        <v>13336</v>
      </c>
      <c r="H19" s="248">
        <f t="shared" si="0"/>
        <v>13439</v>
      </c>
      <c r="I19" s="248">
        <f t="shared" si="0"/>
        <v>13417</v>
      </c>
      <c r="J19" s="248">
        <f t="shared" si="0"/>
        <v>13269</v>
      </c>
      <c r="K19" s="248">
        <f t="shared" si="0"/>
        <v>13430</v>
      </c>
      <c r="L19" s="248">
        <f>SUM(L6:L17)</f>
        <v>13430</v>
      </c>
      <c r="M19" s="248">
        <f t="shared" si="0"/>
        <v>14388</v>
      </c>
    </row>
    <row r="21" spans="1:13" ht="15" customHeight="1">
      <c r="A21" s="154" t="s">
        <v>27</v>
      </c>
      <c r="B21" s="159"/>
      <c r="C21" s="159"/>
      <c r="D21" s="159"/>
      <c r="M21" s="159"/>
    </row>
    <row r="22" spans="1:13" ht="15" customHeight="1">
      <c r="A22" s="154" t="s">
        <v>28</v>
      </c>
      <c r="B22" s="159"/>
      <c r="C22" s="159"/>
      <c r="D22" s="159"/>
      <c r="M22" s="159"/>
    </row>
  </sheetData>
  <mergeCells count="2">
    <mergeCell ref="A1:M1"/>
    <mergeCell ref="A2:M2"/>
  </mergeCells>
  <phoneticPr fontId="35" type="noConversion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79C7-820C-4208-A4C0-2FEB1FB53748}">
  <sheetPr>
    <tabColor rgb="FFC00000"/>
  </sheetPr>
  <dimension ref="A1:H62"/>
  <sheetViews>
    <sheetView showGridLines="0" zoomScale="115" zoomScaleNormal="115" workbookViewId="0">
      <selection activeCell="G43" sqref="G43"/>
    </sheetView>
  </sheetViews>
  <sheetFormatPr defaultRowHeight="15"/>
  <cols>
    <col min="1" max="2" width="19" customWidth="1"/>
    <col min="3" max="3" width="16.28515625" customWidth="1"/>
    <col min="4" max="4" width="16" customWidth="1"/>
    <col min="5" max="5" width="15.140625" customWidth="1"/>
  </cols>
  <sheetData>
    <row r="1" spans="1:6" ht="19.5" thickTop="1">
      <c r="A1" s="172" t="s">
        <v>350</v>
      </c>
      <c r="B1" s="173"/>
      <c r="C1" s="173"/>
      <c r="D1" s="173"/>
      <c r="E1" s="174"/>
      <c r="F1" s="159"/>
    </row>
    <row r="2" spans="1:6" s="79" customFormat="1">
      <c r="A2" s="175" t="s">
        <v>351</v>
      </c>
      <c r="B2" s="176"/>
      <c r="C2" s="176"/>
      <c r="D2" s="176"/>
      <c r="E2" s="177"/>
    </row>
    <row r="3" spans="1:6" s="79" customFormat="1" ht="15.75" thickBot="1">
      <c r="A3" s="178" t="s">
        <v>31</v>
      </c>
      <c r="B3" s="179"/>
      <c r="C3" s="179"/>
      <c r="D3" s="179"/>
      <c r="E3" s="180"/>
    </row>
    <row r="4" spans="1:6" ht="15.75" thickTop="1">
      <c r="A4" s="36"/>
      <c r="B4" s="36"/>
      <c r="C4" s="36"/>
      <c r="D4" s="36"/>
      <c r="E4" s="36"/>
      <c r="F4" s="159"/>
    </row>
    <row r="5" spans="1:6" ht="30" customHeight="1">
      <c r="A5" s="41"/>
      <c r="B5" s="181" t="s">
        <v>352</v>
      </c>
      <c r="C5" s="181" t="s">
        <v>353</v>
      </c>
      <c r="D5" s="181" t="s">
        <v>354</v>
      </c>
      <c r="E5" s="181" t="s">
        <v>355</v>
      </c>
      <c r="F5" s="159"/>
    </row>
    <row r="6" spans="1:6">
      <c r="A6" s="41"/>
      <c r="B6" s="42"/>
      <c r="C6" s="42"/>
      <c r="D6" s="42"/>
      <c r="E6" s="42"/>
      <c r="F6" s="159"/>
    </row>
    <row r="7" spans="1:6">
      <c r="A7" s="182" t="s">
        <v>356</v>
      </c>
      <c r="B7" s="183">
        <f>SUM(B8:B9)</f>
        <v>1674092</v>
      </c>
      <c r="C7" s="183">
        <f>SUM(C8:C9)</f>
        <v>924216</v>
      </c>
      <c r="D7" s="183">
        <f>SUM(D8:D9)</f>
        <v>588844</v>
      </c>
      <c r="E7" s="183">
        <f>SUM(E8:E9)</f>
        <v>161032</v>
      </c>
      <c r="F7" s="159"/>
    </row>
    <row r="8" spans="1:6">
      <c r="A8" s="37" t="s">
        <v>357</v>
      </c>
      <c r="B8" s="38">
        <f>SUM(C8:E8)</f>
        <v>1102912</v>
      </c>
      <c r="C8" s="38">
        <v>709711</v>
      </c>
      <c r="D8" s="38">
        <v>361730</v>
      </c>
      <c r="E8" s="38">
        <v>31471</v>
      </c>
      <c r="F8" s="159"/>
    </row>
    <row r="9" spans="1:6">
      <c r="A9" s="37" t="s">
        <v>358</v>
      </c>
      <c r="B9" s="38">
        <f>SUM(C9:E9)</f>
        <v>571180</v>
      </c>
      <c r="C9" s="38">
        <v>214505</v>
      </c>
      <c r="D9" s="38">
        <v>227114</v>
      </c>
      <c r="E9" s="38">
        <v>129561</v>
      </c>
      <c r="F9" s="159"/>
    </row>
    <row r="10" spans="1:6">
      <c r="A10" s="41"/>
      <c r="B10" s="42"/>
      <c r="C10" s="42"/>
      <c r="D10" s="42"/>
      <c r="E10" s="42"/>
      <c r="F10" s="159"/>
    </row>
    <row r="11" spans="1:6" s="5" customFormat="1" ht="12.75">
      <c r="A11" s="182" t="s">
        <v>359</v>
      </c>
      <c r="B11" s="183">
        <f>SUM(B12:B13)</f>
        <v>1836377</v>
      </c>
      <c r="C11" s="183">
        <f>SUM(C12:C13)</f>
        <v>993923</v>
      </c>
      <c r="D11" s="183">
        <f>SUM(D12:D13)</f>
        <v>671151</v>
      </c>
      <c r="E11" s="183">
        <f>SUM(E12:E13)</f>
        <v>171303</v>
      </c>
      <c r="F11" s="6"/>
    </row>
    <row r="12" spans="1:6" s="5" customFormat="1" ht="12.75">
      <c r="A12" s="37" t="s">
        <v>357</v>
      </c>
      <c r="B12" s="38">
        <f>SUM(C12:E12)</f>
        <v>1250460</v>
      </c>
      <c r="C12" s="38">
        <v>807748</v>
      </c>
      <c r="D12" s="320">
        <v>411420</v>
      </c>
      <c r="E12" s="320">
        <v>31292</v>
      </c>
      <c r="F12" s="6"/>
    </row>
    <row r="13" spans="1:6" s="5" customFormat="1" ht="12.75">
      <c r="A13" s="37" t="s">
        <v>358</v>
      </c>
      <c r="B13" s="38">
        <f>SUM(C13:E13)</f>
        <v>585917</v>
      </c>
      <c r="C13" s="38">
        <v>186175</v>
      </c>
      <c r="D13" s="320">
        <v>259731</v>
      </c>
      <c r="E13" s="320">
        <v>140011</v>
      </c>
      <c r="F13" s="6"/>
    </row>
    <row r="14" spans="1:6" s="5" customFormat="1" ht="12.75">
      <c r="A14" s="39"/>
      <c r="B14" s="36"/>
      <c r="C14" s="36"/>
      <c r="D14" s="36"/>
      <c r="E14" s="36"/>
      <c r="F14" s="6"/>
    </row>
    <row r="15" spans="1:6" s="5" customFormat="1" ht="12.75">
      <c r="A15" s="182" t="s">
        <v>360</v>
      </c>
      <c r="B15" s="183">
        <f>SUM(B16:B17)</f>
        <v>1821274</v>
      </c>
      <c r="C15" s="183">
        <f>SUM(C16:C17)</f>
        <v>987323</v>
      </c>
      <c r="D15" s="183">
        <f>SUM(D16:D17)</f>
        <v>662658</v>
      </c>
      <c r="E15" s="183">
        <f>SUM(E16:E17)</f>
        <v>171293</v>
      </c>
      <c r="F15" s="6"/>
    </row>
    <row r="16" spans="1:6" s="5" customFormat="1" ht="12.75">
      <c r="A16" s="37" t="s">
        <v>357</v>
      </c>
      <c r="B16" s="38">
        <f>SUM(C16:E16)</f>
        <v>1203832</v>
      </c>
      <c r="C16" s="38">
        <v>803207</v>
      </c>
      <c r="D16" s="320">
        <v>367070</v>
      </c>
      <c r="E16" s="320">
        <v>33555</v>
      </c>
      <c r="F16" s="6"/>
    </row>
    <row r="17" spans="1:6" s="5" customFormat="1" ht="12.75">
      <c r="A17" s="37" t="s">
        <v>358</v>
      </c>
      <c r="B17" s="38">
        <f>SUM(C17:E17)</f>
        <v>617442</v>
      </c>
      <c r="C17" s="38">
        <v>184116</v>
      </c>
      <c r="D17" s="320">
        <v>295588</v>
      </c>
      <c r="E17" s="320">
        <v>137738</v>
      </c>
      <c r="F17" s="6"/>
    </row>
    <row r="18" spans="1:6">
      <c r="A18" s="43"/>
      <c r="B18" s="42"/>
      <c r="C18" s="42"/>
      <c r="D18" s="42"/>
      <c r="E18" s="42"/>
      <c r="F18" s="159"/>
    </row>
    <row r="19" spans="1:6">
      <c r="A19" s="182" t="s">
        <v>361</v>
      </c>
      <c r="B19" s="183">
        <f>SUM(B20:B21)</f>
        <v>1964963</v>
      </c>
      <c r="C19" s="183">
        <f>SUM(C20:C21)</f>
        <v>1068664</v>
      </c>
      <c r="D19" s="183">
        <f>SUM(D20:D21)</f>
        <v>714511</v>
      </c>
      <c r="E19" s="183">
        <f>SUM(E20:E21)</f>
        <v>181788</v>
      </c>
      <c r="F19" s="6"/>
    </row>
    <row r="20" spans="1:6">
      <c r="A20" s="37" t="s">
        <v>357</v>
      </c>
      <c r="B20" s="38">
        <f>SUM(C20:E20)</f>
        <v>1304610</v>
      </c>
      <c r="C20" s="38">
        <v>875211</v>
      </c>
      <c r="D20" s="320">
        <v>392413</v>
      </c>
      <c r="E20" s="320">
        <v>36986</v>
      </c>
      <c r="F20" s="6"/>
    </row>
    <row r="21" spans="1:6">
      <c r="A21" s="37" t="s">
        <v>358</v>
      </c>
      <c r="B21" s="38">
        <f>SUM(C21:E21)</f>
        <v>660353</v>
      </c>
      <c r="C21" s="38">
        <v>193453</v>
      </c>
      <c r="D21" s="320">
        <v>322098</v>
      </c>
      <c r="E21" s="320">
        <v>144802</v>
      </c>
      <c r="F21" s="6"/>
    </row>
    <row r="22" spans="1:6">
      <c r="A22" s="39"/>
      <c r="B22" s="38"/>
      <c r="C22" s="38"/>
      <c r="D22" s="320"/>
      <c r="E22" s="320"/>
      <c r="F22" s="6"/>
    </row>
    <row r="23" spans="1:6">
      <c r="A23" s="182" t="s">
        <v>362</v>
      </c>
      <c r="B23" s="183">
        <f>SUM(B24:B25)</f>
        <v>2008730</v>
      </c>
      <c r="C23" s="183">
        <f>SUM(C24:C25)</f>
        <v>1163793</v>
      </c>
      <c r="D23" s="183">
        <f>SUM(D24:D25)</f>
        <v>675193</v>
      </c>
      <c r="E23" s="183">
        <f>SUM(E24:E25)</f>
        <v>169744</v>
      </c>
      <c r="F23" s="6" t="s">
        <v>135</v>
      </c>
    </row>
    <row r="24" spans="1:6">
      <c r="A24" s="37" t="s">
        <v>357</v>
      </c>
      <c r="B24" s="38">
        <f>SUM(C24:E24)</f>
        <v>1371003</v>
      </c>
      <c r="C24" s="38">
        <v>960146</v>
      </c>
      <c r="D24" s="320">
        <v>378227</v>
      </c>
      <c r="E24" s="320">
        <v>32630</v>
      </c>
      <c r="F24" s="6"/>
    </row>
    <row r="25" spans="1:6">
      <c r="A25" s="37" t="s">
        <v>358</v>
      </c>
      <c r="B25" s="38">
        <f>SUM(C25:E25)</f>
        <v>637727</v>
      </c>
      <c r="C25" s="38">
        <v>203647</v>
      </c>
      <c r="D25" s="320">
        <v>296966</v>
      </c>
      <c r="E25" s="320">
        <v>137114</v>
      </c>
      <c r="F25" s="6"/>
    </row>
    <row r="26" spans="1:6" ht="13.5" customHeight="1">
      <c r="A26" s="39"/>
      <c r="B26" s="36"/>
      <c r="C26" s="36"/>
      <c r="D26" s="36"/>
      <c r="E26" s="36"/>
      <c r="F26" s="6"/>
    </row>
    <row r="27" spans="1:6">
      <c r="A27" s="182" t="s">
        <v>363</v>
      </c>
      <c r="B27" s="183">
        <f>SUM(B28:B29)</f>
        <v>2097606</v>
      </c>
      <c r="C27" s="183">
        <f>SUM(C28:C29)</f>
        <v>1164990</v>
      </c>
      <c r="D27" s="183">
        <f>SUM(D28:D29)</f>
        <v>765213</v>
      </c>
      <c r="E27" s="183">
        <f>SUM(E28:E29)</f>
        <v>167403</v>
      </c>
      <c r="F27" s="6" t="s">
        <v>135</v>
      </c>
    </row>
    <row r="28" spans="1:6">
      <c r="A28" s="37" t="s">
        <v>357</v>
      </c>
      <c r="B28" s="38">
        <f>SUM(C28:E28)</f>
        <v>1440008</v>
      </c>
      <c r="C28" s="38">
        <v>967245</v>
      </c>
      <c r="D28" s="320">
        <v>442333</v>
      </c>
      <c r="E28" s="320">
        <v>30430</v>
      </c>
      <c r="F28" s="6"/>
    </row>
    <row r="29" spans="1:6">
      <c r="A29" s="37" t="s">
        <v>358</v>
      </c>
      <c r="B29" s="38">
        <f>SUM(C29:E29)</f>
        <v>657598</v>
      </c>
      <c r="C29" s="38">
        <v>197745</v>
      </c>
      <c r="D29" s="320">
        <v>322880</v>
      </c>
      <c r="E29" s="320">
        <v>136973</v>
      </c>
      <c r="F29" s="6"/>
    </row>
    <row r="30" spans="1:6">
      <c r="A30" s="39"/>
      <c r="B30" s="36"/>
      <c r="C30" s="36"/>
      <c r="D30" s="36"/>
      <c r="E30" s="36"/>
      <c r="F30" s="6"/>
    </row>
    <row r="31" spans="1:6">
      <c r="A31" s="182" t="s">
        <v>364</v>
      </c>
      <c r="B31" s="183">
        <f>SUM(B32:B33)</f>
        <v>2160455</v>
      </c>
      <c r="C31" s="183">
        <f>SUM(C32:C33)</f>
        <v>1207984</v>
      </c>
      <c r="D31" s="183">
        <f>SUM(D32:D33)</f>
        <v>810307</v>
      </c>
      <c r="E31" s="183">
        <f>SUM(E32:E33)</f>
        <v>142164</v>
      </c>
      <c r="F31" s="6" t="s">
        <v>135</v>
      </c>
    </row>
    <row r="32" spans="1:6">
      <c r="A32" s="37" t="s">
        <v>357</v>
      </c>
      <c r="B32" s="38">
        <f>SUM(C32:E32)</f>
        <v>1496278</v>
      </c>
      <c r="C32" s="38">
        <v>1009048</v>
      </c>
      <c r="D32" s="320">
        <v>461044</v>
      </c>
      <c r="E32" s="320">
        <v>26186</v>
      </c>
      <c r="F32" s="6"/>
    </row>
    <row r="33" spans="1:8">
      <c r="A33" s="37" t="s">
        <v>358</v>
      </c>
      <c r="B33" s="38">
        <f>SUM(C33:E33)</f>
        <v>664177</v>
      </c>
      <c r="C33" s="38">
        <v>198936</v>
      </c>
      <c r="D33" s="320">
        <v>349263</v>
      </c>
      <c r="E33" s="320">
        <v>115978</v>
      </c>
      <c r="F33" s="6"/>
      <c r="G33" s="159"/>
      <c r="H33" s="159"/>
    </row>
    <row r="34" spans="1:8">
      <c r="A34" s="39"/>
      <c r="B34" s="36"/>
      <c r="C34" s="36"/>
      <c r="D34" s="36"/>
      <c r="E34" s="36"/>
      <c r="F34" s="6"/>
      <c r="G34" s="159"/>
      <c r="H34" s="159"/>
    </row>
    <row r="35" spans="1:8">
      <c r="A35" s="182" t="s">
        <v>365</v>
      </c>
      <c r="B35" s="183">
        <f>SUM(B36:B37)</f>
        <v>2044097</v>
      </c>
      <c r="C35" s="183">
        <f>SUM(C36:C37)</f>
        <v>1129285</v>
      </c>
      <c r="D35" s="183">
        <f>SUM(D36:D37)</f>
        <v>773349</v>
      </c>
      <c r="E35" s="183">
        <f>SUM(E36:E37)</f>
        <v>141463</v>
      </c>
      <c r="F35" s="6" t="s">
        <v>135</v>
      </c>
      <c r="G35" s="159"/>
      <c r="H35" s="159"/>
    </row>
    <row r="36" spans="1:8">
      <c r="A36" s="37" t="s">
        <v>357</v>
      </c>
      <c r="B36" s="38">
        <f>SUM(C36:E36)</f>
        <v>1387697</v>
      </c>
      <c r="C36" s="38">
        <v>944636</v>
      </c>
      <c r="D36" s="320">
        <v>415251</v>
      </c>
      <c r="E36" s="320">
        <v>27810</v>
      </c>
      <c r="F36" s="6"/>
      <c r="G36" s="159"/>
      <c r="H36" s="159"/>
    </row>
    <row r="37" spans="1:8">
      <c r="A37" s="37" t="s">
        <v>358</v>
      </c>
      <c r="B37" s="38">
        <f>SUM(C37:E37)</f>
        <v>656400</v>
      </c>
      <c r="C37" s="38">
        <v>184649</v>
      </c>
      <c r="D37" s="320">
        <v>358098</v>
      </c>
      <c r="E37" s="320">
        <v>113653</v>
      </c>
      <c r="F37" s="6"/>
      <c r="G37" s="159"/>
      <c r="H37" s="77" t="s">
        <v>135</v>
      </c>
    </row>
    <row r="38" spans="1:8">
      <c r="A38" s="159"/>
      <c r="B38" s="159"/>
      <c r="C38" s="159"/>
      <c r="D38" s="159"/>
      <c r="E38" s="159"/>
      <c r="F38" s="159"/>
      <c r="G38" s="159"/>
      <c r="H38" s="77" t="s">
        <v>135</v>
      </c>
    </row>
    <row r="39" spans="1:8">
      <c r="A39" s="182" t="s">
        <v>366</v>
      </c>
      <c r="B39" s="183">
        <f>SUM(B40:B41)</f>
        <v>1996890</v>
      </c>
      <c r="C39" s="183">
        <f>SUM(C40:C41)</f>
        <v>1179626</v>
      </c>
      <c r="D39" s="183">
        <f>SUM(D40:D41)</f>
        <v>685747</v>
      </c>
      <c r="E39" s="183">
        <f>SUM(E40:E41)</f>
        <v>131517</v>
      </c>
      <c r="F39" s="6" t="s">
        <v>135</v>
      </c>
      <c r="G39" s="159"/>
      <c r="H39" s="159"/>
    </row>
    <row r="40" spans="1:8">
      <c r="A40" s="37" t="s">
        <v>357</v>
      </c>
      <c r="B40" s="38">
        <f>SUM(C40:E40)</f>
        <v>1335322</v>
      </c>
      <c r="C40" s="61">
        <v>987643</v>
      </c>
      <c r="D40" s="69">
        <v>320907</v>
      </c>
      <c r="E40" s="69">
        <v>26772</v>
      </c>
      <c r="F40" s="159"/>
      <c r="G40" s="159"/>
      <c r="H40" s="159"/>
    </row>
    <row r="41" spans="1:8">
      <c r="A41" s="37" t="s">
        <v>358</v>
      </c>
      <c r="B41" s="38">
        <f>SUM(C41:E41)</f>
        <v>661568</v>
      </c>
      <c r="C41" s="69">
        <v>191983</v>
      </c>
      <c r="D41" s="69">
        <v>364840</v>
      </c>
      <c r="E41" s="69">
        <v>104745</v>
      </c>
      <c r="F41" s="76"/>
      <c r="G41" s="159"/>
      <c r="H41" s="159"/>
    </row>
    <row r="42" spans="1:8">
      <c r="A42" s="159"/>
      <c r="B42" s="159"/>
      <c r="C42" s="159"/>
      <c r="D42" s="159"/>
      <c r="E42" s="159"/>
      <c r="F42" s="159"/>
      <c r="G42" s="159"/>
      <c r="H42" s="76" t="s">
        <v>135</v>
      </c>
    </row>
    <row r="43" spans="1:8">
      <c r="A43" s="182" t="s">
        <v>367</v>
      </c>
      <c r="B43" s="183">
        <f>B44+B45</f>
        <v>1936662</v>
      </c>
      <c r="C43" s="183">
        <f>C44+C45</f>
        <v>1135663</v>
      </c>
      <c r="D43" s="183">
        <f>SUM(D44:D45)</f>
        <v>680745</v>
      </c>
      <c r="E43" s="183">
        <f>SUM(E44:E45)</f>
        <v>120254</v>
      </c>
      <c r="F43" s="159"/>
      <c r="G43" s="159"/>
      <c r="H43" s="76" t="s">
        <v>135</v>
      </c>
    </row>
    <row r="44" spans="1:8">
      <c r="A44" s="37" t="s">
        <v>357</v>
      </c>
      <c r="B44" s="38">
        <f>C44+D44+E44</f>
        <v>1280854</v>
      </c>
      <c r="C44" s="61">
        <v>948441</v>
      </c>
      <c r="D44" s="69">
        <v>308387</v>
      </c>
      <c r="E44" s="69">
        <v>24026</v>
      </c>
      <c r="F44" s="159" t="s">
        <v>135</v>
      </c>
      <c r="G44" s="159"/>
      <c r="H44" s="159"/>
    </row>
    <row r="45" spans="1:8">
      <c r="A45" s="37" t="s">
        <v>358</v>
      </c>
      <c r="B45" s="38">
        <f>C45+D45+E45</f>
        <v>655808</v>
      </c>
      <c r="C45" s="69">
        <v>187222</v>
      </c>
      <c r="D45" s="69">
        <v>372358</v>
      </c>
      <c r="E45" s="69">
        <v>96228</v>
      </c>
      <c r="F45" s="159"/>
      <c r="G45" s="159"/>
      <c r="H45" s="159"/>
    </row>
    <row r="47" spans="1:8">
      <c r="A47" s="182" t="s">
        <v>11</v>
      </c>
      <c r="B47" s="183">
        <f>B48+B49</f>
        <v>2030941</v>
      </c>
      <c r="C47" s="183">
        <f>C48+C49</f>
        <v>1208382</v>
      </c>
      <c r="D47" s="183">
        <f>SUM(D48:D49)</f>
        <v>700990</v>
      </c>
      <c r="E47" s="183">
        <f>SUM(E48:E49)</f>
        <v>121569</v>
      </c>
      <c r="F47" s="159"/>
      <c r="G47" s="159"/>
      <c r="H47" s="159" t="s">
        <v>135</v>
      </c>
    </row>
    <row r="48" spans="1:8">
      <c r="A48" s="37" t="s">
        <v>357</v>
      </c>
      <c r="B48" s="38">
        <f>C48+D48+E48</f>
        <v>1349449</v>
      </c>
      <c r="C48" s="61">
        <v>1007093</v>
      </c>
      <c r="D48" s="69">
        <v>321783</v>
      </c>
      <c r="E48" s="69">
        <v>20573</v>
      </c>
      <c r="F48" s="159"/>
      <c r="G48" s="159"/>
      <c r="H48" s="159"/>
    </row>
    <row r="49" spans="1:5">
      <c r="A49" s="37" t="s">
        <v>358</v>
      </c>
      <c r="B49" s="38">
        <f>C49+D49+E49</f>
        <v>681492</v>
      </c>
      <c r="C49" s="69">
        <v>201289</v>
      </c>
      <c r="D49" s="69">
        <v>379207</v>
      </c>
      <c r="E49" s="69">
        <v>100996</v>
      </c>
    </row>
    <row r="50" spans="1:5" s="159" customFormat="1">
      <c r="A50" s="37"/>
      <c r="B50" s="38"/>
      <c r="C50" s="69"/>
      <c r="D50" s="69"/>
      <c r="E50" s="69"/>
    </row>
    <row r="51" spans="1:5" s="159" customFormat="1">
      <c r="A51" s="182" t="s">
        <v>12</v>
      </c>
      <c r="B51" s="183">
        <f>B52+B53</f>
        <v>2120681</v>
      </c>
      <c r="C51" s="183">
        <f>C52+C53</f>
        <v>1274565</v>
      </c>
      <c r="D51" s="183">
        <f>SUM(D52:D53)</f>
        <v>733298</v>
      </c>
      <c r="E51" s="183">
        <f>SUM(E52:E53)</f>
        <v>112818</v>
      </c>
    </row>
    <row r="52" spans="1:5" s="159" customFormat="1">
      <c r="A52" s="37" t="s">
        <v>357</v>
      </c>
      <c r="B52" s="38">
        <f>C52+D52+E52</f>
        <v>1408536</v>
      </c>
      <c r="C52" s="61">
        <v>1057707</v>
      </c>
      <c r="D52" s="69">
        <v>329850</v>
      </c>
      <c r="E52" s="69">
        <v>20979</v>
      </c>
    </row>
    <row r="53" spans="1:5" s="159" customFormat="1">
      <c r="A53" s="37" t="s">
        <v>358</v>
      </c>
      <c r="B53" s="38">
        <f>C53+D53+E53</f>
        <v>712145</v>
      </c>
      <c r="C53" s="69">
        <v>216858</v>
      </c>
      <c r="D53" s="69">
        <v>403448</v>
      </c>
      <c r="E53" s="69">
        <v>91839</v>
      </c>
    </row>
    <row r="54" spans="1:5" s="159" customFormat="1">
      <c r="A54" s="37"/>
      <c r="B54" s="38"/>
      <c r="C54" s="69"/>
      <c r="D54" s="69"/>
      <c r="E54" s="69"/>
    </row>
    <row r="55" spans="1:5" s="159" customFormat="1">
      <c r="A55" s="37"/>
      <c r="B55" s="38"/>
      <c r="C55" s="69"/>
      <c r="D55" s="69"/>
      <c r="E55" s="69"/>
    </row>
    <row r="56" spans="1:5" s="159" customFormat="1">
      <c r="A56" s="37"/>
      <c r="B56" s="38"/>
      <c r="C56" s="69"/>
      <c r="D56" s="69"/>
      <c r="E56" s="69"/>
    </row>
    <row r="57" spans="1:5" s="159" customFormat="1">
      <c r="A57" s="37"/>
      <c r="B57" s="38"/>
      <c r="C57" s="69"/>
      <c r="D57" s="69"/>
      <c r="E57" s="69"/>
    </row>
    <row r="58" spans="1:5" s="159" customFormat="1">
      <c r="A58" s="37"/>
      <c r="B58" s="38"/>
      <c r="C58" s="69"/>
      <c r="D58" s="69"/>
      <c r="E58" s="69"/>
    </row>
    <row r="59" spans="1:5" s="159" customFormat="1">
      <c r="A59" s="37"/>
      <c r="B59" s="38"/>
      <c r="C59" s="69"/>
      <c r="D59" s="69"/>
      <c r="E59" s="69"/>
    </row>
    <row r="60" spans="1:5" s="159" customFormat="1">
      <c r="A60" s="37"/>
      <c r="B60" s="38"/>
      <c r="C60" s="69"/>
      <c r="D60" s="69"/>
      <c r="E60" s="69"/>
    </row>
    <row r="61" spans="1:5" s="152" customFormat="1" ht="17.25" customHeight="1">
      <c r="A61" s="152" t="s">
        <v>27</v>
      </c>
    </row>
    <row r="62" spans="1:5" s="152" customFormat="1" ht="9.9499999999999993" customHeight="1">
      <c r="A62" s="152" t="s">
        <v>28</v>
      </c>
    </row>
  </sheetData>
  <phoneticPr fontId="35" type="noConversion"/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A3F4-C8DD-4258-A0E6-A0869BEB5171}">
  <sheetPr>
    <tabColor rgb="FFC00000"/>
  </sheetPr>
  <dimension ref="A1:F56"/>
  <sheetViews>
    <sheetView showGridLines="0" workbookViewId="0"/>
  </sheetViews>
  <sheetFormatPr defaultRowHeight="15"/>
  <cols>
    <col min="1" max="1" width="20.140625" customWidth="1"/>
    <col min="2" max="2" width="19.28515625" customWidth="1"/>
    <col min="3" max="3" width="14.5703125" customWidth="1"/>
    <col min="4" max="4" width="15.5703125" customWidth="1"/>
    <col min="5" max="5" width="18.28515625" customWidth="1"/>
  </cols>
  <sheetData>
    <row r="1" spans="1:6" s="9" customFormat="1" ht="15.75" thickTop="1">
      <c r="A1" s="172" t="s">
        <v>368</v>
      </c>
      <c r="B1" s="196"/>
      <c r="C1" s="196"/>
      <c r="D1" s="196"/>
      <c r="E1" s="197"/>
    </row>
    <row r="2" spans="1:6" s="79" customFormat="1">
      <c r="A2" s="175" t="s">
        <v>351</v>
      </c>
      <c r="B2" s="176"/>
      <c r="C2" s="176"/>
      <c r="D2" s="198"/>
      <c r="E2" s="199"/>
    </row>
    <row r="3" spans="1:6" s="79" customFormat="1" ht="15.75" thickBot="1">
      <c r="A3" s="178" t="s">
        <v>31</v>
      </c>
      <c r="B3" s="179"/>
      <c r="C3" s="179"/>
      <c r="D3" s="200"/>
      <c r="E3" s="201"/>
    </row>
    <row r="4" spans="1:6" ht="15.75" thickTop="1">
      <c r="A4" s="321"/>
      <c r="B4" s="322"/>
      <c r="C4" s="322"/>
      <c r="D4" s="322"/>
      <c r="E4" s="322"/>
      <c r="F4" s="159"/>
    </row>
    <row r="5" spans="1:6" ht="25.5">
      <c r="A5" s="323"/>
      <c r="B5" s="181" t="s">
        <v>352</v>
      </c>
      <c r="C5" s="181" t="s">
        <v>353</v>
      </c>
      <c r="D5" s="181" t="s">
        <v>354</v>
      </c>
      <c r="E5" s="181" t="s">
        <v>355</v>
      </c>
      <c r="F5" s="159"/>
    </row>
    <row r="6" spans="1:6">
      <c r="A6" s="79"/>
      <c r="B6" s="79"/>
      <c r="C6" s="79"/>
      <c r="D6" s="79"/>
      <c r="E6" s="79"/>
      <c r="F6" s="159"/>
    </row>
    <row r="7" spans="1:6">
      <c r="A7" s="195" t="s">
        <v>50</v>
      </c>
      <c r="B7" s="208">
        <f>(B8/B9)</f>
        <v>0.70698075008243288</v>
      </c>
      <c r="C7" s="208">
        <f>(C8/C9)</f>
        <v>0.79380569786506905</v>
      </c>
      <c r="D7" s="208">
        <f>(D8/D9)</f>
        <v>0.64392963124145286</v>
      </c>
      <c r="E7" s="208">
        <f>(E8/E9)</f>
        <v>0.49142564410267153</v>
      </c>
      <c r="F7" s="159"/>
    </row>
    <row r="8" spans="1:6">
      <c r="A8" s="37" t="s">
        <v>369</v>
      </c>
      <c r="B8" s="38">
        <f>C8+D8+E8</f>
        <v>2602949</v>
      </c>
      <c r="C8" s="38">
        <v>1514898</v>
      </c>
      <c r="D8" s="38">
        <v>914420</v>
      </c>
      <c r="E8" s="38">
        <v>173631</v>
      </c>
      <c r="F8" s="159"/>
    </row>
    <row r="9" spans="1:6">
      <c r="A9" s="37" t="s">
        <v>370</v>
      </c>
      <c r="B9" s="38">
        <f>C9+D9+E9</f>
        <v>3681782</v>
      </c>
      <c r="C9" s="38">
        <v>1908399</v>
      </c>
      <c r="D9" s="38">
        <v>1420062</v>
      </c>
      <c r="E9" s="38">
        <v>353321</v>
      </c>
      <c r="F9" s="159"/>
    </row>
    <row r="10" spans="1:6">
      <c r="A10" s="79"/>
      <c r="B10" s="79"/>
      <c r="C10" s="79"/>
      <c r="D10" s="79"/>
      <c r="E10" s="79"/>
      <c r="F10" s="159"/>
    </row>
    <row r="11" spans="1:6" s="19" customFormat="1" ht="12.75">
      <c r="A11" s="195" t="s">
        <v>2</v>
      </c>
      <c r="B11" s="208">
        <f>(B12/B13)</f>
        <v>0.66701846751388227</v>
      </c>
      <c r="C11" s="208">
        <f>(C12/C13)</f>
        <v>0.74233249764087972</v>
      </c>
      <c r="D11" s="208">
        <f>(D12/D13)</f>
        <v>0.60418730932159803</v>
      </c>
      <c r="E11" s="208">
        <f>(E12/E13)</f>
        <v>0.49496385596013542</v>
      </c>
      <c r="F11" s="6"/>
    </row>
    <row r="12" spans="1:6" s="5" customFormat="1" ht="12.75">
      <c r="A12" s="37" t="s">
        <v>369</v>
      </c>
      <c r="B12" s="38">
        <f>C12+D12+E12</f>
        <v>2627872</v>
      </c>
      <c r="C12" s="38">
        <v>1540285</v>
      </c>
      <c r="D12" s="38">
        <v>910384</v>
      </c>
      <c r="E12" s="38">
        <v>177203</v>
      </c>
      <c r="F12" s="6"/>
    </row>
    <row r="13" spans="1:6" s="5" customFormat="1" ht="12.75">
      <c r="A13" s="37" t="s">
        <v>370</v>
      </c>
      <c r="B13" s="38">
        <f>C13+D13+E13</f>
        <v>3939729</v>
      </c>
      <c r="C13" s="38">
        <v>2074926</v>
      </c>
      <c r="D13" s="38">
        <v>1506791</v>
      </c>
      <c r="E13" s="38">
        <v>358012</v>
      </c>
      <c r="F13" s="6"/>
    </row>
    <row r="14" spans="1:6" s="5" customFormat="1" ht="12.75">
      <c r="A14" s="39"/>
      <c r="B14" s="36"/>
      <c r="C14" s="36"/>
      <c r="D14" s="36"/>
      <c r="E14" s="36"/>
      <c r="F14" s="6"/>
    </row>
    <row r="15" spans="1:6" s="5" customFormat="1" ht="12.75">
      <c r="A15" s="195" t="s">
        <v>3</v>
      </c>
      <c r="B15" s="208">
        <f>(B16/B17)</f>
        <v>0.6181733115621898</v>
      </c>
      <c r="C15" s="208">
        <f>(C16/C17)</f>
        <v>0.70263721385910671</v>
      </c>
      <c r="D15" s="208">
        <f>(D16/D17)</f>
        <v>0.54214831436930666</v>
      </c>
      <c r="E15" s="208">
        <f>(E16/E17)</f>
        <v>0.46188692804134823</v>
      </c>
      <c r="F15" s="4" t="s">
        <v>135</v>
      </c>
    </row>
    <row r="16" spans="1:6" s="5" customFormat="1" ht="12.75">
      <c r="A16" s="37" t="s">
        <v>369</v>
      </c>
      <c r="B16" s="38">
        <f>C16+D16+E16</f>
        <v>2505122</v>
      </c>
      <c r="C16" s="38">
        <v>1475978</v>
      </c>
      <c r="D16" s="38">
        <v>862031</v>
      </c>
      <c r="E16" s="38">
        <v>167113</v>
      </c>
      <c r="F16" s="6"/>
    </row>
    <row r="17" spans="1:6" s="5" customFormat="1" ht="12.75">
      <c r="A17" s="37" t="s">
        <v>370</v>
      </c>
      <c r="B17" s="38">
        <f>C17+D17+E17</f>
        <v>4052459</v>
      </c>
      <c r="C17" s="38">
        <v>2100626</v>
      </c>
      <c r="D17" s="38">
        <v>1590028</v>
      </c>
      <c r="E17" s="38">
        <v>361805</v>
      </c>
      <c r="F17" s="6"/>
    </row>
    <row r="18" spans="1:6" s="5" customFormat="1" ht="12.75">
      <c r="A18" s="37"/>
      <c r="B18" s="38"/>
      <c r="C18" s="38"/>
      <c r="D18" s="38"/>
      <c r="E18" s="38"/>
      <c r="F18" s="6"/>
    </row>
    <row r="19" spans="1:6">
      <c r="A19" s="195" t="s">
        <v>4</v>
      </c>
      <c r="B19" s="208">
        <f>(B20/B21)</f>
        <v>0.64925207687408415</v>
      </c>
      <c r="C19" s="208">
        <f>(C20/C21)</f>
        <v>0.75085094015580234</v>
      </c>
      <c r="D19" s="208">
        <f>(D20/D21)</f>
        <v>0.56345333593391655</v>
      </c>
      <c r="E19" s="208">
        <f>(E20/E21)</f>
        <v>0.4633054236279166</v>
      </c>
      <c r="F19" s="4" t="s">
        <v>135</v>
      </c>
    </row>
    <row r="20" spans="1:6">
      <c r="A20" s="37" t="s">
        <v>369</v>
      </c>
      <c r="B20" s="38">
        <f>C20+D20+E20</f>
        <v>2717677</v>
      </c>
      <c r="C20" s="44">
        <v>1594016</v>
      </c>
      <c r="D20" s="44">
        <v>944656</v>
      </c>
      <c r="E20" s="45">
        <v>179005</v>
      </c>
      <c r="F20" s="6"/>
    </row>
    <row r="21" spans="1:6">
      <c r="A21" s="37" t="s">
        <v>370</v>
      </c>
      <c r="B21" s="38">
        <f>C21+D21+E21</f>
        <v>4185858</v>
      </c>
      <c r="C21" s="44">
        <v>2122946</v>
      </c>
      <c r="D21" s="44">
        <v>1676547</v>
      </c>
      <c r="E21" s="45">
        <v>386365</v>
      </c>
      <c r="F21" s="6"/>
    </row>
    <row r="22" spans="1:6">
      <c r="A22" s="39"/>
      <c r="B22" s="36"/>
      <c r="C22" s="36"/>
      <c r="D22" s="36"/>
      <c r="E22" s="36"/>
      <c r="F22" s="6"/>
    </row>
    <row r="23" spans="1:6">
      <c r="A23" s="195" t="s">
        <v>5</v>
      </c>
      <c r="B23" s="208">
        <f>(B24/B25)</f>
        <v>0.68905961477797506</v>
      </c>
      <c r="C23" s="208">
        <f>(C24/C25)</f>
        <v>0.8023738296201316</v>
      </c>
      <c r="D23" s="208">
        <f>(D24/D25)</f>
        <v>0.58522633532687152</v>
      </c>
      <c r="E23" s="208">
        <f>(E24/E25)</f>
        <v>0.45212202633268239</v>
      </c>
      <c r="F23" s="4" t="s">
        <v>135</v>
      </c>
    </row>
    <row r="24" spans="1:6">
      <c r="A24" s="37" t="s">
        <v>369</v>
      </c>
      <c r="B24" s="38">
        <f>C24+D24+E24</f>
        <v>2835286</v>
      </c>
      <c r="C24" s="44">
        <v>1760279</v>
      </c>
      <c r="D24" s="44">
        <v>908084</v>
      </c>
      <c r="E24" s="45">
        <v>166923</v>
      </c>
      <c r="F24" s="6"/>
    </row>
    <row r="25" spans="1:6">
      <c r="A25" s="37" t="s">
        <v>370</v>
      </c>
      <c r="B25" s="38">
        <f>C25+D25+E25</f>
        <v>4114718</v>
      </c>
      <c r="C25" s="44">
        <v>2193839</v>
      </c>
      <c r="D25" s="44">
        <v>1551680</v>
      </c>
      <c r="E25" s="45">
        <v>369199</v>
      </c>
      <c r="F25" s="6"/>
    </row>
    <row r="26" spans="1:6">
      <c r="A26" s="39"/>
      <c r="B26" s="36"/>
      <c r="C26" s="36"/>
      <c r="D26" s="36"/>
      <c r="E26" s="36"/>
      <c r="F26" s="6"/>
    </row>
    <row r="27" spans="1:6">
      <c r="A27" s="195" t="s">
        <v>51</v>
      </c>
      <c r="B27" s="208">
        <f>(B28/B29)</f>
        <v>0.67732739655893193</v>
      </c>
      <c r="C27" s="208">
        <f>(C28/C29)</f>
        <v>0.78754969438490185</v>
      </c>
      <c r="D27" s="208">
        <f>(D28/D29)</f>
        <v>0.58654002338100286</v>
      </c>
      <c r="E27" s="208">
        <f>(E28/E29)</f>
        <v>0.44253533568904596</v>
      </c>
      <c r="F27" s="4" t="s">
        <v>135</v>
      </c>
    </row>
    <row r="28" spans="1:6">
      <c r="A28" s="37" t="s">
        <v>369</v>
      </c>
      <c r="B28" s="38">
        <f>C28+D28+E28</f>
        <v>2927705</v>
      </c>
      <c r="C28" s="44">
        <v>1741878</v>
      </c>
      <c r="D28" s="44">
        <v>1025523</v>
      </c>
      <c r="E28" s="45">
        <v>160304</v>
      </c>
      <c r="F28" s="6"/>
    </row>
    <row r="29" spans="1:6">
      <c r="A29" s="37" t="s">
        <v>370</v>
      </c>
      <c r="B29" s="38">
        <f>C29+D29+E29</f>
        <v>4322437</v>
      </c>
      <c r="C29" s="44">
        <v>2211769</v>
      </c>
      <c r="D29" s="44">
        <v>1748428</v>
      </c>
      <c r="E29" s="45">
        <v>362240</v>
      </c>
      <c r="F29" s="6"/>
    </row>
    <row r="30" spans="1:6">
      <c r="A30" s="39"/>
      <c r="B30" s="36"/>
      <c r="C30" s="36"/>
      <c r="D30" s="36"/>
      <c r="E30" s="36"/>
      <c r="F30" s="6"/>
    </row>
    <row r="31" spans="1:6">
      <c r="A31" s="195" t="s">
        <v>7</v>
      </c>
      <c r="B31" s="208">
        <f>(B32/B33)</f>
        <v>0.6792334229224487</v>
      </c>
      <c r="C31" s="208">
        <f>(C32/C33)</f>
        <v>0.78502492100064414</v>
      </c>
      <c r="D31" s="208">
        <f>(D32/D33)</f>
        <v>0.59149923761216372</v>
      </c>
      <c r="E31" s="208">
        <f>(E32/E33)</f>
        <v>0.41387798775981022</v>
      </c>
      <c r="F31" s="4" t="s">
        <v>135</v>
      </c>
    </row>
    <row r="32" spans="1:6">
      <c r="A32" s="37" t="s">
        <v>369</v>
      </c>
      <c r="B32" s="38">
        <f>C32+D32+E32</f>
        <v>3021288</v>
      </c>
      <c r="C32" s="44">
        <v>1816006</v>
      </c>
      <c r="D32" s="44">
        <v>1071450</v>
      </c>
      <c r="E32" s="45">
        <v>133832</v>
      </c>
      <c r="F32" s="6"/>
    </row>
    <row r="33" spans="1:6">
      <c r="A33" s="37" t="s">
        <v>370</v>
      </c>
      <c r="B33" s="38">
        <f>C33+D33+E33</f>
        <v>4448085</v>
      </c>
      <c r="C33" s="44">
        <v>2313310</v>
      </c>
      <c r="D33" s="44">
        <v>1811414</v>
      </c>
      <c r="E33" s="45">
        <v>323361</v>
      </c>
      <c r="F33" s="6"/>
    </row>
    <row r="34" spans="1:6">
      <c r="A34" s="39"/>
      <c r="B34" s="36"/>
      <c r="C34" s="36"/>
      <c r="D34" s="36"/>
      <c r="E34" s="36"/>
      <c r="F34" s="6"/>
    </row>
    <row r="35" spans="1:6">
      <c r="A35" s="195" t="s">
        <v>8</v>
      </c>
      <c r="B35" s="208">
        <f>(B36/B37)</f>
        <v>0.68703459612014828</v>
      </c>
      <c r="C35" s="208">
        <f>(C36/C37)</f>
        <v>0.78512543210129304</v>
      </c>
      <c r="D35" s="208">
        <f>(D36/D37)</f>
        <v>0.61334600548791662</v>
      </c>
      <c r="E35" s="208">
        <f>(E36/E37)</f>
        <v>0.42377565650467852</v>
      </c>
      <c r="F35" s="4" t="s">
        <v>135</v>
      </c>
    </row>
    <row r="36" spans="1:6">
      <c r="A36" s="37" t="s">
        <v>369</v>
      </c>
      <c r="B36" s="38">
        <f>C36+D36+E36</f>
        <v>2879812</v>
      </c>
      <c r="C36" s="44">
        <v>1687306</v>
      </c>
      <c r="D36" s="44">
        <v>1057725</v>
      </c>
      <c r="E36" s="45">
        <v>134781</v>
      </c>
      <c r="F36" s="6"/>
    </row>
    <row r="37" spans="1:6">
      <c r="A37" s="37" t="s">
        <v>370</v>
      </c>
      <c r="B37" s="38">
        <f>C37+D37+E37</f>
        <v>4191655</v>
      </c>
      <c r="C37" s="44">
        <v>2149091</v>
      </c>
      <c r="D37" s="44">
        <v>1724516</v>
      </c>
      <c r="E37" s="45">
        <v>318048</v>
      </c>
      <c r="F37" s="6"/>
    </row>
    <row r="39" spans="1:6">
      <c r="A39" s="195" t="s">
        <v>9</v>
      </c>
      <c r="B39" s="208">
        <f>(B40/B41)</f>
        <v>0.67558868841256881</v>
      </c>
      <c r="C39" s="208">
        <f>(C40/C41)</f>
        <v>0.77322663234351563</v>
      </c>
      <c r="D39" s="208">
        <f>(D40/D41)</f>
        <v>0.59102198924905869</v>
      </c>
      <c r="E39" s="208">
        <f>(E40/E41)</f>
        <v>0.4055337587236989</v>
      </c>
      <c r="F39" s="4" t="s">
        <v>135</v>
      </c>
    </row>
    <row r="40" spans="1:6">
      <c r="A40" s="37" t="s">
        <v>369</v>
      </c>
      <c r="B40" s="38">
        <f>C40+D40+E40</f>
        <v>2878022</v>
      </c>
      <c r="C40" s="69">
        <v>1770989</v>
      </c>
      <c r="D40" s="69">
        <v>982275</v>
      </c>
      <c r="E40" s="69">
        <v>124758</v>
      </c>
      <c r="F40" s="159"/>
    </row>
    <row r="41" spans="1:6">
      <c r="A41" s="37" t="s">
        <v>370</v>
      </c>
      <c r="B41" s="38">
        <f>C41+D41+E41</f>
        <v>4260021</v>
      </c>
      <c r="C41" s="69">
        <v>2290388</v>
      </c>
      <c r="D41" s="69">
        <v>1661994</v>
      </c>
      <c r="E41" s="69">
        <v>307639</v>
      </c>
      <c r="F41" s="159"/>
    </row>
    <row r="43" spans="1:6">
      <c r="A43" s="195" t="s">
        <v>371</v>
      </c>
      <c r="B43" s="208">
        <f>(B44/B45)</f>
        <v>0.63434363582552489</v>
      </c>
      <c r="C43" s="208">
        <f>(C44/C45)</f>
        <v>0.72416367054030595</v>
      </c>
      <c r="D43" s="208">
        <f>(D44/D45)</f>
        <v>0.55765416267437029</v>
      </c>
      <c r="E43" s="208">
        <f>(E44/E45)</f>
        <v>0.35886733856211739</v>
      </c>
      <c r="F43" s="159"/>
    </row>
    <row r="44" spans="1:6">
      <c r="A44" s="37" t="s">
        <v>369</v>
      </c>
      <c r="B44" s="38">
        <f>C44+D44+E44</f>
        <v>2741323</v>
      </c>
      <c r="C44" s="69">
        <v>1703582</v>
      </c>
      <c r="D44" s="69">
        <v>928889</v>
      </c>
      <c r="E44" s="69">
        <v>108852</v>
      </c>
      <c r="F44" s="159"/>
    </row>
    <row r="45" spans="1:6">
      <c r="A45" s="37" t="s">
        <v>370</v>
      </c>
      <c r="B45" s="38">
        <f>C45+D45+E45</f>
        <v>4321511</v>
      </c>
      <c r="C45" s="69">
        <v>2352482</v>
      </c>
      <c r="D45" s="69">
        <v>1665708</v>
      </c>
      <c r="E45" s="69">
        <v>303321</v>
      </c>
      <c r="F45" s="159"/>
    </row>
    <row r="47" spans="1:6">
      <c r="A47" s="195" t="s">
        <v>11</v>
      </c>
      <c r="B47" s="208">
        <f>(B48/B49)</f>
        <v>0.66209867087303664</v>
      </c>
      <c r="C47" s="208">
        <f>(C48/C49)</f>
        <v>0.77989920757187814</v>
      </c>
      <c r="D47" s="208">
        <f>(D48/D49)</f>
        <v>0.54730728742933954</v>
      </c>
      <c r="E47" s="208">
        <f>(E48/E49)</f>
        <v>0.36898998631222535</v>
      </c>
      <c r="F47" s="159"/>
    </row>
    <row r="48" spans="1:6">
      <c r="A48" s="37" t="s">
        <v>369</v>
      </c>
      <c r="B48" s="38">
        <f>C48+D48+E48</f>
        <v>2937365</v>
      </c>
      <c r="C48" s="69">
        <v>1873601</v>
      </c>
      <c r="D48" s="69">
        <v>961325</v>
      </c>
      <c r="E48" s="69">
        <v>102439</v>
      </c>
      <c r="F48" s="159"/>
    </row>
    <row r="49" spans="1:5">
      <c r="A49" s="37" t="s">
        <v>370</v>
      </c>
      <c r="B49" s="38">
        <f>C49+D49+E49</f>
        <v>4436446</v>
      </c>
      <c r="C49" s="69">
        <v>2402363</v>
      </c>
      <c r="D49" s="69">
        <v>1756463</v>
      </c>
      <c r="E49" s="69">
        <v>277620</v>
      </c>
    </row>
    <row r="50" spans="1:5" s="159" customFormat="1">
      <c r="A50" s="37"/>
      <c r="B50" s="38"/>
      <c r="C50" s="69"/>
      <c r="D50" s="69"/>
      <c r="E50" s="69"/>
    </row>
    <row r="51" spans="1:5" s="159" customFormat="1">
      <c r="A51" s="195" t="s">
        <v>12</v>
      </c>
      <c r="B51" s="208">
        <f>(B52/B53)</f>
        <v>0.66114928243657856</v>
      </c>
      <c r="C51" s="208">
        <f>(C52/C53)</f>
        <v>0.76950742057686761</v>
      </c>
      <c r="D51" s="208">
        <f>(D52/D53)</f>
        <v>0.55864919254153911</v>
      </c>
      <c r="E51" s="208">
        <f>(E52/E53)</f>
        <v>0.34030131625375576</v>
      </c>
    </row>
    <row r="52" spans="1:5" s="159" customFormat="1">
      <c r="A52" s="37" t="s">
        <v>369</v>
      </c>
      <c r="B52" s="38">
        <f>C52+D52+E52</f>
        <v>3079117</v>
      </c>
      <c r="C52" s="69">
        <v>1965669</v>
      </c>
      <c r="D52" s="69">
        <v>1017970</v>
      </c>
      <c r="E52" s="69">
        <v>95478</v>
      </c>
    </row>
    <row r="53" spans="1:5" s="159" customFormat="1">
      <c r="A53" s="37" t="s">
        <v>370</v>
      </c>
      <c r="B53" s="38">
        <f>C53+D53+E53</f>
        <v>4657219</v>
      </c>
      <c r="C53" s="69">
        <v>2554451</v>
      </c>
      <c r="D53" s="69">
        <v>1822199</v>
      </c>
      <c r="E53" s="69">
        <v>280569</v>
      </c>
    </row>
    <row r="54" spans="1:5" s="159" customFormat="1">
      <c r="A54" s="37"/>
      <c r="B54" s="38"/>
      <c r="C54" s="69"/>
      <c r="D54" s="69"/>
      <c r="E54" s="69"/>
    </row>
    <row r="55" spans="1:5" s="152" customFormat="1" ht="17.25" customHeight="1">
      <c r="A55" s="152" t="s">
        <v>27</v>
      </c>
    </row>
    <row r="56" spans="1:5" s="152" customFormat="1" ht="9.9499999999999993" customHeight="1">
      <c r="A56" s="152" t="s">
        <v>28</v>
      </c>
    </row>
  </sheetData>
  <phoneticPr fontId="3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Compania de Turismo de Puerto Rico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mbalvarez</dc:creator>
  <cp:keywords/>
  <dc:description/>
  <cp:lastModifiedBy>X</cp:lastModifiedBy>
  <cp:revision/>
  <dcterms:created xsi:type="dcterms:W3CDTF">2008-04-02T19:41:44Z</dcterms:created>
  <dcterms:modified xsi:type="dcterms:W3CDTF">2025-12-17T11:02:27Z</dcterms:modified>
  <cp:category/>
  <cp:contentStatus/>
</cp:coreProperties>
</file>