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ackup Documentos PC en Administrador\AFF\PAN\2007-2008\"/>
    </mc:Choice>
  </mc:AlternateContent>
  <workbookProtection workbookAlgorithmName="SHA-512" workbookHashValue="UNv6BBYJMD2VG2mXF4lRU6ryjm7YcS2SL2p/7BxCHuJ6gmT1OUrVo6qrxrquxIFP+3GkavVPk4omngaIjMslmg==" workbookSaltValue="XkbKzFjJze3QBFrVO425hw==" workbookSpinCount="100000" lockStructure="1"/>
  <bookViews>
    <workbookView xWindow="0" yWindow="60" windowWidth="7275" windowHeight="7260" tabRatio="912"/>
  </bookViews>
  <sheets>
    <sheet name="Oct 07" sheetId="7" r:id="rId1"/>
    <sheet name="Nov 07" sheetId="6" r:id="rId2"/>
    <sheet name="Dic 07" sheetId="5" r:id="rId3"/>
    <sheet name="Enero 08" sheetId="16" r:id="rId4"/>
    <sheet name="Febrero 08" sheetId="15" r:id="rId5"/>
    <sheet name="Marzo 08" sheetId="14" r:id="rId6"/>
    <sheet name="Abril 08" sheetId="13" r:id="rId7"/>
    <sheet name="Mayo 08" sheetId="12" r:id="rId8"/>
    <sheet name="Junio 08" sheetId="11" r:id="rId9"/>
    <sheet name="Julio 08" sheetId="10" r:id="rId10"/>
    <sheet name="Agosto 08" sheetId="9" r:id="rId11"/>
    <sheet name="Sept 08" sheetId="8" r:id="rId12"/>
    <sheet name="Trimestre Oct - Dic" sheetId="20" r:id="rId13"/>
    <sheet name="Trimestre ene - mar" sheetId="19" r:id="rId14"/>
    <sheet name="Trimestre abr - junio" sheetId="18" r:id="rId15"/>
    <sheet name="Trimestre julio - sept" sheetId="17" r:id="rId16"/>
    <sheet name="Anual" sheetId="4" r:id="rId17"/>
    <sheet name="Mensual" sheetId="21" r:id="rId18"/>
    <sheet name="Graficas" sheetId="23" r:id="rId19"/>
  </sheets>
  <definedNames>
    <definedName name="_xlnm.Print_Titles" localSheetId="16">Anual!$1:$6</definedName>
  </definedNames>
  <calcPr calcId="162913"/>
</workbook>
</file>

<file path=xl/calcChain.xml><?xml version="1.0" encoding="utf-8"?>
<calcChain xmlns="http://schemas.openxmlformats.org/spreadsheetml/2006/main">
  <c r="B69" i="20" l="1"/>
  <c r="B51" i="20"/>
  <c r="B64" i="20"/>
  <c r="C64" i="20"/>
  <c r="D64" i="20"/>
  <c r="B65" i="20"/>
  <c r="C65" i="20"/>
  <c r="D65" i="20"/>
  <c r="B66" i="20"/>
  <c r="C66" i="20"/>
  <c r="D66" i="20"/>
  <c r="B67" i="20"/>
  <c r="C67" i="20"/>
  <c r="D67" i="20"/>
  <c r="B68" i="20"/>
  <c r="C68" i="20"/>
  <c r="D68" i="20"/>
  <c r="D63" i="20"/>
  <c r="C63" i="20"/>
  <c r="B63" i="20"/>
  <c r="B56" i="20"/>
  <c r="C56" i="20"/>
  <c r="D56" i="20"/>
  <c r="B57" i="20"/>
  <c r="C57" i="20"/>
  <c r="D57" i="20"/>
  <c r="D54" i="20"/>
  <c r="C54" i="20"/>
  <c r="B54" i="20"/>
  <c r="B45" i="20"/>
  <c r="C45" i="20"/>
  <c r="D45" i="20"/>
  <c r="B46" i="20"/>
  <c r="C46" i="20"/>
  <c r="D46" i="20"/>
  <c r="B47" i="20"/>
  <c r="C47" i="20"/>
  <c r="D47" i="20"/>
  <c r="B48" i="20"/>
  <c r="C48" i="20"/>
  <c r="D48" i="20"/>
  <c r="B49" i="20"/>
  <c r="C49" i="20"/>
  <c r="D49" i="20"/>
  <c r="B50" i="20"/>
  <c r="C50" i="20"/>
  <c r="D50" i="20"/>
  <c r="D44" i="20"/>
  <c r="C44" i="20"/>
  <c r="B44" i="20"/>
  <c r="B33" i="20"/>
  <c r="C33" i="20"/>
  <c r="D33" i="20"/>
  <c r="B34" i="20"/>
  <c r="C34" i="20"/>
  <c r="D34" i="20"/>
  <c r="B35" i="20"/>
  <c r="C35" i="20"/>
  <c r="D35" i="20"/>
  <c r="B36" i="20"/>
  <c r="C36" i="20"/>
  <c r="D36" i="20"/>
  <c r="B37" i="20"/>
  <c r="C37" i="20"/>
  <c r="D37" i="20"/>
  <c r="B39" i="20"/>
  <c r="C39" i="20"/>
  <c r="D39" i="20"/>
  <c r="C32" i="20"/>
  <c r="D32" i="20"/>
  <c r="B32" i="20"/>
  <c r="B19" i="20"/>
  <c r="C19" i="20"/>
  <c r="D19" i="20"/>
  <c r="B20" i="20"/>
  <c r="C20" i="20"/>
  <c r="D20" i="20"/>
  <c r="B21" i="20"/>
  <c r="C21" i="20"/>
  <c r="D21" i="20"/>
  <c r="B22" i="20"/>
  <c r="C22" i="20"/>
  <c r="D22" i="20"/>
  <c r="B23" i="20"/>
  <c r="C23" i="20"/>
  <c r="D23" i="20"/>
  <c r="B24" i="20"/>
  <c r="C24" i="20"/>
  <c r="D24" i="20"/>
  <c r="B25" i="20"/>
  <c r="C25" i="20"/>
  <c r="D25" i="20"/>
  <c r="B26" i="20"/>
  <c r="C26" i="20"/>
  <c r="D26" i="20"/>
  <c r="B27" i="20"/>
  <c r="C27" i="20"/>
  <c r="D27" i="20"/>
  <c r="B10" i="20"/>
  <c r="C10" i="20"/>
  <c r="D10" i="20"/>
  <c r="B11" i="20"/>
  <c r="C11" i="20"/>
  <c r="D11" i="20"/>
  <c r="B12" i="20"/>
  <c r="C12" i="20"/>
  <c r="D12" i="20"/>
  <c r="B13" i="20"/>
  <c r="C13" i="20"/>
  <c r="D13" i="20"/>
  <c r="B14" i="20"/>
  <c r="C14" i="20"/>
  <c r="D14" i="20"/>
  <c r="D8" i="20"/>
  <c r="C8" i="20"/>
  <c r="B8" i="20"/>
  <c r="B112" i="17"/>
  <c r="C112" i="17"/>
  <c r="D112" i="17"/>
  <c r="B113" i="17"/>
  <c r="C113" i="17"/>
  <c r="D113" i="17"/>
  <c r="B114" i="17"/>
  <c r="C114" i="17"/>
  <c r="D114" i="17"/>
  <c r="B105" i="17"/>
  <c r="C105" i="17"/>
  <c r="D105" i="17"/>
  <c r="B86" i="17"/>
  <c r="C86" i="17"/>
  <c r="D86" i="17"/>
  <c r="B87" i="17"/>
  <c r="C87" i="17"/>
  <c r="D87" i="17"/>
  <c r="B88" i="17"/>
  <c r="C88" i="17"/>
  <c r="D88" i="17"/>
  <c r="B89" i="17"/>
  <c r="C89" i="17"/>
  <c r="D89" i="17"/>
  <c r="B90" i="17"/>
  <c r="C90" i="17"/>
  <c r="D90" i="17"/>
  <c r="B91" i="17"/>
  <c r="C91" i="17"/>
  <c r="D91" i="17"/>
  <c r="B92" i="17"/>
  <c r="C92" i="17"/>
  <c r="D92" i="17"/>
  <c r="B93" i="17"/>
  <c r="C93" i="17"/>
  <c r="D93" i="17"/>
  <c r="B55" i="17"/>
  <c r="C55" i="17"/>
  <c r="D55" i="17"/>
  <c r="B56" i="17"/>
  <c r="C56" i="17"/>
  <c r="D56" i="17"/>
  <c r="B57" i="17"/>
  <c r="C57" i="17"/>
  <c r="D57" i="17"/>
  <c r="B58" i="17"/>
  <c r="C58" i="17"/>
  <c r="D58" i="17"/>
  <c r="B59" i="17"/>
  <c r="C59" i="17"/>
  <c r="D59" i="17"/>
  <c r="B54" i="17"/>
  <c r="B38" i="17"/>
  <c r="C38" i="17"/>
  <c r="D38" i="17"/>
  <c r="B39" i="17"/>
  <c r="C39" i="17"/>
  <c r="D39" i="17"/>
  <c r="B40" i="17"/>
  <c r="C40" i="17"/>
  <c r="D40" i="17"/>
  <c r="B28" i="17"/>
  <c r="C28" i="17"/>
  <c r="D28" i="17"/>
  <c r="D18" i="17"/>
  <c r="C18" i="17"/>
  <c r="B18" i="17"/>
  <c r="B9" i="17"/>
  <c r="C9" i="17"/>
  <c r="D9" i="17"/>
  <c r="B45" i="4"/>
  <c r="D45" i="4"/>
  <c r="B46" i="4"/>
  <c r="D46" i="4"/>
  <c r="B47" i="4"/>
  <c r="D47" i="4"/>
  <c r="B48" i="4"/>
  <c r="D48" i="4"/>
  <c r="B49" i="4"/>
  <c r="D49" i="4"/>
  <c r="B50" i="4"/>
  <c r="D50" i="4"/>
  <c r="D44" i="4"/>
  <c r="B44" i="4"/>
  <c r="B33" i="4"/>
  <c r="D33" i="4"/>
  <c r="B34" i="4"/>
  <c r="B35" i="4"/>
  <c r="D35" i="4"/>
  <c r="B36" i="4"/>
  <c r="D36" i="4"/>
  <c r="B37" i="4"/>
  <c r="D37" i="4"/>
  <c r="B39" i="4"/>
  <c r="D39" i="4"/>
  <c r="D111" i="4"/>
  <c r="B111" i="4"/>
  <c r="D107" i="4"/>
  <c r="B107" i="4"/>
  <c r="D106" i="4"/>
  <c r="B106" i="4"/>
  <c r="D104" i="4"/>
  <c r="B104" i="4"/>
  <c r="D103" i="4"/>
  <c r="B103" i="4"/>
  <c r="D102" i="4"/>
  <c r="B102" i="4"/>
  <c r="D101" i="4"/>
  <c r="B101" i="4"/>
  <c r="D100" i="4"/>
  <c r="B100" i="4"/>
  <c r="D99" i="4"/>
  <c r="B99" i="4"/>
  <c r="D98" i="4"/>
  <c r="B98" i="4"/>
  <c r="B86" i="4"/>
  <c r="D86" i="4"/>
  <c r="B87" i="4"/>
  <c r="D87" i="4"/>
  <c r="B88" i="4"/>
  <c r="D88" i="4"/>
  <c r="B89" i="4"/>
  <c r="D89" i="4"/>
  <c r="B90" i="4"/>
  <c r="D90" i="4"/>
  <c r="B92" i="4"/>
  <c r="D92" i="4"/>
  <c r="B93" i="4"/>
  <c r="D93" i="4"/>
  <c r="D85" i="4"/>
  <c r="B85" i="4"/>
  <c r="B73" i="4"/>
  <c r="D73" i="4"/>
  <c r="B74" i="4"/>
  <c r="D74" i="4"/>
  <c r="B75" i="4"/>
  <c r="D75" i="4"/>
  <c r="B76" i="4"/>
  <c r="D76" i="4"/>
  <c r="B77" i="4"/>
  <c r="D77" i="4"/>
  <c r="B78" i="4"/>
  <c r="D78" i="4"/>
  <c r="B79" i="4"/>
  <c r="D79" i="4"/>
  <c r="B80" i="4"/>
  <c r="D80" i="4"/>
  <c r="B81" i="4"/>
  <c r="D81" i="4"/>
  <c r="D72" i="4"/>
  <c r="B72" i="4"/>
  <c r="B64" i="4"/>
  <c r="D64" i="4"/>
  <c r="B65" i="4"/>
  <c r="D65" i="4"/>
  <c r="B66" i="4"/>
  <c r="D66" i="4"/>
  <c r="B67" i="4"/>
  <c r="D67" i="4"/>
  <c r="B68" i="4"/>
  <c r="D68" i="4"/>
  <c r="D63" i="4"/>
  <c r="B63" i="4"/>
  <c r="D54" i="4"/>
  <c r="B54" i="4"/>
  <c r="B55" i="4"/>
  <c r="C55" i="4"/>
  <c r="B56" i="4"/>
  <c r="B58" i="4"/>
  <c r="B59" i="4"/>
  <c r="D32" i="4"/>
  <c r="C32" i="4"/>
  <c r="B32" i="4"/>
  <c r="D19" i="4"/>
  <c r="D20" i="4"/>
  <c r="D21" i="4"/>
  <c r="D22" i="4"/>
  <c r="D23" i="4"/>
  <c r="D24" i="4"/>
  <c r="D25" i="4"/>
  <c r="D26" i="4"/>
  <c r="D27" i="4"/>
  <c r="B19" i="4"/>
  <c r="B20" i="4"/>
  <c r="B21" i="4"/>
  <c r="B22" i="4"/>
  <c r="B23" i="4"/>
  <c r="B24" i="4"/>
  <c r="B25" i="4"/>
  <c r="B26" i="4"/>
  <c r="B27" i="4"/>
  <c r="B10" i="4"/>
  <c r="B11" i="4"/>
  <c r="B12" i="4"/>
  <c r="B13" i="4"/>
  <c r="B14" i="4"/>
  <c r="D8" i="4"/>
  <c r="B8" i="4"/>
  <c r="D55" i="4"/>
  <c r="D56" i="4"/>
  <c r="D58" i="4"/>
  <c r="D59" i="4"/>
  <c r="D10" i="4"/>
  <c r="D11" i="4"/>
  <c r="D12" i="4"/>
  <c r="D13" i="4"/>
  <c r="D14" i="4"/>
  <c r="C109" i="9"/>
  <c r="D109" i="9"/>
  <c r="C94" i="9"/>
  <c r="D94" i="9"/>
  <c r="C82" i="9"/>
  <c r="D82" i="9"/>
  <c r="C69" i="9"/>
  <c r="D69" i="9"/>
  <c r="C60" i="9"/>
  <c r="D60" i="9"/>
  <c r="C51" i="9"/>
  <c r="D51" i="9"/>
  <c r="C41" i="9"/>
  <c r="D41" i="9"/>
  <c r="C15" i="9"/>
  <c r="C117" i="8" l="1"/>
  <c r="D117" i="8"/>
  <c r="C110" i="8"/>
  <c r="D110" i="8"/>
  <c r="C95" i="8"/>
  <c r="D95" i="8"/>
  <c r="C83" i="8"/>
  <c r="D83" i="8"/>
  <c r="C70" i="8"/>
  <c r="D70" i="8"/>
  <c r="C61" i="8"/>
  <c r="D61" i="8"/>
  <c r="C52" i="8"/>
  <c r="D52" i="8"/>
  <c r="C42" i="8"/>
  <c r="D42" i="8"/>
  <c r="C29" i="8"/>
  <c r="C119" i="8" s="1"/>
  <c r="D29" i="8"/>
  <c r="D119" i="8" s="1"/>
  <c r="C15" i="8"/>
  <c r="D15" i="8"/>
  <c r="E92" i="8"/>
  <c r="E28" i="7"/>
  <c r="E55" i="7"/>
  <c r="E59" i="7"/>
  <c r="E82" i="7"/>
  <c r="E91" i="7"/>
  <c r="E114" i="7"/>
  <c r="E111" i="7"/>
  <c r="E107" i="7"/>
  <c r="E106" i="7"/>
  <c r="E104" i="7"/>
  <c r="E103" i="7"/>
  <c r="E102" i="7"/>
  <c r="E101" i="7"/>
  <c r="E100" i="7"/>
  <c r="E99" i="7"/>
  <c r="E98" i="7"/>
  <c r="E97" i="7"/>
  <c r="E93" i="7"/>
  <c r="E92" i="7"/>
  <c r="E90" i="7"/>
  <c r="E89" i="7"/>
  <c r="E88" i="7"/>
  <c r="E87" i="7"/>
  <c r="E86" i="7"/>
  <c r="E85" i="7"/>
  <c r="E81" i="7"/>
  <c r="E80" i="7"/>
  <c r="E79" i="7"/>
  <c r="E78" i="7"/>
  <c r="E77" i="7"/>
  <c r="E76" i="7"/>
  <c r="E75" i="7"/>
  <c r="E74" i="7"/>
  <c r="E73" i="7"/>
  <c r="E72" i="7"/>
  <c r="E68" i="7"/>
  <c r="E67" i="7"/>
  <c r="E66" i="7"/>
  <c r="E65" i="7"/>
  <c r="E64" i="7"/>
  <c r="E63" i="7"/>
  <c r="E57" i="7"/>
  <c r="E56" i="7"/>
  <c r="E54" i="7"/>
  <c r="E50" i="7"/>
  <c r="E49" i="7"/>
  <c r="E48" i="7"/>
  <c r="E47" i="7"/>
  <c r="E46" i="7"/>
  <c r="E45" i="7"/>
  <c r="E44" i="7"/>
  <c r="E40" i="7"/>
  <c r="E39" i="7"/>
  <c r="E37" i="7"/>
  <c r="E36" i="7"/>
  <c r="E35" i="7"/>
  <c r="E34" i="7"/>
  <c r="E33" i="7"/>
  <c r="E32" i="7"/>
  <c r="E27" i="7"/>
  <c r="E26" i="7"/>
  <c r="E25" i="7"/>
  <c r="E24" i="7"/>
  <c r="E23" i="7"/>
  <c r="E22" i="7"/>
  <c r="E21" i="7"/>
  <c r="E20" i="7"/>
  <c r="E19" i="7"/>
  <c r="E14" i="7"/>
  <c r="E13" i="7"/>
  <c r="E12" i="7"/>
  <c r="E11" i="7"/>
  <c r="E10" i="7"/>
  <c r="E8" i="7"/>
  <c r="E18" i="7" l="1"/>
  <c r="E69" i="7"/>
  <c r="E112" i="7"/>
  <c r="E51" i="7"/>
  <c r="E105" i="7"/>
  <c r="E9" i="7"/>
  <c r="E58" i="7"/>
  <c r="E38" i="7"/>
  <c r="E94" i="7"/>
  <c r="E113" i="7"/>
  <c r="E108" i="7"/>
  <c r="E29" i="7"/>
  <c r="E60" i="7"/>
  <c r="E115" i="7"/>
  <c r="E41" i="7"/>
  <c r="E15" i="7" l="1"/>
  <c r="E117" i="7" s="1"/>
  <c r="G117" i="13" l="1"/>
  <c r="I117" i="12"/>
  <c r="H117" i="12"/>
  <c r="B98" i="8"/>
  <c r="B97" i="9"/>
  <c r="B29" i="8" l="1"/>
  <c r="E9" i="8"/>
  <c r="E18" i="8"/>
  <c r="E28" i="8"/>
  <c r="E41" i="8"/>
  <c r="E38" i="8"/>
  <c r="E56" i="8"/>
  <c r="E59" i="8"/>
  <c r="E60" i="8"/>
  <c r="E107" i="8"/>
  <c r="E116" i="8"/>
  <c r="E115" i="8"/>
  <c r="E98" i="8"/>
  <c r="E106" i="9"/>
  <c r="E99" i="9"/>
  <c r="E91" i="9"/>
  <c r="E59" i="9"/>
  <c r="E58" i="9"/>
  <c r="E55" i="9"/>
  <c r="E40" i="9"/>
  <c r="E38" i="9"/>
  <c r="E28" i="9"/>
  <c r="E9" i="9"/>
  <c r="E115" i="9"/>
  <c r="E114" i="9"/>
  <c r="E113" i="9"/>
  <c r="D97" i="10"/>
  <c r="D97" i="17" s="1"/>
  <c r="B97" i="10"/>
  <c r="B108" i="10" s="1"/>
  <c r="C73" i="17"/>
  <c r="C75" i="17"/>
  <c r="C79" i="17"/>
  <c r="C81" i="17"/>
  <c r="C64" i="17"/>
  <c r="C68" i="17"/>
  <c r="C47" i="17"/>
  <c r="C49" i="17"/>
  <c r="C33" i="17"/>
  <c r="C34" i="17"/>
  <c r="C35" i="17"/>
  <c r="C36" i="17"/>
  <c r="C37" i="17"/>
  <c r="C19" i="17"/>
  <c r="C20" i="17"/>
  <c r="C21" i="17"/>
  <c r="C27" i="17"/>
  <c r="C10" i="17"/>
  <c r="C13" i="17"/>
  <c r="C14" i="17"/>
  <c r="C100" i="17"/>
  <c r="C101" i="17"/>
  <c r="C103" i="17"/>
  <c r="C72" i="17"/>
  <c r="C63" i="17"/>
  <c r="C8" i="17"/>
  <c r="C115" i="10"/>
  <c r="C112" i="11"/>
  <c r="C113" i="11"/>
  <c r="C114" i="11"/>
  <c r="C111" i="11"/>
  <c r="C104" i="11"/>
  <c r="I97" i="11"/>
  <c r="I117" i="11" s="1"/>
  <c r="H97" i="11"/>
  <c r="H117" i="11" s="1"/>
  <c r="D97" i="11"/>
  <c r="D97" i="18" s="1"/>
  <c r="B97" i="11"/>
  <c r="B108" i="11" s="1"/>
  <c r="C98" i="11"/>
  <c r="C99" i="11"/>
  <c r="C100" i="11"/>
  <c r="C101" i="11"/>
  <c r="C102" i="11"/>
  <c r="C103" i="11"/>
  <c r="C105" i="11"/>
  <c r="C106" i="11"/>
  <c r="C107" i="11"/>
  <c r="C86" i="11"/>
  <c r="C87" i="11"/>
  <c r="C88" i="11"/>
  <c r="C89" i="11"/>
  <c r="C90" i="11"/>
  <c r="C91" i="11"/>
  <c r="C92" i="11"/>
  <c r="C93" i="11"/>
  <c r="C85" i="11"/>
  <c r="C73" i="11"/>
  <c r="C74" i="11"/>
  <c r="C75" i="11"/>
  <c r="C76" i="11"/>
  <c r="C77" i="11"/>
  <c r="C78" i="11"/>
  <c r="C79" i="11"/>
  <c r="C80" i="11"/>
  <c r="C81" i="11"/>
  <c r="C72" i="11"/>
  <c r="C64" i="11"/>
  <c r="C69" i="11" s="1"/>
  <c r="C65" i="11"/>
  <c r="C66" i="11"/>
  <c r="C67" i="11"/>
  <c r="C68" i="11"/>
  <c r="C63" i="11"/>
  <c r="C55" i="11"/>
  <c r="C56" i="11"/>
  <c r="C57" i="11"/>
  <c r="C58" i="11"/>
  <c r="C59" i="11"/>
  <c r="C54" i="11"/>
  <c r="C45" i="11"/>
  <c r="C46" i="11"/>
  <c r="C47" i="11"/>
  <c r="C48" i="11"/>
  <c r="C49" i="11"/>
  <c r="C50" i="11"/>
  <c r="C44" i="11"/>
  <c r="C33" i="11"/>
  <c r="C34" i="11"/>
  <c r="C35" i="11"/>
  <c r="C36" i="11"/>
  <c r="C37" i="11"/>
  <c r="C38" i="11"/>
  <c r="C39" i="11"/>
  <c r="C40" i="11"/>
  <c r="C23" i="11"/>
  <c r="C24" i="11"/>
  <c r="C25" i="11"/>
  <c r="C26" i="11"/>
  <c r="C27" i="11"/>
  <c r="C28" i="11"/>
  <c r="C13" i="11"/>
  <c r="C14" i="11"/>
  <c r="C9" i="11"/>
  <c r="C10" i="11"/>
  <c r="C11" i="11"/>
  <c r="C12" i="11"/>
  <c r="F18" i="21"/>
  <c r="E18" i="21"/>
  <c r="F17" i="21"/>
  <c r="E17" i="21"/>
  <c r="F16" i="21"/>
  <c r="E16" i="21"/>
  <c r="C22" i="11"/>
  <c r="C21" i="11"/>
  <c r="C20" i="11"/>
  <c r="C19" i="11"/>
  <c r="C18" i="11"/>
  <c r="C8" i="11"/>
  <c r="C97" i="12"/>
  <c r="C112" i="12"/>
  <c r="C113" i="12"/>
  <c r="C114" i="12"/>
  <c r="C111" i="12"/>
  <c r="C111" i="18" s="1"/>
  <c r="C98" i="12"/>
  <c r="C99" i="12"/>
  <c r="C100" i="12"/>
  <c r="C101" i="12"/>
  <c r="C102" i="12"/>
  <c r="C103" i="12"/>
  <c r="C104" i="12"/>
  <c r="C105" i="12"/>
  <c r="C105" i="18" s="1"/>
  <c r="C106" i="12"/>
  <c r="C107" i="12"/>
  <c r="C86" i="12"/>
  <c r="C87" i="12"/>
  <c r="C88" i="12"/>
  <c r="C89" i="12"/>
  <c r="C90" i="12"/>
  <c r="C91" i="12"/>
  <c r="C91" i="18" s="1"/>
  <c r="C92" i="12"/>
  <c r="C93" i="12"/>
  <c r="C85" i="12"/>
  <c r="C73" i="12"/>
  <c r="C74" i="12"/>
  <c r="C75" i="12"/>
  <c r="C76" i="12"/>
  <c r="C77" i="12"/>
  <c r="C77" i="18" s="1"/>
  <c r="C78" i="12"/>
  <c r="C78" i="18" s="1"/>
  <c r="C79" i="12"/>
  <c r="C80" i="12"/>
  <c r="C81" i="12"/>
  <c r="C72" i="12"/>
  <c r="C64" i="12"/>
  <c r="C65" i="12"/>
  <c r="C66" i="12"/>
  <c r="C67" i="12"/>
  <c r="C68" i="12"/>
  <c r="C63" i="12"/>
  <c r="C55" i="12"/>
  <c r="C56" i="12"/>
  <c r="C57" i="12"/>
  <c r="C58" i="12"/>
  <c r="C59" i="12"/>
  <c r="C54" i="12"/>
  <c r="C54" i="18" s="1"/>
  <c r="C45" i="12"/>
  <c r="C46" i="12"/>
  <c r="C48" i="12"/>
  <c r="C49" i="12"/>
  <c r="C50" i="12"/>
  <c r="C44" i="12"/>
  <c r="C33" i="12"/>
  <c r="C34" i="12"/>
  <c r="C35" i="12"/>
  <c r="C36" i="12"/>
  <c r="C37" i="12"/>
  <c r="C38" i="12"/>
  <c r="C39" i="12"/>
  <c r="C40" i="12"/>
  <c r="C19" i="12"/>
  <c r="C20" i="12"/>
  <c r="C21" i="12"/>
  <c r="C22" i="12"/>
  <c r="C23" i="12"/>
  <c r="C24" i="12"/>
  <c r="C25" i="12"/>
  <c r="C26" i="12"/>
  <c r="C27" i="12"/>
  <c r="C28" i="12"/>
  <c r="C18" i="12"/>
  <c r="C9" i="12"/>
  <c r="C10" i="12"/>
  <c r="C10" i="18" s="1"/>
  <c r="C11" i="12"/>
  <c r="C12" i="12"/>
  <c r="C13" i="12"/>
  <c r="C14" i="12"/>
  <c r="C8" i="13"/>
  <c r="C8" i="4" s="1"/>
  <c r="C8" i="12"/>
  <c r="H9" i="13"/>
  <c r="H117" i="13" s="1"/>
  <c r="C80" i="13"/>
  <c r="C40" i="13"/>
  <c r="C38" i="13"/>
  <c r="F15" i="21"/>
  <c r="E15" i="21"/>
  <c r="C19" i="13"/>
  <c r="C112" i="13"/>
  <c r="C113" i="13"/>
  <c r="C114" i="13"/>
  <c r="C111" i="13"/>
  <c r="C98" i="13"/>
  <c r="C99" i="13"/>
  <c r="C99" i="4" s="1"/>
  <c r="C100" i="13"/>
  <c r="C100" i="4" s="1"/>
  <c r="C101" i="13"/>
  <c r="C101" i="4" s="1"/>
  <c r="C102" i="13"/>
  <c r="C103" i="13"/>
  <c r="C104" i="13"/>
  <c r="C105" i="13"/>
  <c r="C106" i="13"/>
  <c r="C107" i="13"/>
  <c r="C107" i="4" s="1"/>
  <c r="C86" i="13"/>
  <c r="C86" i="4" s="1"/>
  <c r="C87" i="13"/>
  <c r="C87" i="4" s="1"/>
  <c r="C88" i="13"/>
  <c r="C89" i="13"/>
  <c r="C90" i="13"/>
  <c r="C91" i="13"/>
  <c r="C92" i="13"/>
  <c r="C93" i="13"/>
  <c r="C93" i="4" s="1"/>
  <c r="C85" i="13"/>
  <c r="C85" i="4" s="1"/>
  <c r="C73" i="13"/>
  <c r="C73" i="4" s="1"/>
  <c r="C74" i="13"/>
  <c r="C75" i="13"/>
  <c r="C76" i="13"/>
  <c r="C77" i="13"/>
  <c r="C78" i="13"/>
  <c r="C79" i="13"/>
  <c r="C79" i="4" s="1"/>
  <c r="C81" i="13"/>
  <c r="C72" i="13"/>
  <c r="C64" i="13"/>
  <c r="C65" i="13"/>
  <c r="C66" i="13"/>
  <c r="C67" i="13"/>
  <c r="C68" i="13"/>
  <c r="C68" i="4" s="1"/>
  <c r="C63" i="13"/>
  <c r="C63" i="4" s="1"/>
  <c r="C55" i="13"/>
  <c r="C55" i="18" s="1"/>
  <c r="C56" i="13"/>
  <c r="C57" i="13"/>
  <c r="C58" i="13"/>
  <c r="C59" i="13"/>
  <c r="C54" i="13"/>
  <c r="C45" i="13"/>
  <c r="C45" i="4" s="1"/>
  <c r="C46" i="13"/>
  <c r="C46" i="4" s="1"/>
  <c r="C47" i="13"/>
  <c r="C47" i="4" s="1"/>
  <c r="C48" i="13"/>
  <c r="C48" i="4" s="1"/>
  <c r="C49" i="13"/>
  <c r="C50" i="13"/>
  <c r="C50" i="4" s="1"/>
  <c r="C44" i="13"/>
  <c r="C44" i="4" s="1"/>
  <c r="C33" i="13"/>
  <c r="C34" i="13"/>
  <c r="C35" i="13"/>
  <c r="C35" i="4" s="1"/>
  <c r="C36" i="13"/>
  <c r="C36" i="4" s="1"/>
  <c r="C37" i="13"/>
  <c r="C37" i="4" s="1"/>
  <c r="C39" i="13"/>
  <c r="C39" i="4" s="1"/>
  <c r="C20" i="13"/>
  <c r="C21" i="13"/>
  <c r="C22" i="13"/>
  <c r="C23" i="13"/>
  <c r="C24" i="13"/>
  <c r="C24" i="4" s="1"/>
  <c r="C25" i="13"/>
  <c r="C26" i="13"/>
  <c r="C27" i="13"/>
  <c r="C28" i="13"/>
  <c r="C18" i="13"/>
  <c r="C10" i="13"/>
  <c r="C11" i="13"/>
  <c r="C11" i="4" s="1"/>
  <c r="C12" i="13"/>
  <c r="C12" i="4" s="1"/>
  <c r="C13" i="13"/>
  <c r="C14" i="13"/>
  <c r="E14" i="21"/>
  <c r="D112" i="14"/>
  <c r="D115" i="14" s="1"/>
  <c r="D114" i="14"/>
  <c r="C114" i="14"/>
  <c r="B114" i="14"/>
  <c r="D113" i="14"/>
  <c r="C113" i="14"/>
  <c r="B113" i="14"/>
  <c r="B115" i="14" s="1"/>
  <c r="C112" i="14"/>
  <c r="B112" i="14"/>
  <c r="D105" i="14"/>
  <c r="C105" i="14"/>
  <c r="B105" i="14"/>
  <c r="D97" i="14"/>
  <c r="C97" i="14"/>
  <c r="B97" i="14"/>
  <c r="B108" i="14" s="1"/>
  <c r="D91" i="14"/>
  <c r="D94" i="14" s="1"/>
  <c r="C91" i="14"/>
  <c r="C94" i="14" s="1"/>
  <c r="B91" i="14"/>
  <c r="B94" i="14" s="1"/>
  <c r="E46" i="14"/>
  <c r="B83" i="8"/>
  <c r="B82" i="9"/>
  <c r="B82" i="14"/>
  <c r="B82" i="15"/>
  <c r="E9" i="14"/>
  <c r="E10" i="14"/>
  <c r="E11" i="14"/>
  <c r="E8" i="14"/>
  <c r="E12" i="14"/>
  <c r="D34" i="16"/>
  <c r="F8" i="4"/>
  <c r="F12" i="4"/>
  <c r="E19" i="4"/>
  <c r="F20" i="4"/>
  <c r="F21" i="4"/>
  <c r="F22" i="4"/>
  <c r="E23" i="4"/>
  <c r="F24" i="4"/>
  <c r="E32" i="4"/>
  <c r="F33" i="4"/>
  <c r="F35" i="4"/>
  <c r="F37" i="4"/>
  <c r="H37" i="4" s="1"/>
  <c r="F39" i="4"/>
  <c r="E44" i="4"/>
  <c r="E48" i="4"/>
  <c r="F49" i="4"/>
  <c r="F50" i="4"/>
  <c r="E54" i="4"/>
  <c r="F64" i="4"/>
  <c r="F65" i="4"/>
  <c r="H65" i="4" s="1"/>
  <c r="E67" i="4"/>
  <c r="E72" i="4"/>
  <c r="E73" i="4"/>
  <c r="F76" i="4"/>
  <c r="E77" i="4"/>
  <c r="F78" i="4"/>
  <c r="E81" i="4"/>
  <c r="F85" i="4"/>
  <c r="F86" i="4"/>
  <c r="F87" i="4"/>
  <c r="F88" i="4"/>
  <c r="F89" i="4"/>
  <c r="E93" i="4"/>
  <c r="E111" i="4"/>
  <c r="B8" i="17"/>
  <c r="D8" i="17"/>
  <c r="B10" i="17"/>
  <c r="D10" i="17"/>
  <c r="B11" i="17"/>
  <c r="D11" i="17"/>
  <c r="B12" i="17"/>
  <c r="D12" i="17"/>
  <c r="B13" i="17"/>
  <c r="D13" i="17"/>
  <c r="B14" i="17"/>
  <c r="D14" i="17"/>
  <c r="B19" i="17"/>
  <c r="D19" i="17"/>
  <c r="B20" i="17"/>
  <c r="D20" i="17"/>
  <c r="B21" i="17"/>
  <c r="D21" i="17"/>
  <c r="B22" i="17"/>
  <c r="D22" i="17"/>
  <c r="B23" i="17"/>
  <c r="D23" i="17"/>
  <c r="B24" i="17"/>
  <c r="D24" i="17"/>
  <c r="B25" i="17"/>
  <c r="D25" i="17"/>
  <c r="B26" i="17"/>
  <c r="D26" i="17"/>
  <c r="B27" i="17"/>
  <c r="D27" i="17"/>
  <c r="B32" i="17"/>
  <c r="D32" i="17"/>
  <c r="B33" i="17"/>
  <c r="D33" i="17"/>
  <c r="B34" i="17"/>
  <c r="D34" i="17"/>
  <c r="B35" i="17"/>
  <c r="D35" i="17"/>
  <c r="B36" i="17"/>
  <c r="D36" i="17"/>
  <c r="B37" i="17"/>
  <c r="D37" i="17"/>
  <c r="B44" i="17"/>
  <c r="D44" i="17"/>
  <c r="B45" i="17"/>
  <c r="D45" i="17"/>
  <c r="B46" i="17"/>
  <c r="D46" i="17"/>
  <c r="B47" i="17"/>
  <c r="D47" i="17"/>
  <c r="B48" i="17"/>
  <c r="D48" i="17"/>
  <c r="F48" i="17" s="1"/>
  <c r="B49" i="17"/>
  <c r="D49" i="17"/>
  <c r="B50" i="17"/>
  <c r="D50" i="17"/>
  <c r="D54" i="17"/>
  <c r="F54" i="17" s="1"/>
  <c r="B63" i="17"/>
  <c r="D63" i="17"/>
  <c r="B64" i="17"/>
  <c r="D64" i="17"/>
  <c r="B65" i="17"/>
  <c r="D65" i="17"/>
  <c r="B66" i="17"/>
  <c r="D66" i="17"/>
  <c r="B67" i="17"/>
  <c r="D67" i="17"/>
  <c r="B68" i="17"/>
  <c r="D68" i="17"/>
  <c r="B72" i="17"/>
  <c r="D72" i="17"/>
  <c r="B73" i="17"/>
  <c r="D73" i="17"/>
  <c r="B74" i="17"/>
  <c r="D74" i="17"/>
  <c r="B75" i="17"/>
  <c r="D75" i="17"/>
  <c r="B76" i="17"/>
  <c r="D76" i="17"/>
  <c r="B77" i="17"/>
  <c r="D77" i="17"/>
  <c r="B78" i="17"/>
  <c r="D78" i="17"/>
  <c r="B79" i="17"/>
  <c r="D79" i="17"/>
  <c r="B80" i="17"/>
  <c r="D80" i="17"/>
  <c r="B81" i="17"/>
  <c r="D81" i="17"/>
  <c r="B85" i="17"/>
  <c r="D85" i="17"/>
  <c r="B98" i="17"/>
  <c r="D98" i="17"/>
  <c r="B99" i="17"/>
  <c r="D99" i="17"/>
  <c r="B100" i="17"/>
  <c r="D100" i="17"/>
  <c r="B101" i="17"/>
  <c r="D101" i="17"/>
  <c r="B102" i="17"/>
  <c r="D102" i="17"/>
  <c r="B103" i="17"/>
  <c r="D103" i="17"/>
  <c r="B104" i="17"/>
  <c r="D104" i="17"/>
  <c r="B106" i="17"/>
  <c r="D106" i="17"/>
  <c r="B107" i="17"/>
  <c r="D107" i="17"/>
  <c r="B111" i="17"/>
  <c r="D111" i="17"/>
  <c r="B8" i="18"/>
  <c r="D8" i="18"/>
  <c r="D9" i="18"/>
  <c r="D10" i="18"/>
  <c r="D11" i="18"/>
  <c r="D12" i="18"/>
  <c r="D13" i="18"/>
  <c r="F13" i="18" s="1"/>
  <c r="D14" i="18"/>
  <c r="B18" i="18"/>
  <c r="D18" i="18"/>
  <c r="B19" i="18"/>
  <c r="D19" i="18"/>
  <c r="B20" i="18"/>
  <c r="D20" i="18"/>
  <c r="B21" i="18"/>
  <c r="D21" i="18"/>
  <c r="B22" i="18"/>
  <c r="D22" i="18"/>
  <c r="B23" i="18"/>
  <c r="D23" i="18"/>
  <c r="B24" i="18"/>
  <c r="D24" i="18"/>
  <c r="B25" i="18"/>
  <c r="D25" i="18"/>
  <c r="F25" i="18" s="1"/>
  <c r="B26" i="18"/>
  <c r="D26" i="18"/>
  <c r="B27" i="18"/>
  <c r="D27" i="18"/>
  <c r="B28" i="18"/>
  <c r="D28" i="18"/>
  <c r="B32" i="18"/>
  <c r="C32" i="18"/>
  <c r="D32" i="18"/>
  <c r="B33" i="18"/>
  <c r="D33" i="18"/>
  <c r="B34" i="18"/>
  <c r="D34" i="18"/>
  <c r="B35" i="18"/>
  <c r="D35" i="18"/>
  <c r="F35" i="18" s="1"/>
  <c r="B36" i="18"/>
  <c r="D36" i="18"/>
  <c r="B37" i="18"/>
  <c r="D37" i="18"/>
  <c r="F37" i="18" s="1"/>
  <c r="B38" i="18"/>
  <c r="D38" i="18"/>
  <c r="B39" i="18"/>
  <c r="D39" i="18"/>
  <c r="B40" i="18"/>
  <c r="D40" i="18"/>
  <c r="B44" i="18"/>
  <c r="D44" i="18"/>
  <c r="B45" i="18"/>
  <c r="D45" i="18"/>
  <c r="B46" i="18"/>
  <c r="D46" i="18"/>
  <c r="B47" i="18"/>
  <c r="D47" i="18"/>
  <c r="F47" i="18" s="1"/>
  <c r="B48" i="18"/>
  <c r="D48" i="18"/>
  <c r="B49" i="18"/>
  <c r="D49" i="18"/>
  <c r="F49" i="18" s="1"/>
  <c r="B50" i="18"/>
  <c r="D50" i="18"/>
  <c r="B54" i="18"/>
  <c r="D54" i="18"/>
  <c r="B55" i="18"/>
  <c r="D55" i="18"/>
  <c r="F55" i="18" s="1"/>
  <c r="B56" i="18"/>
  <c r="D56" i="18"/>
  <c r="B57" i="18"/>
  <c r="D57" i="18"/>
  <c r="F57" i="18" s="1"/>
  <c r="B58" i="18"/>
  <c r="D58" i="18"/>
  <c r="B59" i="18"/>
  <c r="D59" i="18"/>
  <c r="F59" i="18" s="1"/>
  <c r="B63" i="18"/>
  <c r="D63" i="18"/>
  <c r="B64" i="18"/>
  <c r="D64" i="18"/>
  <c r="F64" i="18" s="1"/>
  <c r="B65" i="18"/>
  <c r="D65" i="18"/>
  <c r="F65" i="18" s="1"/>
  <c r="B66" i="18"/>
  <c r="D66" i="18"/>
  <c r="B67" i="18"/>
  <c r="D67" i="18"/>
  <c r="B68" i="18"/>
  <c r="D68" i="18"/>
  <c r="B72" i="18"/>
  <c r="D72" i="18"/>
  <c r="B73" i="18"/>
  <c r="D73" i="18"/>
  <c r="F73" i="18" s="1"/>
  <c r="B74" i="18"/>
  <c r="D74" i="18"/>
  <c r="B75" i="18"/>
  <c r="D75" i="18"/>
  <c r="B76" i="18"/>
  <c r="D76" i="18"/>
  <c r="B77" i="18"/>
  <c r="D77" i="18"/>
  <c r="B78" i="18"/>
  <c r="D78" i="18"/>
  <c r="E78" i="18" s="1"/>
  <c r="B79" i="18"/>
  <c r="C79" i="18"/>
  <c r="D79" i="18"/>
  <c r="B80" i="18"/>
  <c r="D80" i="18"/>
  <c r="B81" i="18"/>
  <c r="D81" i="18"/>
  <c r="F81" i="18" s="1"/>
  <c r="B85" i="18"/>
  <c r="D85" i="18"/>
  <c r="F85" i="18" s="1"/>
  <c r="B86" i="18"/>
  <c r="D86" i="18"/>
  <c r="B87" i="18"/>
  <c r="D87" i="18"/>
  <c r="B88" i="18"/>
  <c r="D88" i="18"/>
  <c r="B89" i="18"/>
  <c r="D89" i="18"/>
  <c r="B90" i="18"/>
  <c r="D90" i="18"/>
  <c r="B91" i="18"/>
  <c r="D91" i="18"/>
  <c r="F91" i="18" s="1"/>
  <c r="B92" i="18"/>
  <c r="D92" i="18"/>
  <c r="B93" i="18"/>
  <c r="D93" i="18"/>
  <c r="B97" i="18"/>
  <c r="B98" i="18"/>
  <c r="D98" i="18"/>
  <c r="B99" i="18"/>
  <c r="C99" i="18"/>
  <c r="D99" i="18"/>
  <c r="B100" i="18"/>
  <c r="D100" i="18"/>
  <c r="B101" i="18"/>
  <c r="D101" i="18"/>
  <c r="B102" i="18"/>
  <c r="D102" i="18"/>
  <c r="F102" i="18" s="1"/>
  <c r="B103" i="18"/>
  <c r="D103" i="18"/>
  <c r="B104" i="18"/>
  <c r="D104" i="18"/>
  <c r="F104" i="18" s="1"/>
  <c r="B105" i="18"/>
  <c r="D105" i="18"/>
  <c r="B106" i="18"/>
  <c r="D106" i="18"/>
  <c r="B107" i="18"/>
  <c r="D107" i="18"/>
  <c r="B111" i="18"/>
  <c r="D111" i="18"/>
  <c r="B112" i="18"/>
  <c r="D112" i="18"/>
  <c r="B113" i="18"/>
  <c r="D113" i="18"/>
  <c r="B114" i="18"/>
  <c r="D114" i="18"/>
  <c r="B8" i="19"/>
  <c r="C8" i="19"/>
  <c r="D8" i="19"/>
  <c r="B10" i="19"/>
  <c r="C10" i="19"/>
  <c r="D10" i="19"/>
  <c r="E10" i="19" s="1"/>
  <c r="B11" i="19"/>
  <c r="C11" i="19"/>
  <c r="D11" i="19"/>
  <c r="F11" i="19" s="1"/>
  <c r="B12" i="19"/>
  <c r="C12" i="19"/>
  <c r="D12" i="19"/>
  <c r="B13" i="19"/>
  <c r="C13" i="19"/>
  <c r="D13" i="19"/>
  <c r="B14" i="19"/>
  <c r="C14" i="19"/>
  <c r="D14" i="19"/>
  <c r="B19" i="19"/>
  <c r="C19" i="19"/>
  <c r="D19" i="19"/>
  <c r="B20" i="19"/>
  <c r="C20" i="19"/>
  <c r="D20" i="19"/>
  <c r="B21" i="19"/>
  <c r="C21" i="19"/>
  <c r="D21" i="19"/>
  <c r="F21" i="19" s="1"/>
  <c r="B22" i="19"/>
  <c r="C22" i="19"/>
  <c r="D22" i="19"/>
  <c r="E22" i="19" s="1"/>
  <c r="B23" i="19"/>
  <c r="C23" i="19"/>
  <c r="D23" i="19"/>
  <c r="F23" i="19" s="1"/>
  <c r="B24" i="19"/>
  <c r="C24" i="19"/>
  <c r="D24" i="19"/>
  <c r="B25" i="19"/>
  <c r="C25" i="19"/>
  <c r="D25" i="19"/>
  <c r="B26" i="19"/>
  <c r="C26" i="19"/>
  <c r="D26" i="19"/>
  <c r="B27" i="19"/>
  <c r="C27" i="19"/>
  <c r="D27" i="19"/>
  <c r="B32" i="19"/>
  <c r="C32" i="19"/>
  <c r="D32" i="19"/>
  <c r="B33" i="19"/>
  <c r="C33" i="19"/>
  <c r="D33" i="19"/>
  <c r="B34" i="19"/>
  <c r="C34" i="19"/>
  <c r="B35" i="19"/>
  <c r="C35" i="19"/>
  <c r="D35" i="19"/>
  <c r="B36" i="19"/>
  <c r="C36" i="19"/>
  <c r="D36" i="19"/>
  <c r="B37" i="19"/>
  <c r="C37" i="19"/>
  <c r="D37" i="19"/>
  <c r="B39" i="19"/>
  <c r="C39" i="19"/>
  <c r="D39" i="19"/>
  <c r="F39" i="19" s="1"/>
  <c r="B44" i="19"/>
  <c r="C44" i="19"/>
  <c r="D44" i="19"/>
  <c r="F44" i="19" s="1"/>
  <c r="B45" i="19"/>
  <c r="C45" i="19"/>
  <c r="D45" i="19"/>
  <c r="B46" i="19"/>
  <c r="C46" i="19"/>
  <c r="D46" i="19"/>
  <c r="F46" i="19" s="1"/>
  <c r="B47" i="19"/>
  <c r="C47" i="19"/>
  <c r="D47" i="19"/>
  <c r="B48" i="19"/>
  <c r="C48" i="19"/>
  <c r="D48" i="19"/>
  <c r="B49" i="19"/>
  <c r="C49" i="19"/>
  <c r="D49" i="19"/>
  <c r="B50" i="19"/>
  <c r="C50" i="19"/>
  <c r="D50" i="19"/>
  <c r="B54" i="19"/>
  <c r="C54" i="19"/>
  <c r="D54" i="19"/>
  <c r="B56" i="19"/>
  <c r="C56" i="19"/>
  <c r="D56" i="19"/>
  <c r="B57" i="19"/>
  <c r="C57" i="19"/>
  <c r="D57" i="19"/>
  <c r="F57" i="19" s="1"/>
  <c r="B63" i="19"/>
  <c r="C63" i="19"/>
  <c r="D63" i="19"/>
  <c r="B64" i="19"/>
  <c r="C64" i="19"/>
  <c r="D64" i="19"/>
  <c r="B65" i="19"/>
  <c r="C65" i="19"/>
  <c r="D65" i="19"/>
  <c r="F65" i="19" s="1"/>
  <c r="B66" i="19"/>
  <c r="C66" i="19"/>
  <c r="D66" i="19"/>
  <c r="B67" i="19"/>
  <c r="C67" i="19"/>
  <c r="D67" i="19"/>
  <c r="F67" i="19" s="1"/>
  <c r="B68" i="19"/>
  <c r="C68" i="19"/>
  <c r="D68" i="19"/>
  <c r="B72" i="19"/>
  <c r="C72" i="19"/>
  <c r="D72" i="19"/>
  <c r="B73" i="19"/>
  <c r="C73" i="19"/>
  <c r="D73" i="19"/>
  <c r="B74" i="19"/>
  <c r="C74" i="19"/>
  <c r="D74" i="19"/>
  <c r="B75" i="19"/>
  <c r="C75" i="19"/>
  <c r="D75" i="19"/>
  <c r="B76" i="19"/>
  <c r="C76" i="19"/>
  <c r="D76" i="19"/>
  <c r="E76" i="19" s="1"/>
  <c r="B77" i="19"/>
  <c r="C77" i="19"/>
  <c r="D77" i="19"/>
  <c r="F77" i="19" s="1"/>
  <c r="B78" i="19"/>
  <c r="C78" i="19"/>
  <c r="D78" i="19"/>
  <c r="B79" i="19"/>
  <c r="C79" i="19"/>
  <c r="D79" i="19"/>
  <c r="B80" i="19"/>
  <c r="C80" i="19"/>
  <c r="D80" i="19"/>
  <c r="B81" i="19"/>
  <c r="C81" i="19"/>
  <c r="D81" i="19"/>
  <c r="B85" i="19"/>
  <c r="C85" i="19"/>
  <c r="D85" i="19"/>
  <c r="F85" i="19" s="1"/>
  <c r="B86" i="19"/>
  <c r="C86" i="19"/>
  <c r="D86" i="19"/>
  <c r="F86" i="19" s="1"/>
  <c r="B87" i="19"/>
  <c r="C87" i="19"/>
  <c r="D87" i="19"/>
  <c r="B88" i="19"/>
  <c r="C88" i="19"/>
  <c r="D88" i="19"/>
  <c r="B89" i="19"/>
  <c r="C89" i="19"/>
  <c r="D89" i="19"/>
  <c r="B90" i="19"/>
  <c r="C90" i="19"/>
  <c r="D90" i="19"/>
  <c r="B92" i="19"/>
  <c r="C92" i="19"/>
  <c r="D92" i="19"/>
  <c r="B93" i="19"/>
  <c r="C93" i="19"/>
  <c r="D93" i="19"/>
  <c r="F93" i="19" s="1"/>
  <c r="B98" i="19"/>
  <c r="C98" i="19"/>
  <c r="D98" i="19"/>
  <c r="F98" i="19" s="1"/>
  <c r="B99" i="19"/>
  <c r="C99" i="19"/>
  <c r="D99" i="19"/>
  <c r="F99" i="19" s="1"/>
  <c r="B100" i="19"/>
  <c r="C100" i="19"/>
  <c r="D100" i="19"/>
  <c r="E100" i="19" s="1"/>
  <c r="B101" i="19"/>
  <c r="C101" i="19"/>
  <c r="D101" i="19"/>
  <c r="F101" i="19" s="1"/>
  <c r="B102" i="19"/>
  <c r="C102" i="19"/>
  <c r="D102" i="19"/>
  <c r="B103" i="19"/>
  <c r="C103" i="19"/>
  <c r="D103" i="19"/>
  <c r="B104" i="19"/>
  <c r="C104" i="19"/>
  <c r="D104" i="19"/>
  <c r="B106" i="19"/>
  <c r="C106" i="19"/>
  <c r="D106" i="19"/>
  <c r="B107" i="19"/>
  <c r="C107" i="19"/>
  <c r="D107" i="19"/>
  <c r="F107" i="19" s="1"/>
  <c r="B111" i="19"/>
  <c r="C111" i="19"/>
  <c r="D111" i="19"/>
  <c r="F64" i="20"/>
  <c r="B72" i="20"/>
  <c r="C72" i="20"/>
  <c r="D72" i="20"/>
  <c r="B73" i="20"/>
  <c r="C73" i="20"/>
  <c r="D73" i="20"/>
  <c r="B74" i="20"/>
  <c r="C74" i="20"/>
  <c r="D74" i="20"/>
  <c r="B75" i="20"/>
  <c r="C75" i="20"/>
  <c r="D75" i="20"/>
  <c r="B76" i="20"/>
  <c r="C76" i="20"/>
  <c r="D76" i="20"/>
  <c r="B77" i="20"/>
  <c r="C77" i="20"/>
  <c r="D77" i="20"/>
  <c r="B78" i="20"/>
  <c r="C78" i="20"/>
  <c r="D78" i="20"/>
  <c r="B79" i="20"/>
  <c r="C79" i="20"/>
  <c r="D79" i="20"/>
  <c r="B80" i="20"/>
  <c r="C80" i="20"/>
  <c r="D80" i="20"/>
  <c r="B81" i="20"/>
  <c r="C81" i="20"/>
  <c r="D81" i="20"/>
  <c r="F81" i="20" s="1"/>
  <c r="B85" i="20"/>
  <c r="C85" i="20"/>
  <c r="D85" i="20"/>
  <c r="B86" i="20"/>
  <c r="C86" i="20"/>
  <c r="D86" i="20"/>
  <c r="B87" i="20"/>
  <c r="C87" i="20"/>
  <c r="D87" i="20"/>
  <c r="B88" i="20"/>
  <c r="C88" i="20"/>
  <c r="D88" i="20"/>
  <c r="B89" i="20"/>
  <c r="C89" i="20"/>
  <c r="D89" i="20"/>
  <c r="B90" i="20"/>
  <c r="C90" i="20"/>
  <c r="D90" i="20"/>
  <c r="B92" i="20"/>
  <c r="C92" i="20"/>
  <c r="D92" i="20"/>
  <c r="B93" i="20"/>
  <c r="C93" i="20"/>
  <c r="D93" i="20"/>
  <c r="B98" i="20"/>
  <c r="C98" i="20"/>
  <c r="D98" i="20"/>
  <c r="B99" i="20"/>
  <c r="C99" i="20"/>
  <c r="D99" i="20"/>
  <c r="B100" i="20"/>
  <c r="C100" i="20"/>
  <c r="D100" i="20"/>
  <c r="B101" i="20"/>
  <c r="C101" i="20"/>
  <c r="D101" i="20"/>
  <c r="B102" i="20"/>
  <c r="C102" i="20"/>
  <c r="D102" i="20"/>
  <c r="B103" i="20"/>
  <c r="C103" i="20"/>
  <c r="D103" i="20"/>
  <c r="B104" i="20"/>
  <c r="C104" i="20"/>
  <c r="D104" i="20"/>
  <c r="B106" i="20"/>
  <c r="C106" i="20"/>
  <c r="D106" i="20"/>
  <c r="B107" i="20"/>
  <c r="C107" i="20"/>
  <c r="D107" i="20"/>
  <c r="B111" i="20"/>
  <c r="C111" i="20"/>
  <c r="D111" i="20"/>
  <c r="E8" i="8"/>
  <c r="E10" i="8"/>
  <c r="E11" i="8"/>
  <c r="E12" i="8"/>
  <c r="E13" i="8"/>
  <c r="E14" i="8"/>
  <c r="B15" i="8"/>
  <c r="E19" i="8"/>
  <c r="E20" i="8"/>
  <c r="E21" i="8"/>
  <c r="E22" i="8"/>
  <c r="E23" i="8"/>
  <c r="E24" i="8"/>
  <c r="E25" i="8"/>
  <c r="E26" i="8"/>
  <c r="E27" i="8"/>
  <c r="E32" i="8"/>
  <c r="E33" i="8"/>
  <c r="E34" i="8"/>
  <c r="E35" i="8"/>
  <c r="E36" i="8"/>
  <c r="E37" i="8"/>
  <c r="E39" i="8"/>
  <c r="E40" i="8"/>
  <c r="B42" i="8"/>
  <c r="E45" i="8"/>
  <c r="E46" i="8"/>
  <c r="E47" i="8"/>
  <c r="E48" i="8"/>
  <c r="E49" i="8"/>
  <c r="E50" i="8"/>
  <c r="E51" i="8"/>
  <c r="B52" i="8"/>
  <c r="E55" i="8"/>
  <c r="E57" i="8"/>
  <c r="E58" i="8"/>
  <c r="B61" i="8"/>
  <c r="E64" i="8"/>
  <c r="E65" i="8"/>
  <c r="E66" i="8"/>
  <c r="E67" i="8"/>
  <c r="E68" i="8"/>
  <c r="E69" i="8"/>
  <c r="B70" i="8"/>
  <c r="E73" i="8"/>
  <c r="E74" i="8"/>
  <c r="E75" i="8"/>
  <c r="E76" i="8"/>
  <c r="E77" i="8"/>
  <c r="E78" i="8"/>
  <c r="E79" i="8"/>
  <c r="E80" i="8"/>
  <c r="E81" i="8"/>
  <c r="E82" i="8"/>
  <c r="E86" i="8"/>
  <c r="E87" i="8"/>
  <c r="E88" i="8"/>
  <c r="E89" i="8"/>
  <c r="E90" i="8"/>
  <c r="E91" i="8"/>
  <c r="E93" i="8"/>
  <c r="E94" i="8"/>
  <c r="B95" i="8"/>
  <c r="E99" i="8"/>
  <c r="E100" i="8"/>
  <c r="E101" i="8"/>
  <c r="E102" i="8"/>
  <c r="E103" i="8"/>
  <c r="E104" i="8"/>
  <c r="E105" i="8"/>
  <c r="E106" i="8"/>
  <c r="E108" i="8"/>
  <c r="E109" i="8"/>
  <c r="B110" i="8"/>
  <c r="E113" i="8"/>
  <c r="B117" i="8"/>
  <c r="E8" i="9"/>
  <c r="E10" i="9"/>
  <c r="E11" i="9"/>
  <c r="E12" i="9"/>
  <c r="E13" i="9"/>
  <c r="E14" i="9"/>
  <c r="B15" i="9"/>
  <c r="D15" i="9"/>
  <c r="E18" i="9"/>
  <c r="E19" i="9"/>
  <c r="E20" i="9"/>
  <c r="E21" i="9"/>
  <c r="E22" i="9"/>
  <c r="E23" i="9"/>
  <c r="E24" i="9"/>
  <c r="E25" i="9"/>
  <c r="E26" i="9"/>
  <c r="E27" i="9"/>
  <c r="B29" i="9"/>
  <c r="D29" i="9"/>
  <c r="E32" i="9"/>
  <c r="E33" i="9"/>
  <c r="E34" i="9"/>
  <c r="E35" i="9"/>
  <c r="E36" i="9"/>
  <c r="E37" i="9"/>
  <c r="E39" i="9"/>
  <c r="B41" i="9"/>
  <c r="E44" i="9"/>
  <c r="E45" i="9"/>
  <c r="E46" i="9"/>
  <c r="E47" i="9"/>
  <c r="E48" i="9"/>
  <c r="E49" i="9"/>
  <c r="E50" i="9"/>
  <c r="B51" i="9"/>
  <c r="E54" i="9"/>
  <c r="E56" i="9"/>
  <c r="E57" i="9"/>
  <c r="B60" i="9"/>
  <c r="E63" i="9"/>
  <c r="E64" i="9"/>
  <c r="E65" i="9"/>
  <c r="E66" i="9"/>
  <c r="E67" i="9"/>
  <c r="E68" i="9"/>
  <c r="B69" i="9"/>
  <c r="E72" i="9"/>
  <c r="E73" i="9"/>
  <c r="E74" i="9"/>
  <c r="E75" i="9"/>
  <c r="E76" i="9"/>
  <c r="E77" i="9"/>
  <c r="E78" i="9"/>
  <c r="E79" i="9"/>
  <c r="E80" i="9"/>
  <c r="E81" i="9"/>
  <c r="E85" i="9"/>
  <c r="E86" i="9"/>
  <c r="E87" i="9"/>
  <c r="E88" i="9"/>
  <c r="E89" i="9"/>
  <c r="E90" i="9"/>
  <c r="E92" i="9"/>
  <c r="E93" i="9"/>
  <c r="B94" i="9"/>
  <c r="E97" i="9"/>
  <c r="E98" i="9"/>
  <c r="E100" i="9"/>
  <c r="E101" i="9"/>
  <c r="E102" i="9"/>
  <c r="E103" i="9"/>
  <c r="E104" i="9"/>
  <c r="E105" i="9"/>
  <c r="E107" i="9"/>
  <c r="E108" i="9"/>
  <c r="B109" i="9"/>
  <c r="E112" i="9"/>
  <c r="B116" i="9"/>
  <c r="D116" i="9"/>
  <c r="E8" i="10"/>
  <c r="E9" i="10"/>
  <c r="E10" i="10"/>
  <c r="E11" i="10"/>
  <c r="E12" i="10"/>
  <c r="E13" i="10"/>
  <c r="E14" i="10"/>
  <c r="B15" i="10"/>
  <c r="D15" i="10"/>
  <c r="E18" i="10"/>
  <c r="E19" i="10"/>
  <c r="E20" i="10"/>
  <c r="E21" i="10"/>
  <c r="E22" i="10"/>
  <c r="E23" i="10"/>
  <c r="E24" i="10"/>
  <c r="E25" i="10"/>
  <c r="E26" i="10"/>
  <c r="E27" i="10"/>
  <c r="E28" i="10"/>
  <c r="B29" i="10"/>
  <c r="D29" i="10"/>
  <c r="E32" i="10"/>
  <c r="E33" i="10"/>
  <c r="E34" i="10"/>
  <c r="E35" i="10"/>
  <c r="E36" i="10"/>
  <c r="E37" i="10"/>
  <c r="E38" i="10"/>
  <c r="E39" i="10"/>
  <c r="E40" i="10"/>
  <c r="B41" i="10"/>
  <c r="D41" i="10"/>
  <c r="E44" i="10"/>
  <c r="E45" i="10"/>
  <c r="E46" i="10"/>
  <c r="E47" i="10"/>
  <c r="E48" i="10"/>
  <c r="E49" i="10"/>
  <c r="E50" i="10"/>
  <c r="B51" i="10"/>
  <c r="D51" i="10"/>
  <c r="E54" i="10"/>
  <c r="E55" i="10"/>
  <c r="E56" i="10"/>
  <c r="E57" i="10"/>
  <c r="E58" i="10"/>
  <c r="E59" i="10"/>
  <c r="B60" i="10"/>
  <c r="D60" i="10"/>
  <c r="E60" i="10" s="1"/>
  <c r="E63" i="10"/>
  <c r="E64" i="10"/>
  <c r="E65" i="10"/>
  <c r="E66" i="10"/>
  <c r="E67" i="10"/>
  <c r="E68" i="10"/>
  <c r="B69" i="10"/>
  <c r="D69" i="10"/>
  <c r="E69" i="10" s="1"/>
  <c r="E72" i="10"/>
  <c r="E73" i="10"/>
  <c r="E74" i="10"/>
  <c r="E75" i="10"/>
  <c r="E76" i="10"/>
  <c r="E77" i="10"/>
  <c r="E78" i="10"/>
  <c r="E79" i="10"/>
  <c r="E80" i="10"/>
  <c r="E81" i="10"/>
  <c r="B82" i="10"/>
  <c r="D82" i="10"/>
  <c r="E85" i="10"/>
  <c r="E86" i="10"/>
  <c r="E87" i="10"/>
  <c r="E88" i="10"/>
  <c r="E89" i="10"/>
  <c r="E90" i="10"/>
  <c r="E91" i="10"/>
  <c r="E92" i="10"/>
  <c r="E93" i="10"/>
  <c r="B94" i="10"/>
  <c r="D94" i="10"/>
  <c r="E98" i="10"/>
  <c r="E99" i="10"/>
  <c r="E100" i="10"/>
  <c r="E101" i="10"/>
  <c r="E102" i="10"/>
  <c r="E103" i="10"/>
  <c r="E104" i="10"/>
  <c r="E105" i="10"/>
  <c r="E106" i="10"/>
  <c r="E107" i="10"/>
  <c r="D108" i="10"/>
  <c r="E111" i="10"/>
  <c r="E112" i="10"/>
  <c r="E113" i="10"/>
  <c r="E114" i="10"/>
  <c r="B115" i="10"/>
  <c r="D115" i="10"/>
  <c r="E8" i="11"/>
  <c r="D15" i="11"/>
  <c r="E18" i="11"/>
  <c r="E19" i="11"/>
  <c r="E20" i="11"/>
  <c r="E21" i="11"/>
  <c r="E22" i="11"/>
  <c r="E23" i="11"/>
  <c r="E24" i="11"/>
  <c r="E25" i="11"/>
  <c r="E26" i="11"/>
  <c r="E27" i="11"/>
  <c r="E28" i="11"/>
  <c r="B29" i="11"/>
  <c r="D29" i="11"/>
  <c r="E32" i="11"/>
  <c r="E33" i="11"/>
  <c r="E34" i="11"/>
  <c r="E35" i="11"/>
  <c r="E36" i="11"/>
  <c r="E37" i="11"/>
  <c r="E38" i="11"/>
  <c r="E39" i="11"/>
  <c r="E40" i="11"/>
  <c r="B41" i="11"/>
  <c r="D41" i="11"/>
  <c r="E44" i="11"/>
  <c r="E45" i="11"/>
  <c r="E46" i="11"/>
  <c r="E47" i="11"/>
  <c r="E48" i="11"/>
  <c r="E49" i="11"/>
  <c r="E50" i="11"/>
  <c r="B51" i="11"/>
  <c r="D51" i="11"/>
  <c r="E54" i="11"/>
  <c r="E55" i="11"/>
  <c r="E56" i="11"/>
  <c r="E57" i="11"/>
  <c r="E58" i="11"/>
  <c r="E59" i="11"/>
  <c r="B60" i="11"/>
  <c r="D60" i="11"/>
  <c r="E63" i="11"/>
  <c r="E64" i="11"/>
  <c r="E65" i="11"/>
  <c r="E66" i="11"/>
  <c r="E67" i="11"/>
  <c r="E68" i="11"/>
  <c r="B69" i="11"/>
  <c r="D69" i="11"/>
  <c r="E72" i="11"/>
  <c r="E73" i="11"/>
  <c r="E74" i="11"/>
  <c r="E75" i="11"/>
  <c r="E76" i="11"/>
  <c r="E77" i="11"/>
  <c r="E78" i="11"/>
  <c r="E79" i="11"/>
  <c r="E80" i="11"/>
  <c r="E81" i="11"/>
  <c r="B82" i="11"/>
  <c r="D82" i="11"/>
  <c r="E85" i="11"/>
  <c r="E86" i="11"/>
  <c r="E87" i="11"/>
  <c r="E88" i="11"/>
  <c r="E89" i="11"/>
  <c r="E90" i="11"/>
  <c r="E91" i="11"/>
  <c r="E92" i="11"/>
  <c r="E93" i="11"/>
  <c r="B94" i="11"/>
  <c r="D94" i="11"/>
  <c r="E98" i="11"/>
  <c r="E99" i="11"/>
  <c r="E100" i="11"/>
  <c r="E101" i="11"/>
  <c r="E102" i="11"/>
  <c r="E103" i="11"/>
  <c r="E104" i="11"/>
  <c r="E105" i="11"/>
  <c r="E106" i="11"/>
  <c r="E107" i="11"/>
  <c r="D108" i="11"/>
  <c r="E111" i="11"/>
  <c r="E112" i="11"/>
  <c r="E113" i="11"/>
  <c r="E114" i="11"/>
  <c r="B115" i="11"/>
  <c r="D115" i="11"/>
  <c r="E8" i="12"/>
  <c r="E9" i="12"/>
  <c r="E10" i="12"/>
  <c r="E11" i="12"/>
  <c r="E12" i="12"/>
  <c r="E13" i="12"/>
  <c r="E14" i="12"/>
  <c r="B15" i="12"/>
  <c r="D15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D29" i="12"/>
  <c r="E32" i="12"/>
  <c r="E33" i="12"/>
  <c r="E34" i="12"/>
  <c r="E35" i="12"/>
  <c r="E36" i="12"/>
  <c r="E37" i="12"/>
  <c r="E38" i="12"/>
  <c r="E39" i="12"/>
  <c r="E40" i="12"/>
  <c r="B41" i="12"/>
  <c r="D41" i="12"/>
  <c r="E44" i="12"/>
  <c r="E45" i="12"/>
  <c r="E46" i="12"/>
  <c r="E47" i="12"/>
  <c r="E48" i="12"/>
  <c r="E49" i="12"/>
  <c r="E50" i="12"/>
  <c r="B51" i="12"/>
  <c r="D51" i="12"/>
  <c r="E54" i="12"/>
  <c r="E55" i="12"/>
  <c r="E56" i="12"/>
  <c r="E57" i="12"/>
  <c r="E58" i="12"/>
  <c r="E59" i="12"/>
  <c r="B60" i="12"/>
  <c r="D60" i="12"/>
  <c r="E63" i="12"/>
  <c r="E64" i="12"/>
  <c r="E65" i="12"/>
  <c r="E66" i="12"/>
  <c r="E67" i="12"/>
  <c r="E68" i="12"/>
  <c r="B69" i="12"/>
  <c r="D69" i="12"/>
  <c r="E72" i="12"/>
  <c r="E73" i="12"/>
  <c r="E74" i="12"/>
  <c r="E75" i="12"/>
  <c r="E76" i="12"/>
  <c r="E77" i="12"/>
  <c r="E78" i="12"/>
  <c r="E79" i="12"/>
  <c r="E80" i="12"/>
  <c r="E81" i="12"/>
  <c r="B82" i="12"/>
  <c r="D82" i="12"/>
  <c r="E85" i="12"/>
  <c r="E86" i="12"/>
  <c r="E87" i="12"/>
  <c r="E88" i="12"/>
  <c r="E89" i="12"/>
  <c r="E90" i="12"/>
  <c r="E91" i="12"/>
  <c r="E92" i="12"/>
  <c r="E93" i="12"/>
  <c r="B94" i="12"/>
  <c r="D94" i="12"/>
  <c r="E97" i="12"/>
  <c r="E98" i="12"/>
  <c r="E99" i="12"/>
  <c r="E100" i="12"/>
  <c r="E101" i="12"/>
  <c r="E102" i="12"/>
  <c r="E103" i="12"/>
  <c r="E104" i="12"/>
  <c r="E105" i="12"/>
  <c r="E106" i="12"/>
  <c r="E107" i="12"/>
  <c r="B108" i="12"/>
  <c r="D108" i="12"/>
  <c r="E111" i="12"/>
  <c r="E112" i="12"/>
  <c r="E113" i="12"/>
  <c r="E114" i="12"/>
  <c r="B115" i="12"/>
  <c r="D115" i="12"/>
  <c r="E8" i="13"/>
  <c r="E9" i="13"/>
  <c r="E10" i="13"/>
  <c r="E11" i="13"/>
  <c r="E12" i="13"/>
  <c r="E13" i="13"/>
  <c r="E14" i="13"/>
  <c r="B15" i="13"/>
  <c r="D15" i="13"/>
  <c r="E18" i="13"/>
  <c r="E19" i="13"/>
  <c r="E20" i="13"/>
  <c r="E21" i="13"/>
  <c r="E22" i="13"/>
  <c r="E23" i="13"/>
  <c r="E24" i="13"/>
  <c r="E25" i="13"/>
  <c r="E26" i="13"/>
  <c r="E27" i="13"/>
  <c r="E28" i="13"/>
  <c r="B29" i="13"/>
  <c r="D29" i="13"/>
  <c r="E32" i="13"/>
  <c r="E33" i="13"/>
  <c r="E34" i="13"/>
  <c r="E35" i="13"/>
  <c r="E36" i="13"/>
  <c r="E37" i="13"/>
  <c r="E38" i="13"/>
  <c r="E39" i="13"/>
  <c r="E40" i="13"/>
  <c r="B41" i="13"/>
  <c r="D41" i="13"/>
  <c r="E44" i="13"/>
  <c r="E45" i="13"/>
  <c r="E46" i="13"/>
  <c r="E47" i="13"/>
  <c r="E48" i="13"/>
  <c r="E49" i="13"/>
  <c r="E50" i="13"/>
  <c r="B51" i="13"/>
  <c r="D51" i="13"/>
  <c r="E54" i="13"/>
  <c r="E55" i="13"/>
  <c r="E56" i="13"/>
  <c r="E57" i="13"/>
  <c r="E58" i="13"/>
  <c r="E59" i="13"/>
  <c r="B60" i="13"/>
  <c r="D60" i="13"/>
  <c r="E63" i="13"/>
  <c r="E64" i="13"/>
  <c r="E65" i="13"/>
  <c r="E66" i="13"/>
  <c r="E67" i="13"/>
  <c r="E68" i="13"/>
  <c r="B69" i="13"/>
  <c r="D69" i="13"/>
  <c r="E72" i="13"/>
  <c r="E73" i="13"/>
  <c r="E74" i="13"/>
  <c r="E75" i="13"/>
  <c r="E76" i="13"/>
  <c r="E77" i="13"/>
  <c r="E78" i="13"/>
  <c r="E79" i="13"/>
  <c r="E80" i="13"/>
  <c r="E81" i="13"/>
  <c r="B82" i="13"/>
  <c r="D82" i="13"/>
  <c r="E85" i="13"/>
  <c r="E86" i="13"/>
  <c r="E87" i="13"/>
  <c r="E88" i="13"/>
  <c r="E89" i="13"/>
  <c r="E90" i="13"/>
  <c r="E91" i="13"/>
  <c r="E92" i="13"/>
  <c r="E93" i="13"/>
  <c r="B94" i="13"/>
  <c r="D94" i="13"/>
  <c r="E97" i="13"/>
  <c r="E98" i="13"/>
  <c r="E99" i="13"/>
  <c r="E100" i="13"/>
  <c r="E101" i="13"/>
  <c r="E102" i="13"/>
  <c r="E103" i="13"/>
  <c r="E104" i="13"/>
  <c r="E105" i="13"/>
  <c r="E106" i="13"/>
  <c r="E107" i="13"/>
  <c r="B108" i="13"/>
  <c r="D108" i="13"/>
  <c r="E111" i="13"/>
  <c r="E112" i="13"/>
  <c r="E113" i="13"/>
  <c r="E114" i="13"/>
  <c r="B115" i="13"/>
  <c r="D115" i="13"/>
  <c r="E13" i="14"/>
  <c r="E14" i="14"/>
  <c r="B15" i="14"/>
  <c r="C15" i="14"/>
  <c r="D15" i="14"/>
  <c r="E18" i="14"/>
  <c r="E19" i="14"/>
  <c r="E20" i="14"/>
  <c r="E21" i="14"/>
  <c r="E22" i="14"/>
  <c r="E23" i="14"/>
  <c r="E24" i="14"/>
  <c r="E25" i="14"/>
  <c r="E26" i="14"/>
  <c r="E27" i="14"/>
  <c r="E28" i="14"/>
  <c r="B29" i="14"/>
  <c r="C29" i="14"/>
  <c r="D29" i="14"/>
  <c r="E32" i="14"/>
  <c r="E33" i="14"/>
  <c r="E34" i="14"/>
  <c r="E35" i="14"/>
  <c r="E36" i="14"/>
  <c r="E37" i="14"/>
  <c r="E38" i="14"/>
  <c r="E39" i="14"/>
  <c r="E40" i="14"/>
  <c r="B41" i="14"/>
  <c r="C41" i="14"/>
  <c r="D41" i="14"/>
  <c r="E44" i="14"/>
  <c r="E45" i="14"/>
  <c r="E47" i="14"/>
  <c r="E48" i="14"/>
  <c r="E49" i="14"/>
  <c r="E50" i="14"/>
  <c r="B51" i="14"/>
  <c r="C51" i="14"/>
  <c r="D51" i="14"/>
  <c r="E54" i="14"/>
  <c r="E55" i="14"/>
  <c r="E56" i="14"/>
  <c r="E57" i="14"/>
  <c r="E58" i="14"/>
  <c r="E59" i="14"/>
  <c r="B60" i="14"/>
  <c r="C60" i="14"/>
  <c r="D60" i="14"/>
  <c r="E63" i="14"/>
  <c r="E64" i="14"/>
  <c r="E65" i="14"/>
  <c r="E66" i="14"/>
  <c r="E67" i="14"/>
  <c r="E68" i="14"/>
  <c r="B69" i="14"/>
  <c r="C69" i="14"/>
  <c r="D69" i="14"/>
  <c r="E72" i="14"/>
  <c r="E73" i="14"/>
  <c r="E74" i="14"/>
  <c r="E75" i="14"/>
  <c r="E76" i="14"/>
  <c r="E77" i="14"/>
  <c r="E78" i="14"/>
  <c r="E79" i="14"/>
  <c r="E80" i="14"/>
  <c r="E81" i="14"/>
  <c r="C82" i="14"/>
  <c r="D82" i="14"/>
  <c r="E85" i="14"/>
  <c r="E86" i="14"/>
  <c r="E87" i="14"/>
  <c r="E88" i="14"/>
  <c r="E89" i="14"/>
  <c r="E90" i="14"/>
  <c r="E92" i="14"/>
  <c r="E93" i="14"/>
  <c r="E98" i="14"/>
  <c r="E99" i="14"/>
  <c r="E100" i="14"/>
  <c r="E101" i="14"/>
  <c r="E102" i="14"/>
  <c r="E103" i="14"/>
  <c r="E104" i="14"/>
  <c r="E106" i="14"/>
  <c r="E107" i="14"/>
  <c r="E111" i="14"/>
  <c r="E8" i="15"/>
  <c r="E9" i="15"/>
  <c r="E10" i="15"/>
  <c r="E11" i="15"/>
  <c r="E12" i="15"/>
  <c r="E13" i="15"/>
  <c r="E14" i="15"/>
  <c r="B15" i="15"/>
  <c r="C15" i="15"/>
  <c r="D15" i="15"/>
  <c r="E18" i="15"/>
  <c r="E19" i="15"/>
  <c r="E20" i="15"/>
  <c r="E21" i="15"/>
  <c r="E22" i="15"/>
  <c r="E23" i="15"/>
  <c r="E24" i="15"/>
  <c r="E25" i="15"/>
  <c r="E26" i="15"/>
  <c r="E27" i="15"/>
  <c r="E28" i="15"/>
  <c r="B29" i="15"/>
  <c r="C29" i="15"/>
  <c r="D29" i="15"/>
  <c r="E32" i="15"/>
  <c r="E33" i="15"/>
  <c r="E34" i="15"/>
  <c r="E35" i="15"/>
  <c r="E36" i="15"/>
  <c r="E37" i="15"/>
  <c r="E38" i="15"/>
  <c r="E39" i="15"/>
  <c r="E40" i="15"/>
  <c r="B41" i="15"/>
  <c r="C41" i="15"/>
  <c r="D41" i="15"/>
  <c r="E44" i="15"/>
  <c r="E45" i="15"/>
  <c r="E46" i="15"/>
  <c r="E47" i="15"/>
  <c r="E48" i="15"/>
  <c r="E49" i="15"/>
  <c r="E50" i="15"/>
  <c r="B51" i="15"/>
  <c r="C51" i="15"/>
  <c r="D51" i="15"/>
  <c r="E54" i="15"/>
  <c r="E55" i="15"/>
  <c r="E56" i="15"/>
  <c r="E57" i="15"/>
  <c r="E58" i="15"/>
  <c r="E59" i="15"/>
  <c r="B60" i="15"/>
  <c r="C60" i="15"/>
  <c r="D60" i="15"/>
  <c r="E63" i="15"/>
  <c r="E64" i="15"/>
  <c r="E65" i="15"/>
  <c r="E66" i="15"/>
  <c r="E67" i="15"/>
  <c r="E68" i="15"/>
  <c r="B69" i="15"/>
  <c r="C69" i="15"/>
  <c r="D69" i="15"/>
  <c r="E72" i="15"/>
  <c r="E73" i="15"/>
  <c r="E74" i="15"/>
  <c r="E75" i="15"/>
  <c r="E76" i="15"/>
  <c r="E77" i="15"/>
  <c r="E78" i="15"/>
  <c r="E79" i="15"/>
  <c r="E80" i="15"/>
  <c r="E81" i="15"/>
  <c r="C82" i="15"/>
  <c r="D82" i="15"/>
  <c r="E85" i="15"/>
  <c r="E86" i="15"/>
  <c r="E87" i="15"/>
  <c r="E88" i="15"/>
  <c r="E89" i="15"/>
  <c r="E90" i="15"/>
  <c r="E91" i="15"/>
  <c r="E92" i="15"/>
  <c r="E93" i="15"/>
  <c r="B94" i="15"/>
  <c r="C94" i="15"/>
  <c r="D94" i="15"/>
  <c r="E97" i="15"/>
  <c r="E98" i="15"/>
  <c r="E99" i="15"/>
  <c r="E100" i="15"/>
  <c r="E101" i="15"/>
  <c r="E102" i="15"/>
  <c r="E103" i="15"/>
  <c r="E104" i="15"/>
  <c r="E105" i="15"/>
  <c r="E106" i="15"/>
  <c r="E107" i="15"/>
  <c r="B108" i="15"/>
  <c r="C108" i="15"/>
  <c r="D108" i="15"/>
  <c r="E111" i="15"/>
  <c r="E112" i="15"/>
  <c r="E113" i="15"/>
  <c r="E114" i="15"/>
  <c r="B115" i="15"/>
  <c r="C115" i="15"/>
  <c r="D115" i="15"/>
  <c r="E8" i="16"/>
  <c r="B9" i="16"/>
  <c r="C9" i="16"/>
  <c r="C15" i="16" s="1"/>
  <c r="H15" i="16" s="1"/>
  <c r="D9" i="16"/>
  <c r="E10" i="16"/>
  <c r="E11" i="16"/>
  <c r="E12" i="16"/>
  <c r="E13" i="16"/>
  <c r="E14" i="16"/>
  <c r="B18" i="16"/>
  <c r="C18" i="16"/>
  <c r="C18" i="19" s="1"/>
  <c r="D18" i="16"/>
  <c r="E19" i="16"/>
  <c r="E20" i="16"/>
  <c r="E21" i="16"/>
  <c r="E22" i="16"/>
  <c r="E23" i="16"/>
  <c r="E24" i="16"/>
  <c r="E25" i="16"/>
  <c r="E26" i="16"/>
  <c r="E27" i="16"/>
  <c r="B28" i="16"/>
  <c r="C28" i="16"/>
  <c r="C28" i="19" s="1"/>
  <c r="D28" i="16"/>
  <c r="D28" i="19" s="1"/>
  <c r="E32" i="16"/>
  <c r="E33" i="16"/>
  <c r="E35" i="16"/>
  <c r="E36" i="16"/>
  <c r="E37" i="16"/>
  <c r="B38" i="16"/>
  <c r="C38" i="16"/>
  <c r="D38" i="16"/>
  <c r="E39" i="16"/>
  <c r="B40" i="16"/>
  <c r="B40" i="19" s="1"/>
  <c r="C40" i="16"/>
  <c r="D40" i="16"/>
  <c r="E44" i="16"/>
  <c r="E45" i="16"/>
  <c r="E46" i="16"/>
  <c r="E47" i="16"/>
  <c r="E48" i="16"/>
  <c r="E49" i="16"/>
  <c r="E50" i="16"/>
  <c r="B51" i="16"/>
  <c r="G46" i="16" s="1"/>
  <c r="C51" i="16"/>
  <c r="D51" i="16"/>
  <c r="I48" i="16" s="1"/>
  <c r="H51" i="16"/>
  <c r="E54" i="16"/>
  <c r="B55" i="16"/>
  <c r="C55" i="16"/>
  <c r="C55" i="19" s="1"/>
  <c r="D55" i="16"/>
  <c r="E56" i="16"/>
  <c r="E57" i="16"/>
  <c r="B58" i="16"/>
  <c r="B58" i="19" s="1"/>
  <c r="C58" i="16"/>
  <c r="D58" i="16"/>
  <c r="B59" i="16"/>
  <c r="C59" i="16"/>
  <c r="C59" i="19" s="1"/>
  <c r="D59" i="16"/>
  <c r="E63" i="16"/>
  <c r="E64" i="16"/>
  <c r="E65" i="16"/>
  <c r="E66" i="16"/>
  <c r="E67" i="16"/>
  <c r="E68" i="16"/>
  <c r="B69" i="16"/>
  <c r="C69" i="16"/>
  <c r="H64" i="16" s="1"/>
  <c r="D69" i="16"/>
  <c r="E72" i="16"/>
  <c r="E73" i="16"/>
  <c r="E74" i="16"/>
  <c r="E75" i="16"/>
  <c r="E76" i="16"/>
  <c r="E77" i="16"/>
  <c r="E78" i="16"/>
  <c r="E79" i="16"/>
  <c r="E80" i="16"/>
  <c r="E81" i="16"/>
  <c r="B82" i="16"/>
  <c r="G74" i="16" s="1"/>
  <c r="C82" i="16"/>
  <c r="H82" i="16" s="1"/>
  <c r="D82" i="16"/>
  <c r="I73" i="16" s="1"/>
  <c r="E85" i="16"/>
  <c r="E87" i="16"/>
  <c r="E88" i="16"/>
  <c r="E89" i="16"/>
  <c r="E90" i="16"/>
  <c r="B91" i="16"/>
  <c r="C91" i="16"/>
  <c r="D91" i="16"/>
  <c r="E92" i="16"/>
  <c r="E93" i="16"/>
  <c r="B97" i="16"/>
  <c r="B108" i="16" s="1"/>
  <c r="G101" i="16" s="1"/>
  <c r="C97" i="16"/>
  <c r="D97" i="16"/>
  <c r="E98" i="16"/>
  <c r="E99" i="16"/>
  <c r="E100" i="16"/>
  <c r="E101" i="16"/>
  <c r="E102" i="16"/>
  <c r="E103" i="16"/>
  <c r="E104" i="16"/>
  <c r="B105" i="16"/>
  <c r="B105" i="19" s="1"/>
  <c r="C105" i="16"/>
  <c r="D105" i="16"/>
  <c r="D105" i="19" s="1"/>
  <c r="E106" i="16"/>
  <c r="E107" i="16"/>
  <c r="E111" i="16"/>
  <c r="B112" i="16"/>
  <c r="E112" i="16" s="1"/>
  <c r="C112" i="16"/>
  <c r="D112" i="16"/>
  <c r="B113" i="16"/>
  <c r="C113" i="16"/>
  <c r="D113" i="16"/>
  <c r="B114" i="16"/>
  <c r="B114" i="19" s="1"/>
  <c r="C114" i="16"/>
  <c r="D114" i="16"/>
  <c r="E114" i="16" s="1"/>
  <c r="E8" i="5"/>
  <c r="B9" i="5"/>
  <c r="B15" i="5" s="1"/>
  <c r="C9" i="5"/>
  <c r="C15" i="5" s="1"/>
  <c r="D9" i="5"/>
  <c r="E10" i="5"/>
  <c r="E11" i="5"/>
  <c r="E12" i="5"/>
  <c r="E13" i="5"/>
  <c r="E14" i="5"/>
  <c r="B18" i="5"/>
  <c r="C18" i="5"/>
  <c r="D18" i="5"/>
  <c r="E19" i="5"/>
  <c r="E20" i="5"/>
  <c r="E21" i="5"/>
  <c r="E22" i="5"/>
  <c r="E23" i="5"/>
  <c r="E24" i="5"/>
  <c r="E25" i="5"/>
  <c r="E26" i="5"/>
  <c r="E27" i="5"/>
  <c r="B28" i="5"/>
  <c r="C28" i="5"/>
  <c r="D28" i="5"/>
  <c r="E32" i="5"/>
  <c r="E33" i="5"/>
  <c r="E34" i="5"/>
  <c r="E35" i="5"/>
  <c r="E36" i="5"/>
  <c r="E37" i="5"/>
  <c r="B38" i="5"/>
  <c r="C38" i="5"/>
  <c r="D38" i="5"/>
  <c r="E39" i="5"/>
  <c r="B40" i="5"/>
  <c r="C40" i="5"/>
  <c r="D40" i="5"/>
  <c r="E40" i="5" s="1"/>
  <c r="E44" i="5"/>
  <c r="E45" i="5"/>
  <c r="E46" i="5"/>
  <c r="E47" i="5"/>
  <c r="E48" i="5"/>
  <c r="E49" i="5"/>
  <c r="E50" i="5"/>
  <c r="B51" i="5"/>
  <c r="C51" i="5"/>
  <c r="D51" i="5"/>
  <c r="E54" i="5"/>
  <c r="B55" i="5"/>
  <c r="C55" i="5"/>
  <c r="D55" i="5"/>
  <c r="E55" i="5" s="1"/>
  <c r="E56" i="5"/>
  <c r="E57" i="5"/>
  <c r="B58" i="5"/>
  <c r="C58" i="5"/>
  <c r="D58" i="5"/>
  <c r="B59" i="5"/>
  <c r="C59" i="5"/>
  <c r="D59" i="5"/>
  <c r="E59" i="5" s="1"/>
  <c r="E63" i="5"/>
  <c r="E64" i="5"/>
  <c r="E65" i="5"/>
  <c r="E66" i="5"/>
  <c r="E67" i="5"/>
  <c r="E68" i="5"/>
  <c r="B69" i="5"/>
  <c r="C69" i="5"/>
  <c r="D69" i="5"/>
  <c r="E72" i="5"/>
  <c r="E73" i="5"/>
  <c r="E74" i="5"/>
  <c r="E75" i="5"/>
  <c r="E76" i="5"/>
  <c r="E77" i="5"/>
  <c r="E78" i="5"/>
  <c r="E79" i="5"/>
  <c r="E80" i="5"/>
  <c r="E81" i="5"/>
  <c r="B82" i="5"/>
  <c r="C82" i="5"/>
  <c r="D82" i="5"/>
  <c r="E85" i="5"/>
  <c r="E86" i="5"/>
  <c r="E87" i="5"/>
  <c r="E88" i="5"/>
  <c r="E89" i="5"/>
  <c r="E90" i="5"/>
  <c r="B91" i="5"/>
  <c r="C91" i="5"/>
  <c r="C94" i="5" s="1"/>
  <c r="D91" i="5"/>
  <c r="D94" i="5" s="1"/>
  <c r="E92" i="5"/>
  <c r="E93" i="5"/>
  <c r="B97" i="5"/>
  <c r="B108" i="5" s="1"/>
  <c r="C97" i="5"/>
  <c r="D97" i="5"/>
  <c r="E98" i="5"/>
  <c r="E99" i="5"/>
  <c r="E100" i="5"/>
  <c r="E101" i="5"/>
  <c r="E102" i="5"/>
  <c r="E103" i="5"/>
  <c r="E104" i="5"/>
  <c r="B105" i="5"/>
  <c r="C105" i="5"/>
  <c r="D105" i="5"/>
  <c r="E106" i="5"/>
  <c r="E107" i="5"/>
  <c r="E111" i="5"/>
  <c r="B112" i="5"/>
  <c r="E112" i="5" s="1"/>
  <c r="C112" i="5"/>
  <c r="D112" i="5"/>
  <c r="B113" i="5"/>
  <c r="E113" i="5" s="1"/>
  <c r="C113" i="5"/>
  <c r="D113" i="5"/>
  <c r="B114" i="5"/>
  <c r="C114" i="5"/>
  <c r="D114" i="5"/>
  <c r="E8" i="6"/>
  <c r="B9" i="6"/>
  <c r="B9" i="20" s="1"/>
  <c r="B15" i="20" s="1"/>
  <c r="C9" i="6"/>
  <c r="D9" i="6"/>
  <c r="E10" i="6"/>
  <c r="E11" i="6"/>
  <c r="E12" i="6"/>
  <c r="E13" i="6"/>
  <c r="E14" i="6"/>
  <c r="B18" i="6"/>
  <c r="B18" i="20" s="1"/>
  <c r="C18" i="6"/>
  <c r="D18" i="6"/>
  <c r="E19" i="6"/>
  <c r="E20" i="6"/>
  <c r="E21" i="6"/>
  <c r="E22" i="6"/>
  <c r="E23" i="6"/>
  <c r="E24" i="6"/>
  <c r="E25" i="6"/>
  <c r="E26" i="6"/>
  <c r="E27" i="6"/>
  <c r="B28" i="6"/>
  <c r="C28" i="6"/>
  <c r="C28" i="20" s="1"/>
  <c r="D28" i="6"/>
  <c r="E32" i="6"/>
  <c r="E33" i="6"/>
  <c r="E34" i="6"/>
  <c r="E35" i="6"/>
  <c r="E36" i="6"/>
  <c r="E37" i="6"/>
  <c r="B38" i="6"/>
  <c r="C38" i="6"/>
  <c r="D38" i="6"/>
  <c r="E39" i="6"/>
  <c r="B40" i="6"/>
  <c r="C40" i="6"/>
  <c r="D40" i="6"/>
  <c r="E44" i="6"/>
  <c r="E45" i="6"/>
  <c r="E46" i="6"/>
  <c r="E47" i="6"/>
  <c r="E48" i="6"/>
  <c r="E49" i="6"/>
  <c r="E50" i="6"/>
  <c r="B51" i="6"/>
  <c r="C51" i="6"/>
  <c r="D51" i="6"/>
  <c r="E54" i="6"/>
  <c r="B55" i="6"/>
  <c r="B55" i="20" s="1"/>
  <c r="C55" i="6"/>
  <c r="C55" i="20" s="1"/>
  <c r="D55" i="6"/>
  <c r="E56" i="6"/>
  <c r="E57" i="6"/>
  <c r="B58" i="6"/>
  <c r="B58" i="20" s="1"/>
  <c r="C58" i="6"/>
  <c r="C58" i="20" s="1"/>
  <c r="D58" i="6"/>
  <c r="B59" i="6"/>
  <c r="C59" i="6"/>
  <c r="C59" i="20" s="1"/>
  <c r="D59" i="6"/>
  <c r="E63" i="6"/>
  <c r="E64" i="6"/>
  <c r="E65" i="6"/>
  <c r="E66" i="6"/>
  <c r="E67" i="6"/>
  <c r="E68" i="6"/>
  <c r="B69" i="6"/>
  <c r="C69" i="6"/>
  <c r="D69" i="6"/>
  <c r="E72" i="6"/>
  <c r="E73" i="6"/>
  <c r="E74" i="6"/>
  <c r="E75" i="6"/>
  <c r="E76" i="6"/>
  <c r="E77" i="6"/>
  <c r="E78" i="6"/>
  <c r="E79" i="6"/>
  <c r="E80" i="6"/>
  <c r="E81" i="6"/>
  <c r="B82" i="6"/>
  <c r="C82" i="6"/>
  <c r="D82" i="6"/>
  <c r="E85" i="6"/>
  <c r="E86" i="6"/>
  <c r="E87" i="6"/>
  <c r="E88" i="6"/>
  <c r="E89" i="6"/>
  <c r="E90" i="6"/>
  <c r="B91" i="6"/>
  <c r="C91" i="6"/>
  <c r="D91" i="6"/>
  <c r="E92" i="6"/>
  <c r="E93" i="6"/>
  <c r="B97" i="6"/>
  <c r="C97" i="6"/>
  <c r="D97" i="6"/>
  <c r="E98" i="6"/>
  <c r="E99" i="6"/>
  <c r="E100" i="6"/>
  <c r="E101" i="6"/>
  <c r="E102" i="6"/>
  <c r="E103" i="6"/>
  <c r="E104" i="6"/>
  <c r="B105" i="6"/>
  <c r="C105" i="6"/>
  <c r="D105" i="6"/>
  <c r="E106" i="6"/>
  <c r="E107" i="6"/>
  <c r="E111" i="6"/>
  <c r="B112" i="6"/>
  <c r="C112" i="6"/>
  <c r="C112" i="20" s="1"/>
  <c r="D112" i="6"/>
  <c r="D112" i="4" s="1"/>
  <c r="B113" i="6"/>
  <c r="C113" i="6"/>
  <c r="D113" i="6"/>
  <c r="B114" i="6"/>
  <c r="C114" i="6"/>
  <c r="D114" i="6"/>
  <c r="E114" i="6"/>
  <c r="B38" i="4" l="1"/>
  <c r="B38" i="20"/>
  <c r="B29" i="20"/>
  <c r="E51" i="16"/>
  <c r="C23" i="18"/>
  <c r="C67" i="18"/>
  <c r="E82" i="6"/>
  <c r="E59" i="6"/>
  <c r="B59" i="20"/>
  <c r="B60" i="20" s="1"/>
  <c r="D38" i="20"/>
  <c r="D38" i="4"/>
  <c r="E51" i="5"/>
  <c r="E38" i="16"/>
  <c r="E115" i="15"/>
  <c r="E82" i="14"/>
  <c r="E108" i="10"/>
  <c r="E112" i="6"/>
  <c r="B91" i="4"/>
  <c r="B94" i="4" s="1"/>
  <c r="D58" i="20"/>
  <c r="F58" i="20" s="1"/>
  <c r="C38" i="20"/>
  <c r="C41" i="20" s="1"/>
  <c r="D8" i="23" s="1"/>
  <c r="C38" i="4"/>
  <c r="D28" i="4"/>
  <c r="D28" i="20"/>
  <c r="D82" i="20"/>
  <c r="C93" i="18"/>
  <c r="C49" i="4"/>
  <c r="B28" i="4"/>
  <c r="B28" i="20"/>
  <c r="B82" i="20"/>
  <c r="E40" i="6"/>
  <c r="D40" i="20"/>
  <c r="D40" i="4"/>
  <c r="B113" i="19"/>
  <c r="C94" i="20"/>
  <c r="F36" i="4"/>
  <c r="H36" i="4" s="1"/>
  <c r="D34" i="4"/>
  <c r="E97" i="14"/>
  <c r="E113" i="14"/>
  <c r="C40" i="18"/>
  <c r="E69" i="6"/>
  <c r="C40" i="4"/>
  <c r="C40" i="20"/>
  <c r="D18" i="20"/>
  <c r="D9" i="20"/>
  <c r="G49" i="16"/>
  <c r="E60" i="14"/>
  <c r="C34" i="4"/>
  <c r="C98" i="4"/>
  <c r="C94" i="12"/>
  <c r="C113" i="18"/>
  <c r="C82" i="20"/>
  <c r="C81" i="4"/>
  <c r="C59" i="18"/>
  <c r="I49" i="16"/>
  <c r="B117" i="10"/>
  <c r="D59" i="20"/>
  <c r="D55" i="20"/>
  <c r="F55" i="20" s="1"/>
  <c r="B40" i="4"/>
  <c r="B40" i="20"/>
  <c r="C18" i="20"/>
  <c r="C9" i="20"/>
  <c r="C15" i="20" s="1"/>
  <c r="D6" i="23" s="1"/>
  <c r="C115" i="5"/>
  <c r="E105" i="5"/>
  <c r="C115" i="16"/>
  <c r="H115" i="16" s="1"/>
  <c r="C108" i="16"/>
  <c r="H102" i="16" s="1"/>
  <c r="G72" i="16"/>
  <c r="G51" i="16"/>
  <c r="B97" i="17"/>
  <c r="C10" i="4"/>
  <c r="C33" i="4"/>
  <c r="C13" i="4"/>
  <c r="C82" i="11"/>
  <c r="C20" i="4"/>
  <c r="G20" i="4" s="1"/>
  <c r="C94" i="11"/>
  <c r="C23" i="4"/>
  <c r="C78" i="4"/>
  <c r="G78" i="4" s="1"/>
  <c r="C92" i="4"/>
  <c r="C106" i="4"/>
  <c r="C39" i="18"/>
  <c r="C22" i="4"/>
  <c r="G22" i="4" s="1"/>
  <c r="C67" i="4"/>
  <c r="C81" i="18"/>
  <c r="G35" i="4"/>
  <c r="C77" i="4"/>
  <c r="C111" i="4"/>
  <c r="E23" i="18"/>
  <c r="C18" i="18"/>
  <c r="C21" i="4"/>
  <c r="G21" i="4" s="1"/>
  <c r="C66" i="4"/>
  <c r="C76" i="4"/>
  <c r="G76" i="4" s="1"/>
  <c r="C90" i="4"/>
  <c r="C104" i="4"/>
  <c r="C114" i="18"/>
  <c r="C80" i="4"/>
  <c r="G50" i="4"/>
  <c r="C58" i="18"/>
  <c r="C65" i="4"/>
  <c r="G65" i="4" s="1"/>
  <c r="C75" i="4"/>
  <c r="C89" i="4"/>
  <c r="G89" i="4" s="1"/>
  <c r="C103" i="4"/>
  <c r="C15" i="12"/>
  <c r="E113" i="18"/>
  <c r="E107" i="18"/>
  <c r="C27" i="4"/>
  <c r="G49" i="4"/>
  <c r="C59" i="4"/>
  <c r="C64" i="4"/>
  <c r="G64" i="4" s="1"/>
  <c r="C74" i="4"/>
  <c r="C88" i="4"/>
  <c r="G88" i="4" s="1"/>
  <c r="C102" i="4"/>
  <c r="C112" i="18"/>
  <c r="E99" i="18"/>
  <c r="C14" i="4"/>
  <c r="C26" i="4"/>
  <c r="C58" i="4"/>
  <c r="C72" i="4"/>
  <c r="C19" i="4"/>
  <c r="C29" i="12"/>
  <c r="E39" i="18"/>
  <c r="C74" i="18"/>
  <c r="C64" i="18"/>
  <c r="C28" i="4"/>
  <c r="C41" i="13"/>
  <c r="C75" i="18"/>
  <c r="C50" i="18"/>
  <c r="C11" i="18"/>
  <c r="C9" i="13"/>
  <c r="C56" i="4"/>
  <c r="C54" i="4"/>
  <c r="C21" i="18"/>
  <c r="C115" i="13"/>
  <c r="C28" i="18"/>
  <c r="C89" i="18"/>
  <c r="C76" i="18"/>
  <c r="C73" i="18"/>
  <c r="C44" i="18"/>
  <c r="C20" i="18"/>
  <c r="C25" i="18"/>
  <c r="C25" i="4"/>
  <c r="C14" i="18"/>
  <c r="C46" i="18"/>
  <c r="C80" i="18"/>
  <c r="C51" i="13"/>
  <c r="C102" i="18"/>
  <c r="C57" i="18"/>
  <c r="C13" i="18"/>
  <c r="C27" i="18"/>
  <c r="E111" i="18"/>
  <c r="E75" i="18"/>
  <c r="C66" i="18"/>
  <c r="C37" i="18"/>
  <c r="C45" i="18"/>
  <c r="E67" i="18"/>
  <c r="E101" i="18"/>
  <c r="C108" i="14"/>
  <c r="C115" i="14"/>
  <c r="D108" i="14"/>
  <c r="E108" i="14" s="1"/>
  <c r="E114" i="14"/>
  <c r="D113" i="19"/>
  <c r="B112" i="4"/>
  <c r="D18" i="4"/>
  <c r="F18" i="4" s="1"/>
  <c r="F40" i="4"/>
  <c r="I74" i="16"/>
  <c r="B97" i="4"/>
  <c r="C114" i="4"/>
  <c r="I46" i="16"/>
  <c r="B114" i="4"/>
  <c r="D9" i="4"/>
  <c r="E106" i="19"/>
  <c r="B113" i="4"/>
  <c r="B57" i="4"/>
  <c r="E58" i="5"/>
  <c r="C113" i="4"/>
  <c r="C60" i="5"/>
  <c r="C57" i="4"/>
  <c r="C105" i="4"/>
  <c r="D114" i="4"/>
  <c r="C112" i="4"/>
  <c r="E114" i="5"/>
  <c r="B105" i="20"/>
  <c r="B105" i="4"/>
  <c r="E97" i="6"/>
  <c r="D97" i="4"/>
  <c r="E58" i="6"/>
  <c r="E18" i="6"/>
  <c r="B18" i="4"/>
  <c r="D115" i="6"/>
  <c r="D113" i="4"/>
  <c r="D108" i="6"/>
  <c r="B94" i="6"/>
  <c r="C60" i="6"/>
  <c r="B41" i="6"/>
  <c r="E54" i="20"/>
  <c r="E39" i="20"/>
  <c r="E20" i="20"/>
  <c r="E105" i="6"/>
  <c r="D105" i="4"/>
  <c r="C94" i="6"/>
  <c r="C91" i="4"/>
  <c r="C29" i="6"/>
  <c r="C18" i="4"/>
  <c r="C15" i="6"/>
  <c r="C9" i="4"/>
  <c r="F40" i="20"/>
  <c r="D94" i="6"/>
  <c r="E94" i="6" s="1"/>
  <c r="D91" i="4"/>
  <c r="F91" i="4" s="1"/>
  <c r="E55" i="6"/>
  <c r="D57" i="4"/>
  <c r="F57" i="4" s="1"/>
  <c r="C41" i="6"/>
  <c r="B15" i="6"/>
  <c r="B9" i="4"/>
  <c r="D114" i="20"/>
  <c r="F114" i="20" s="1"/>
  <c r="E106" i="20"/>
  <c r="E93" i="20"/>
  <c r="E65" i="20"/>
  <c r="E48" i="20"/>
  <c r="E13" i="20"/>
  <c r="E35" i="20"/>
  <c r="E32" i="20"/>
  <c r="E50" i="20"/>
  <c r="E57" i="20"/>
  <c r="E45" i="20"/>
  <c r="E82" i="9"/>
  <c r="C98" i="17"/>
  <c r="C111" i="17"/>
  <c r="C107" i="17"/>
  <c r="C99" i="17"/>
  <c r="E58" i="17"/>
  <c r="C65" i="17"/>
  <c r="E15" i="8"/>
  <c r="E99" i="17"/>
  <c r="E81" i="17"/>
  <c r="E23" i="17"/>
  <c r="E10" i="17"/>
  <c r="E105" i="17"/>
  <c r="G87" i="4"/>
  <c r="E63" i="17"/>
  <c r="C67" i="17"/>
  <c r="E18" i="17"/>
  <c r="E12" i="17"/>
  <c r="E90" i="17"/>
  <c r="E57" i="17"/>
  <c r="E26" i="17"/>
  <c r="C85" i="17"/>
  <c r="E93" i="17"/>
  <c r="C26" i="17"/>
  <c r="E83" i="8"/>
  <c r="C23" i="17"/>
  <c r="G86" i="4"/>
  <c r="G33" i="4"/>
  <c r="E111" i="17"/>
  <c r="E87" i="17"/>
  <c r="E55" i="17"/>
  <c r="E21" i="17"/>
  <c r="E56" i="17"/>
  <c r="E49" i="17"/>
  <c r="E39" i="17"/>
  <c r="E13" i="17"/>
  <c r="E18" i="5"/>
  <c r="D60" i="5"/>
  <c r="B115" i="5"/>
  <c r="E82" i="5"/>
  <c r="C108" i="6"/>
  <c r="B60" i="6"/>
  <c r="E113" i="6"/>
  <c r="D29" i="6"/>
  <c r="B29" i="6"/>
  <c r="E64" i="20"/>
  <c r="E100" i="20"/>
  <c r="E79" i="20"/>
  <c r="E68" i="20"/>
  <c r="E33" i="20"/>
  <c r="E23" i="20"/>
  <c r="E11" i="20"/>
  <c r="B91" i="19"/>
  <c r="B94" i="19" s="1"/>
  <c r="G13" i="23" s="1"/>
  <c r="E105" i="14"/>
  <c r="E51" i="14"/>
  <c r="D114" i="19"/>
  <c r="E114" i="19" s="1"/>
  <c r="E91" i="14"/>
  <c r="E94" i="15"/>
  <c r="E69" i="15"/>
  <c r="E15" i="15"/>
  <c r="E88" i="19"/>
  <c r="E66" i="19"/>
  <c r="D108" i="16"/>
  <c r="I107" i="16" s="1"/>
  <c r="H97" i="16"/>
  <c r="H69" i="16"/>
  <c r="I50" i="16"/>
  <c r="I47" i="16"/>
  <c r="I44" i="16"/>
  <c r="E97" i="16"/>
  <c r="I81" i="16"/>
  <c r="I75" i="16"/>
  <c r="C60" i="16"/>
  <c r="H60" i="16" s="1"/>
  <c r="I51" i="16"/>
  <c r="G50" i="16"/>
  <c r="G47" i="16"/>
  <c r="G44" i="16"/>
  <c r="B41" i="16"/>
  <c r="G41" i="16" s="1"/>
  <c r="E28" i="16"/>
  <c r="E90" i="19"/>
  <c r="E79" i="19"/>
  <c r="D115" i="16"/>
  <c r="I111" i="16" s="1"/>
  <c r="H67" i="16"/>
  <c r="I45" i="16"/>
  <c r="I77" i="16"/>
  <c r="G45" i="16"/>
  <c r="H63" i="16"/>
  <c r="E113" i="16"/>
  <c r="H66" i="16"/>
  <c r="D51" i="19"/>
  <c r="F51" i="19" s="1"/>
  <c r="E74" i="19"/>
  <c r="E63" i="19"/>
  <c r="G78" i="16"/>
  <c r="D29" i="5"/>
  <c r="G97" i="16"/>
  <c r="G107" i="16"/>
  <c r="G100" i="16"/>
  <c r="G108" i="16"/>
  <c r="I101" i="16"/>
  <c r="B60" i="5"/>
  <c r="G104" i="16"/>
  <c r="C45" i="17"/>
  <c r="C54" i="17"/>
  <c r="F18" i="20"/>
  <c r="C41" i="5"/>
  <c r="B112" i="19"/>
  <c r="B115" i="16"/>
  <c r="G80" i="16"/>
  <c r="G77" i="16"/>
  <c r="H65" i="16"/>
  <c r="C72" i="18"/>
  <c r="C19" i="18"/>
  <c r="G8" i="4"/>
  <c r="C8" i="18"/>
  <c r="C48" i="18"/>
  <c r="C60" i="11"/>
  <c r="C12" i="17"/>
  <c r="C25" i="17"/>
  <c r="B112" i="20"/>
  <c r="B115" i="20" s="1"/>
  <c r="D115" i="5"/>
  <c r="E115" i="5" s="1"/>
  <c r="B29" i="5"/>
  <c r="E108" i="15"/>
  <c r="E115" i="14"/>
  <c r="E69" i="13"/>
  <c r="E97" i="10"/>
  <c r="E80" i="20"/>
  <c r="F80" i="20"/>
  <c r="E72" i="20"/>
  <c r="E37" i="19"/>
  <c r="E19" i="19"/>
  <c r="E85" i="17"/>
  <c r="E79" i="17"/>
  <c r="E66" i="17"/>
  <c r="E27" i="17"/>
  <c r="C9" i="18"/>
  <c r="C22" i="18"/>
  <c r="C47" i="18"/>
  <c r="G85" i="4"/>
  <c r="C85" i="18"/>
  <c r="C94" i="13"/>
  <c r="C100" i="18"/>
  <c r="C41" i="11"/>
  <c r="C11" i="17"/>
  <c r="C44" i="17"/>
  <c r="C104" i="17"/>
  <c r="G73" i="16"/>
  <c r="G81" i="16"/>
  <c r="G75" i="16"/>
  <c r="G82" i="16"/>
  <c r="B113" i="20"/>
  <c r="D91" i="19"/>
  <c r="F91" i="19" s="1"/>
  <c r="E91" i="16"/>
  <c r="C106" i="17"/>
  <c r="C105" i="20"/>
  <c r="B94" i="5"/>
  <c r="D112" i="19"/>
  <c r="F112" i="19" s="1"/>
  <c r="C35" i="18"/>
  <c r="C56" i="18"/>
  <c r="C101" i="18"/>
  <c r="C114" i="20"/>
  <c r="D60" i="6"/>
  <c r="E97" i="5"/>
  <c r="D108" i="5"/>
  <c r="E108" i="5" s="1"/>
  <c r="E69" i="5"/>
  <c r="D94" i="16"/>
  <c r="I94" i="16" s="1"/>
  <c r="E82" i="16"/>
  <c r="I79" i="16"/>
  <c r="I76" i="16"/>
  <c r="H68" i="16"/>
  <c r="B28" i="19"/>
  <c r="B29" i="16"/>
  <c r="G29" i="16" s="1"/>
  <c r="E94" i="13"/>
  <c r="C29" i="13"/>
  <c r="E94" i="11"/>
  <c r="E94" i="10"/>
  <c r="E107" i="20"/>
  <c r="E98" i="20"/>
  <c r="E85" i="20"/>
  <c r="E47" i="19"/>
  <c r="E93" i="18"/>
  <c r="E90" i="18"/>
  <c r="C87" i="18"/>
  <c r="E91" i="17"/>
  <c r="E72" i="17"/>
  <c r="C66" i="17"/>
  <c r="E37" i="17"/>
  <c r="E112" i="14"/>
  <c r="C69" i="13"/>
  <c r="C107" i="18"/>
  <c r="C29" i="11"/>
  <c r="C51" i="11"/>
  <c r="C68" i="18"/>
  <c r="C97" i="11"/>
  <c r="C97" i="18" s="1"/>
  <c r="C115" i="11"/>
  <c r="C22" i="17"/>
  <c r="I104" i="16"/>
  <c r="C113" i="20"/>
  <c r="C115" i="6"/>
  <c r="I100" i="16"/>
  <c r="D97" i="19"/>
  <c r="F97" i="19" s="1"/>
  <c r="B114" i="20"/>
  <c r="B115" i="6"/>
  <c r="E115" i="6" s="1"/>
  <c r="E91" i="6"/>
  <c r="E28" i="6"/>
  <c r="E91" i="5"/>
  <c r="E108" i="16"/>
  <c r="E105" i="16"/>
  <c r="B94" i="16"/>
  <c r="G85" i="16" s="1"/>
  <c r="I78" i="16"/>
  <c r="I82" i="16"/>
  <c r="I72" i="16"/>
  <c r="I80" i="16"/>
  <c r="G79" i="16"/>
  <c r="G76" i="16"/>
  <c r="E58" i="16"/>
  <c r="E41" i="15"/>
  <c r="E41" i="13"/>
  <c r="E94" i="12"/>
  <c r="E29" i="8"/>
  <c r="E103" i="20"/>
  <c r="E90" i="20"/>
  <c r="E18" i="18"/>
  <c r="E34" i="17"/>
  <c r="E94" i="14"/>
  <c r="C92" i="18"/>
  <c r="C106" i="18"/>
  <c r="C98" i="18"/>
  <c r="E51" i="6"/>
  <c r="C108" i="5"/>
  <c r="E28" i="5"/>
  <c r="G48" i="16"/>
  <c r="E69" i="14"/>
  <c r="E29" i="12"/>
  <c r="E60" i="9"/>
  <c r="E95" i="8"/>
  <c r="E52" i="8"/>
  <c r="E88" i="20"/>
  <c r="E75" i="20"/>
  <c r="E46" i="20"/>
  <c r="E36" i="20"/>
  <c r="E26" i="20"/>
  <c r="E14" i="20"/>
  <c r="E8" i="20"/>
  <c r="E92" i="19"/>
  <c r="E45" i="19"/>
  <c r="E25" i="19"/>
  <c r="E114" i="18"/>
  <c r="E79" i="18"/>
  <c r="E27" i="18"/>
  <c r="E100" i="17"/>
  <c r="E64" i="17"/>
  <c r="E19" i="17"/>
  <c r="E8" i="17"/>
  <c r="G24" i="4"/>
  <c r="C36" i="18"/>
  <c r="E115" i="10"/>
  <c r="E51" i="10"/>
  <c r="E29" i="10"/>
  <c r="E102" i="20"/>
  <c r="E89" i="20"/>
  <c r="E81" i="20"/>
  <c r="E76" i="20"/>
  <c r="F65" i="20"/>
  <c r="E56" i="20"/>
  <c r="E47" i="20"/>
  <c r="E27" i="20"/>
  <c r="E19" i="20"/>
  <c r="E111" i="19"/>
  <c r="E73" i="19"/>
  <c r="E36" i="19"/>
  <c r="E33" i="19"/>
  <c r="E26" i="19"/>
  <c r="E8" i="19"/>
  <c r="E98" i="18"/>
  <c r="E92" i="18"/>
  <c r="E89" i="18"/>
  <c r="E80" i="18"/>
  <c r="E72" i="18"/>
  <c r="E66" i="18"/>
  <c r="E22" i="18"/>
  <c r="E104" i="17"/>
  <c r="E101" i="17"/>
  <c r="E68" i="17"/>
  <c r="E20" i="17"/>
  <c r="E9" i="17"/>
  <c r="B41" i="5"/>
  <c r="C29" i="5"/>
  <c r="E15" i="14"/>
  <c r="E82" i="10"/>
  <c r="E99" i="20"/>
  <c r="E86" i="20"/>
  <c r="E44" i="20"/>
  <c r="E12" i="20"/>
  <c r="E89" i="19"/>
  <c r="E78" i="19"/>
  <c r="E32" i="19"/>
  <c r="E14" i="19"/>
  <c r="E112" i="18"/>
  <c r="E19" i="18"/>
  <c r="E92" i="17"/>
  <c r="E86" i="17"/>
  <c r="E59" i="17"/>
  <c r="E47" i="17"/>
  <c r="E44" i="17"/>
  <c r="E38" i="17"/>
  <c r="E28" i="17"/>
  <c r="E14" i="17"/>
  <c r="C15" i="13"/>
  <c r="G39" i="4"/>
  <c r="C65" i="18"/>
  <c r="C115" i="17"/>
  <c r="H29" i="23" s="1"/>
  <c r="E41" i="11"/>
  <c r="E41" i="10"/>
  <c r="E69" i="9"/>
  <c r="E70" i="8"/>
  <c r="E104" i="20"/>
  <c r="E92" i="20"/>
  <c r="E78" i="20"/>
  <c r="E49" i="20"/>
  <c r="E104" i="19"/>
  <c r="E64" i="19"/>
  <c r="E57" i="19"/>
  <c r="E48" i="19"/>
  <c r="E20" i="19"/>
  <c r="E74" i="18"/>
  <c r="E56" i="18"/>
  <c r="E44" i="18"/>
  <c r="E106" i="17"/>
  <c r="E73" i="17"/>
  <c r="E35" i="17"/>
  <c r="E11" i="17"/>
  <c r="G12" i="4"/>
  <c r="G37" i="4"/>
  <c r="C102" i="17"/>
  <c r="C12" i="23"/>
  <c r="D12" i="23"/>
  <c r="F14" i="20"/>
  <c r="E88" i="18"/>
  <c r="D69" i="20"/>
  <c r="E103" i="17"/>
  <c r="E102" i="17"/>
  <c r="E107" i="4"/>
  <c r="E106" i="4"/>
  <c r="F101" i="4"/>
  <c r="H101" i="4" s="1"/>
  <c r="E100" i="4"/>
  <c r="E110" i="8"/>
  <c r="C77" i="17"/>
  <c r="E61" i="8"/>
  <c r="E42" i="8"/>
  <c r="C32" i="17"/>
  <c r="E36" i="17"/>
  <c r="E77" i="17"/>
  <c r="E32" i="17"/>
  <c r="E97" i="17"/>
  <c r="E117" i="8"/>
  <c r="D20" i="21"/>
  <c r="E98" i="17"/>
  <c r="E109" i="9"/>
  <c r="E89" i="17"/>
  <c r="E66" i="4"/>
  <c r="H89" i="4"/>
  <c r="E68" i="4"/>
  <c r="E94" i="9"/>
  <c r="E33" i="17"/>
  <c r="E46" i="4"/>
  <c r="H39" i="4"/>
  <c r="F68" i="4"/>
  <c r="H68" i="4" s="1"/>
  <c r="E51" i="9"/>
  <c r="E41" i="9"/>
  <c r="H21" i="4"/>
  <c r="E107" i="17"/>
  <c r="E29" i="9"/>
  <c r="F58" i="17"/>
  <c r="F46" i="4"/>
  <c r="H46" i="4" s="1"/>
  <c r="F33" i="17"/>
  <c r="F73" i="4"/>
  <c r="H73" i="4" s="1"/>
  <c r="F85" i="17"/>
  <c r="F32" i="17"/>
  <c r="E15" i="9"/>
  <c r="C46" i="17"/>
  <c r="C24" i="17"/>
  <c r="C116" i="9"/>
  <c r="H85" i="4"/>
  <c r="E76" i="4"/>
  <c r="F72" i="17"/>
  <c r="F55" i="17"/>
  <c r="B69" i="4"/>
  <c r="F14" i="17"/>
  <c r="F35" i="17"/>
  <c r="F73" i="17"/>
  <c r="H33" i="4"/>
  <c r="F20" i="17"/>
  <c r="F66" i="17"/>
  <c r="F79" i="17"/>
  <c r="F103" i="17"/>
  <c r="F11" i="17"/>
  <c r="F59" i="17"/>
  <c r="F105" i="17"/>
  <c r="F32" i="4"/>
  <c r="H32" i="4" s="1"/>
  <c r="F72" i="4"/>
  <c r="F111" i="4"/>
  <c r="B94" i="17"/>
  <c r="G27" i="23" s="1"/>
  <c r="E74" i="17"/>
  <c r="E48" i="17"/>
  <c r="H35" i="4"/>
  <c r="H24" i="4"/>
  <c r="F93" i="17"/>
  <c r="F100" i="17"/>
  <c r="E116" i="9"/>
  <c r="E24" i="17"/>
  <c r="F48" i="4"/>
  <c r="H48" i="4" s="1"/>
  <c r="F66" i="4"/>
  <c r="H66" i="4" s="1"/>
  <c r="F44" i="17"/>
  <c r="F89" i="17"/>
  <c r="F39" i="17"/>
  <c r="F74" i="17"/>
  <c r="B118" i="9"/>
  <c r="B19" i="21" s="1"/>
  <c r="E88" i="17"/>
  <c r="D115" i="17"/>
  <c r="F111" i="17"/>
  <c r="E80" i="17"/>
  <c r="E80" i="4"/>
  <c r="E78" i="17"/>
  <c r="E78" i="4"/>
  <c r="E76" i="17"/>
  <c r="H76" i="4"/>
  <c r="C50" i="17"/>
  <c r="E50" i="17"/>
  <c r="C48" i="17"/>
  <c r="E46" i="17"/>
  <c r="B29" i="17"/>
  <c r="G21" i="23" s="1"/>
  <c r="C80" i="17"/>
  <c r="C78" i="17"/>
  <c r="C76" i="17"/>
  <c r="C74" i="17"/>
  <c r="F98" i="17"/>
  <c r="B108" i="17"/>
  <c r="G28" i="23" s="1"/>
  <c r="F81" i="17"/>
  <c r="E115" i="11"/>
  <c r="E108" i="11"/>
  <c r="C104" i="18"/>
  <c r="E97" i="11"/>
  <c r="E92" i="4"/>
  <c r="H86" i="4"/>
  <c r="C88" i="18"/>
  <c r="C86" i="18"/>
  <c r="E82" i="11"/>
  <c r="E69" i="11"/>
  <c r="E60" i="11"/>
  <c r="E51" i="11"/>
  <c r="F19" i="18"/>
  <c r="E29" i="11"/>
  <c r="E10" i="4"/>
  <c r="B10" i="18"/>
  <c r="E10" i="18" s="1"/>
  <c r="E10" i="11"/>
  <c r="E9" i="11"/>
  <c r="B9" i="18"/>
  <c r="B11" i="18"/>
  <c r="E11" i="18" s="1"/>
  <c r="E11" i="11"/>
  <c r="F86" i="20"/>
  <c r="C69" i="20"/>
  <c r="D11" i="23" s="1"/>
  <c r="F33" i="20"/>
  <c r="F100" i="20"/>
  <c r="F90" i="20"/>
  <c r="F76" i="20"/>
  <c r="D15" i="17"/>
  <c r="D69" i="17"/>
  <c r="F10" i="17"/>
  <c r="F76" i="17"/>
  <c r="D82" i="17"/>
  <c r="F113" i="17"/>
  <c r="F12" i="17"/>
  <c r="F34" i="17"/>
  <c r="F56" i="17"/>
  <c r="F97" i="17"/>
  <c r="F104" i="17"/>
  <c r="F67" i="4"/>
  <c r="F106" i="4"/>
  <c r="F107" i="20"/>
  <c r="F106" i="20"/>
  <c r="F104" i="20"/>
  <c r="F99" i="20"/>
  <c r="F89" i="20"/>
  <c r="F88" i="20"/>
  <c r="F85" i="20"/>
  <c r="F79" i="20"/>
  <c r="F78" i="20"/>
  <c r="F75" i="20"/>
  <c r="F72" i="20"/>
  <c r="F68" i="20"/>
  <c r="F49" i="20"/>
  <c r="F46" i="20"/>
  <c r="F35" i="20"/>
  <c r="F32" i="20"/>
  <c r="F27" i="20"/>
  <c r="F20" i="20"/>
  <c r="F79" i="19"/>
  <c r="E103" i="18"/>
  <c r="E63" i="18"/>
  <c r="E26" i="18"/>
  <c r="F106" i="17"/>
  <c r="F9" i="17"/>
  <c r="E99" i="4"/>
  <c r="C15" i="11"/>
  <c r="C12" i="18"/>
  <c r="F102" i="17"/>
  <c r="F92" i="17"/>
  <c r="F91" i="17"/>
  <c r="F88" i="17"/>
  <c r="F64" i="17"/>
  <c r="F21" i="17"/>
  <c r="F18" i="17"/>
  <c r="E90" i="4"/>
  <c r="F86" i="17"/>
  <c r="F77" i="17"/>
  <c r="F50" i="17"/>
  <c r="F36" i="17"/>
  <c r="F26" i="17"/>
  <c r="F23" i="17"/>
  <c r="E50" i="4"/>
  <c r="C115" i="12"/>
  <c r="E115" i="12"/>
  <c r="C103" i="18"/>
  <c r="E101" i="4"/>
  <c r="E108" i="12"/>
  <c r="F93" i="18"/>
  <c r="C90" i="18"/>
  <c r="F103" i="20"/>
  <c r="F57" i="20"/>
  <c r="F56" i="20"/>
  <c r="F48" i="20"/>
  <c r="F45" i="20"/>
  <c r="F44" i="20"/>
  <c r="F13" i="20"/>
  <c r="F12" i="20"/>
  <c r="F106" i="19"/>
  <c r="F90" i="19"/>
  <c r="F48" i="19"/>
  <c r="E46" i="18"/>
  <c r="E36" i="18"/>
  <c r="F23" i="18"/>
  <c r="F11" i="18"/>
  <c r="F47" i="17"/>
  <c r="E103" i="4"/>
  <c r="E63" i="4"/>
  <c r="B15" i="17"/>
  <c r="G20" i="23" s="1"/>
  <c r="E82" i="12"/>
  <c r="C82" i="12"/>
  <c r="E69" i="12"/>
  <c r="C63" i="18"/>
  <c r="C69" i="12"/>
  <c r="F56" i="18"/>
  <c r="E60" i="12"/>
  <c r="C60" i="12"/>
  <c r="E48" i="18"/>
  <c r="E51" i="12"/>
  <c r="E40" i="18"/>
  <c r="E41" i="12"/>
  <c r="C41" i="12"/>
  <c r="E34" i="18"/>
  <c r="E26" i="4"/>
  <c r="E24" i="18"/>
  <c r="E24" i="4"/>
  <c r="E22" i="4"/>
  <c r="C108" i="12"/>
  <c r="C51" i="12"/>
  <c r="C38" i="18"/>
  <c r="C34" i="18"/>
  <c r="C26" i="18"/>
  <c r="C24" i="18"/>
  <c r="F114" i="18"/>
  <c r="F113" i="18"/>
  <c r="F79" i="18"/>
  <c r="F27" i="18"/>
  <c r="F66" i="18"/>
  <c r="F75" i="18"/>
  <c r="F46" i="18"/>
  <c r="E33" i="18"/>
  <c r="E115" i="13"/>
  <c r="E104" i="18"/>
  <c r="E102" i="18"/>
  <c r="F101" i="18"/>
  <c r="C108" i="13"/>
  <c r="E108" i="13"/>
  <c r="D108" i="18"/>
  <c r="F98" i="18"/>
  <c r="F92" i="4"/>
  <c r="H92" i="4" s="1"/>
  <c r="E91" i="18"/>
  <c r="F90" i="18"/>
  <c r="F89" i="18"/>
  <c r="E81" i="18"/>
  <c r="F80" i="18"/>
  <c r="C82" i="13"/>
  <c r="E73" i="18"/>
  <c r="F72" i="18"/>
  <c r="E82" i="13"/>
  <c r="E64" i="18"/>
  <c r="F63" i="18"/>
  <c r="E59" i="18"/>
  <c r="E60" i="13"/>
  <c r="E58" i="18"/>
  <c r="E57" i="18"/>
  <c r="E56" i="4"/>
  <c r="C49" i="18"/>
  <c r="E49" i="18"/>
  <c r="E47" i="18"/>
  <c r="E51" i="13"/>
  <c r="F39" i="18"/>
  <c r="E37" i="18"/>
  <c r="E35" i="18"/>
  <c r="F34" i="18"/>
  <c r="C33" i="18"/>
  <c r="F33" i="18"/>
  <c r="E25" i="18"/>
  <c r="F24" i="18"/>
  <c r="E29" i="13"/>
  <c r="F12" i="18"/>
  <c r="C60" i="13"/>
  <c r="H64" i="4"/>
  <c r="H50" i="4"/>
  <c r="E39" i="19"/>
  <c r="F33" i="19"/>
  <c r="E41" i="14"/>
  <c r="F32" i="19"/>
  <c r="C117" i="14"/>
  <c r="E11" i="19"/>
  <c r="F107" i="4"/>
  <c r="E107" i="19"/>
  <c r="E101" i="19"/>
  <c r="E99" i="19"/>
  <c r="E93" i="19"/>
  <c r="F89" i="19"/>
  <c r="E89" i="4"/>
  <c r="E88" i="4"/>
  <c r="E87" i="4"/>
  <c r="E86" i="4"/>
  <c r="E85" i="19"/>
  <c r="E85" i="4"/>
  <c r="F81" i="4"/>
  <c r="E77" i="19"/>
  <c r="F77" i="4"/>
  <c r="F76" i="19"/>
  <c r="F73" i="19"/>
  <c r="E82" i="15"/>
  <c r="E67" i="19"/>
  <c r="E65" i="19"/>
  <c r="E65" i="4"/>
  <c r="E64" i="4"/>
  <c r="F64" i="19"/>
  <c r="E60" i="15"/>
  <c r="H49" i="4"/>
  <c r="E49" i="4"/>
  <c r="E46" i="19"/>
  <c r="F45" i="19"/>
  <c r="D51" i="4"/>
  <c r="F51" i="4" s="1"/>
  <c r="F44" i="4"/>
  <c r="H44" i="4" s="1"/>
  <c r="E51" i="15"/>
  <c r="E39" i="4"/>
  <c r="F37" i="19"/>
  <c r="E37" i="4"/>
  <c r="E36" i="4"/>
  <c r="E35" i="4"/>
  <c r="E33" i="4"/>
  <c r="F25" i="19"/>
  <c r="E23" i="19"/>
  <c r="H22" i="4"/>
  <c r="E21" i="19"/>
  <c r="E21" i="4"/>
  <c r="H20" i="4"/>
  <c r="E20" i="4"/>
  <c r="F20" i="19"/>
  <c r="F19" i="19"/>
  <c r="F19" i="4"/>
  <c r="E29" i="15"/>
  <c r="B117" i="15"/>
  <c r="B13" i="21" s="1"/>
  <c r="F14" i="4"/>
  <c r="F11" i="4"/>
  <c r="F10" i="4"/>
  <c r="H8" i="4"/>
  <c r="F8" i="19"/>
  <c r="D113" i="20"/>
  <c r="E38" i="6"/>
  <c r="D41" i="6"/>
  <c r="E9" i="6"/>
  <c r="D15" i="6"/>
  <c r="C113" i="19"/>
  <c r="C91" i="19"/>
  <c r="C94" i="19" s="1"/>
  <c r="H13" i="23" s="1"/>
  <c r="C94" i="16"/>
  <c r="H91" i="16" s="1"/>
  <c r="H72" i="16"/>
  <c r="H73" i="16"/>
  <c r="H74" i="16"/>
  <c r="H75" i="16"/>
  <c r="H76" i="16"/>
  <c r="H77" i="16"/>
  <c r="H78" i="16"/>
  <c r="H79" i="16"/>
  <c r="H80" i="16"/>
  <c r="H81" i="16"/>
  <c r="I63" i="16"/>
  <c r="I64" i="16"/>
  <c r="I65" i="16"/>
  <c r="I66" i="16"/>
  <c r="I67" i="16"/>
  <c r="I68" i="16"/>
  <c r="E69" i="16"/>
  <c r="G63" i="16"/>
  <c r="G64" i="16"/>
  <c r="G65" i="16"/>
  <c r="G66" i="16"/>
  <c r="G67" i="16"/>
  <c r="G68" i="16"/>
  <c r="D59" i="19"/>
  <c r="E59" i="16"/>
  <c r="D55" i="19"/>
  <c r="E55" i="16"/>
  <c r="D60" i="16"/>
  <c r="B55" i="19"/>
  <c r="B60" i="16"/>
  <c r="G59" i="16" s="1"/>
  <c r="H44" i="16"/>
  <c r="H45" i="16"/>
  <c r="H46" i="16"/>
  <c r="H47" i="16"/>
  <c r="H48" i="16"/>
  <c r="H49" i="16"/>
  <c r="H50" i="16"/>
  <c r="D18" i="19"/>
  <c r="D29" i="19" s="1"/>
  <c r="I7" i="23" s="1"/>
  <c r="E18" i="16"/>
  <c r="B18" i="19"/>
  <c r="H9" i="16"/>
  <c r="H10" i="16"/>
  <c r="H11" i="16"/>
  <c r="H12" i="16"/>
  <c r="H13" i="16"/>
  <c r="H14" i="16"/>
  <c r="D9" i="19"/>
  <c r="E9" i="16"/>
  <c r="D15" i="16"/>
  <c r="B9" i="19"/>
  <c r="B15" i="19" s="1"/>
  <c r="G6" i="23" s="1"/>
  <c r="B15" i="16"/>
  <c r="G9" i="16" s="1"/>
  <c r="E29" i="14"/>
  <c r="E15" i="12"/>
  <c r="D117" i="12"/>
  <c r="E15" i="10"/>
  <c r="D117" i="10"/>
  <c r="E87" i="20"/>
  <c r="F87" i="20"/>
  <c r="E74" i="20"/>
  <c r="F74" i="20"/>
  <c r="E63" i="20"/>
  <c r="F63" i="20"/>
  <c r="E22" i="20"/>
  <c r="F22" i="20"/>
  <c r="E10" i="20"/>
  <c r="F10" i="20"/>
  <c r="E113" i="19"/>
  <c r="F113" i="19"/>
  <c r="E105" i="19"/>
  <c r="F105" i="19"/>
  <c r="E103" i="19"/>
  <c r="F103" i="19"/>
  <c r="E87" i="19"/>
  <c r="F87" i="19"/>
  <c r="E75" i="19"/>
  <c r="F75" i="19"/>
  <c r="E72" i="19"/>
  <c r="F72" i="19"/>
  <c r="E54" i="19"/>
  <c r="F54" i="19"/>
  <c r="E35" i="19"/>
  <c r="F35" i="19"/>
  <c r="E100" i="18"/>
  <c r="F100" i="18"/>
  <c r="E97" i="18"/>
  <c r="F97" i="18"/>
  <c r="E77" i="18"/>
  <c r="F77" i="18"/>
  <c r="E54" i="18"/>
  <c r="F54" i="18"/>
  <c r="E28" i="18"/>
  <c r="F28" i="18"/>
  <c r="E9" i="18"/>
  <c r="F9" i="18"/>
  <c r="E114" i="17"/>
  <c r="F114" i="17"/>
  <c r="E112" i="17"/>
  <c r="F112" i="17"/>
  <c r="E75" i="17"/>
  <c r="F75" i="17"/>
  <c r="E45" i="17"/>
  <c r="F45" i="17"/>
  <c r="E40" i="17"/>
  <c r="F40" i="17"/>
  <c r="E25" i="17"/>
  <c r="F25" i="17"/>
  <c r="E22" i="17"/>
  <c r="F22" i="17"/>
  <c r="E75" i="4"/>
  <c r="F75" i="4"/>
  <c r="E47" i="4"/>
  <c r="F47" i="4"/>
  <c r="E45" i="4"/>
  <c r="F45" i="4"/>
  <c r="E25" i="4"/>
  <c r="F25" i="4"/>
  <c r="D34" i="19"/>
  <c r="E34" i="16"/>
  <c r="C6" i="23"/>
  <c r="E38" i="5"/>
  <c r="D41" i="5"/>
  <c r="E9" i="5"/>
  <c r="D15" i="5"/>
  <c r="F13" i="4" s="1"/>
  <c r="C112" i="19"/>
  <c r="H104" i="16"/>
  <c r="H107" i="16"/>
  <c r="C105" i="19"/>
  <c r="C97" i="19"/>
  <c r="C58" i="19"/>
  <c r="C60" i="19" s="1"/>
  <c r="H10" i="23" s="1"/>
  <c r="D40" i="19"/>
  <c r="E40" i="19" s="1"/>
  <c r="E40" i="16"/>
  <c r="C38" i="19"/>
  <c r="C41" i="16"/>
  <c r="C29" i="16"/>
  <c r="E15" i="13"/>
  <c r="D117" i="13"/>
  <c r="D117" i="11"/>
  <c r="E111" i="20"/>
  <c r="F111" i="20"/>
  <c r="E101" i="20"/>
  <c r="F101" i="20"/>
  <c r="E67" i="20"/>
  <c r="F67" i="20"/>
  <c r="E37" i="20"/>
  <c r="F37" i="20"/>
  <c r="E34" i="20"/>
  <c r="F34" i="20"/>
  <c r="E25" i="20"/>
  <c r="F25" i="20"/>
  <c r="E81" i="19"/>
  <c r="F81" i="19"/>
  <c r="E50" i="19"/>
  <c r="F50" i="19"/>
  <c r="E27" i="19"/>
  <c r="F27" i="19"/>
  <c r="E24" i="19"/>
  <c r="F24" i="19"/>
  <c r="E13" i="19"/>
  <c r="F13" i="19"/>
  <c r="E106" i="18"/>
  <c r="F106" i="18"/>
  <c r="E87" i="18"/>
  <c r="F87" i="18"/>
  <c r="E68" i="18"/>
  <c r="F68" i="18"/>
  <c r="E45" i="18"/>
  <c r="F45" i="18"/>
  <c r="E38" i="18"/>
  <c r="F38" i="18"/>
  <c r="E21" i="18"/>
  <c r="F21" i="18"/>
  <c r="E67" i="17"/>
  <c r="F67" i="17"/>
  <c r="E65" i="17"/>
  <c r="F65" i="17"/>
  <c r="E104" i="4"/>
  <c r="F104" i="4"/>
  <c r="E102" i="4"/>
  <c r="F102" i="4"/>
  <c r="E98" i="4"/>
  <c r="F98" i="4"/>
  <c r="E74" i="4"/>
  <c r="F74" i="4"/>
  <c r="E27" i="4"/>
  <c r="F27" i="4"/>
  <c r="H54" i="16"/>
  <c r="H8" i="16"/>
  <c r="C117" i="15"/>
  <c r="C13" i="21" s="1"/>
  <c r="B117" i="14"/>
  <c r="B117" i="12"/>
  <c r="B119" i="8"/>
  <c r="D105" i="20"/>
  <c r="B97" i="20"/>
  <c r="B108" i="20" s="1"/>
  <c r="B91" i="20"/>
  <c r="C9" i="23"/>
  <c r="B82" i="19"/>
  <c r="G12" i="23" s="1"/>
  <c r="B115" i="17"/>
  <c r="G29" i="23" s="1"/>
  <c r="H87" i="4"/>
  <c r="D108" i="17"/>
  <c r="I28" i="23" s="1"/>
  <c r="D118" i="9"/>
  <c r="D19" i="21" s="1"/>
  <c r="F80" i="4"/>
  <c r="F28" i="17"/>
  <c r="D60" i="18"/>
  <c r="F8" i="17"/>
  <c r="F38" i="17"/>
  <c r="C97" i="20"/>
  <c r="C91" i="20"/>
  <c r="C9" i="21"/>
  <c r="B108" i="6"/>
  <c r="H113" i="16"/>
  <c r="H111" i="16"/>
  <c r="I69" i="16"/>
  <c r="G69" i="16"/>
  <c r="D41" i="16"/>
  <c r="I40" i="16" s="1"/>
  <c r="D29" i="16"/>
  <c r="G27" i="16"/>
  <c r="D117" i="15"/>
  <c r="D13" i="21" s="1"/>
  <c r="B117" i="13"/>
  <c r="D112" i="20"/>
  <c r="F102" i="20"/>
  <c r="F98" i="20"/>
  <c r="D97" i="20"/>
  <c r="F93" i="20"/>
  <c r="F92" i="20"/>
  <c r="D91" i="20"/>
  <c r="D94" i="20" s="1"/>
  <c r="E13" i="23" s="1"/>
  <c r="C114" i="19"/>
  <c r="B59" i="19"/>
  <c r="B60" i="19" s="1"/>
  <c r="G10" i="23" s="1"/>
  <c r="D41" i="18"/>
  <c r="B69" i="17"/>
  <c r="G25" i="23" s="1"/>
  <c r="C40" i="19"/>
  <c r="D38" i="19"/>
  <c r="B38" i="19"/>
  <c r="B41" i="19" s="1"/>
  <c r="G8" i="23" s="1"/>
  <c r="E77" i="20"/>
  <c r="F77" i="20"/>
  <c r="E73" i="20"/>
  <c r="F73" i="20"/>
  <c r="E66" i="20"/>
  <c r="F66" i="20"/>
  <c r="E24" i="20"/>
  <c r="F24" i="20"/>
  <c r="E21" i="20"/>
  <c r="F21" i="20"/>
  <c r="E102" i="19"/>
  <c r="F102" i="19"/>
  <c r="E80" i="19"/>
  <c r="F80" i="19"/>
  <c r="E68" i="19"/>
  <c r="F68" i="19"/>
  <c r="E49" i="19"/>
  <c r="F49" i="19"/>
  <c r="E12" i="19"/>
  <c r="F12" i="19"/>
  <c r="E105" i="18"/>
  <c r="F105" i="18"/>
  <c r="E86" i="18"/>
  <c r="F86" i="18"/>
  <c r="E76" i="18"/>
  <c r="F76" i="18"/>
  <c r="E50" i="18"/>
  <c r="F50" i="18"/>
  <c r="E32" i="18"/>
  <c r="F32" i="18"/>
  <c r="E20" i="18"/>
  <c r="F20" i="18"/>
  <c r="E8" i="18"/>
  <c r="F8" i="18"/>
  <c r="D15" i="18"/>
  <c r="E20" i="23" s="1"/>
  <c r="E79" i="4"/>
  <c r="F79" i="4"/>
  <c r="E8" i="4"/>
  <c r="I113" i="16"/>
  <c r="G106" i="16"/>
  <c r="G105" i="16"/>
  <c r="I103" i="16"/>
  <c r="G103" i="16"/>
  <c r="I102" i="16"/>
  <c r="G102" i="16"/>
  <c r="G99" i="16"/>
  <c r="G98" i="16"/>
  <c r="B97" i="19"/>
  <c r="B108" i="19" s="1"/>
  <c r="G14" i="23" s="1"/>
  <c r="C69" i="19"/>
  <c r="H11" i="23" s="1"/>
  <c r="B69" i="19"/>
  <c r="G11" i="23" s="1"/>
  <c r="D58" i="19"/>
  <c r="C51" i="19"/>
  <c r="H9" i="23" s="1"/>
  <c r="F28" i="19"/>
  <c r="C9" i="19"/>
  <c r="C15" i="19" s="1"/>
  <c r="H6" i="23" s="1"/>
  <c r="B115" i="18"/>
  <c r="C29" i="23" s="1"/>
  <c r="B82" i="17"/>
  <c r="G26" i="23" s="1"/>
  <c r="B108" i="18"/>
  <c r="C28" i="23" s="1"/>
  <c r="B69" i="18"/>
  <c r="C25" i="23" s="1"/>
  <c r="E113" i="17"/>
  <c r="B60" i="17"/>
  <c r="G24" i="23" s="1"/>
  <c r="B51" i="17"/>
  <c r="G23" i="23" s="1"/>
  <c r="B41" i="17"/>
  <c r="G22" i="23" s="1"/>
  <c r="B82" i="4"/>
  <c r="B51" i="4"/>
  <c r="E56" i="19"/>
  <c r="E98" i="19"/>
  <c r="E86" i="19"/>
  <c r="E65" i="18"/>
  <c r="D69" i="18"/>
  <c r="E25" i="23" s="1"/>
  <c r="E54" i="17"/>
  <c r="D60" i="17"/>
  <c r="I24" i="23" s="1"/>
  <c r="C82" i="19"/>
  <c r="H12" i="23" s="1"/>
  <c r="B51" i="19"/>
  <c r="B94" i="18"/>
  <c r="C27" i="23" s="1"/>
  <c r="B60" i="18"/>
  <c r="C24" i="23" s="1"/>
  <c r="B41" i="18"/>
  <c r="D82" i="19"/>
  <c r="I12" i="23" s="1"/>
  <c r="H78" i="4"/>
  <c r="H88" i="4"/>
  <c r="D69" i="4"/>
  <c r="D29" i="17"/>
  <c r="I21" i="23" s="1"/>
  <c r="D51" i="17"/>
  <c r="I23" i="23" s="1"/>
  <c r="D94" i="17"/>
  <c r="I27" i="23" s="1"/>
  <c r="F26" i="4"/>
  <c r="D82" i="4"/>
  <c r="F24" i="17"/>
  <c r="F37" i="17"/>
  <c r="D41" i="17"/>
  <c r="I22" i="23" s="1"/>
  <c r="F99" i="17"/>
  <c r="F107" i="17"/>
  <c r="D51" i="20"/>
  <c r="E9" i="23" s="1"/>
  <c r="D69" i="19"/>
  <c r="I11" i="23" s="1"/>
  <c r="D94" i="18"/>
  <c r="E27" i="23" s="1"/>
  <c r="F101" i="17"/>
  <c r="F54" i="4"/>
  <c r="E12" i="23"/>
  <c r="F54" i="20"/>
  <c r="F50" i="20"/>
  <c r="F47" i="20"/>
  <c r="C51" i="20"/>
  <c r="D9" i="23" s="1"/>
  <c r="F39" i="20"/>
  <c r="F36" i="20"/>
  <c r="F26" i="20"/>
  <c r="F23" i="20"/>
  <c r="F19" i="20"/>
  <c r="F11" i="20"/>
  <c r="F8" i="20"/>
  <c r="F111" i="19"/>
  <c r="F104" i="19"/>
  <c r="F100" i="19"/>
  <c r="F92" i="19"/>
  <c r="F88" i="19"/>
  <c r="F78" i="19"/>
  <c r="F74" i="19"/>
  <c r="F66" i="19"/>
  <c r="F63" i="19"/>
  <c r="F56" i="19"/>
  <c r="F47" i="19"/>
  <c r="E44" i="19"/>
  <c r="F36" i="19"/>
  <c r="F26" i="19"/>
  <c r="F22" i="19"/>
  <c r="C29" i="19"/>
  <c r="H7" i="23" s="1"/>
  <c r="F14" i="19"/>
  <c r="F10" i="19"/>
  <c r="D115" i="18"/>
  <c r="E29" i="23" s="1"/>
  <c r="F112" i="18"/>
  <c r="F111" i="18"/>
  <c r="F107" i="18"/>
  <c r="F103" i="18"/>
  <c r="F99" i="18"/>
  <c r="F92" i="18"/>
  <c r="F88" i="18"/>
  <c r="E85" i="18"/>
  <c r="F78" i="18"/>
  <c r="F74" i="18"/>
  <c r="B82" i="18"/>
  <c r="C26" i="23" s="1"/>
  <c r="F67" i="18"/>
  <c r="F58" i="18"/>
  <c r="E55" i="18"/>
  <c r="D51" i="18"/>
  <c r="E23" i="23" s="1"/>
  <c r="F48" i="18"/>
  <c r="B51" i="18"/>
  <c r="C23" i="23" s="1"/>
  <c r="F44" i="18"/>
  <c r="F40" i="18"/>
  <c r="F36" i="18"/>
  <c r="D29" i="18"/>
  <c r="E21" i="23" s="1"/>
  <c r="F26" i="18"/>
  <c r="F22" i="18"/>
  <c r="B29" i="18"/>
  <c r="C21" i="23" s="1"/>
  <c r="F18" i="18"/>
  <c r="F14" i="18"/>
  <c r="F10" i="18"/>
  <c r="F90" i="17"/>
  <c r="F87" i="17"/>
  <c r="F80" i="17"/>
  <c r="F78" i="17"/>
  <c r="F68" i="17"/>
  <c r="F63" i="17"/>
  <c r="F57" i="17"/>
  <c r="F49" i="17"/>
  <c r="F46" i="17"/>
  <c r="F27" i="17"/>
  <c r="F19" i="17"/>
  <c r="F13" i="17"/>
  <c r="F103" i="4"/>
  <c r="F100" i="4"/>
  <c r="F99" i="4"/>
  <c r="F93" i="4"/>
  <c r="F90" i="4"/>
  <c r="F63" i="4"/>
  <c r="F56" i="4"/>
  <c r="F23" i="4"/>
  <c r="D82" i="18"/>
  <c r="E26" i="23" s="1"/>
  <c r="G36" i="4" l="1"/>
  <c r="I99" i="16"/>
  <c r="I106" i="16"/>
  <c r="H103" i="16"/>
  <c r="I97" i="16"/>
  <c r="H108" i="16"/>
  <c r="I115" i="16"/>
  <c r="H98" i="16"/>
  <c r="H55" i="16"/>
  <c r="H105" i="16"/>
  <c r="I112" i="16"/>
  <c r="H106" i="16"/>
  <c r="E94" i="16"/>
  <c r="C13" i="23"/>
  <c r="H58" i="16"/>
  <c r="H101" i="16"/>
  <c r="H59" i="16"/>
  <c r="H112" i="16"/>
  <c r="H100" i="16"/>
  <c r="H57" i="16"/>
  <c r="H99" i="16"/>
  <c r="B41" i="20"/>
  <c r="B117" i="20" s="1"/>
  <c r="I114" i="16"/>
  <c r="I98" i="16"/>
  <c r="I105" i="16"/>
  <c r="D13" i="23"/>
  <c r="H114" i="16"/>
  <c r="D117" i="14"/>
  <c r="F14" i="21" s="1"/>
  <c r="H56" i="16"/>
  <c r="I108" i="16"/>
  <c r="E60" i="5"/>
  <c r="B94" i="20"/>
  <c r="B41" i="4"/>
  <c r="F15" i="18"/>
  <c r="C115" i="18"/>
  <c r="D29" i="23" s="1"/>
  <c r="C14" i="23"/>
  <c r="C97" i="4"/>
  <c r="C108" i="4" s="1"/>
  <c r="C108" i="11"/>
  <c r="C60" i="18"/>
  <c r="D24" i="23" s="1"/>
  <c r="C29" i="18"/>
  <c r="D21" i="23" s="1"/>
  <c r="C69" i="18"/>
  <c r="D25" i="23" s="1"/>
  <c r="C82" i="18"/>
  <c r="D26" i="23" s="1"/>
  <c r="C15" i="18"/>
  <c r="D20" i="23" s="1"/>
  <c r="C51" i="18"/>
  <c r="D23" i="23" s="1"/>
  <c r="C94" i="18"/>
  <c r="D27" i="23" s="1"/>
  <c r="C108" i="18"/>
  <c r="D28" i="23" s="1"/>
  <c r="F114" i="19"/>
  <c r="G20" i="16"/>
  <c r="E115" i="16"/>
  <c r="G37" i="16"/>
  <c r="G35" i="16"/>
  <c r="E91" i="19"/>
  <c r="E40" i="20"/>
  <c r="C117" i="5"/>
  <c r="C11" i="21" s="1"/>
  <c r="E29" i="5"/>
  <c r="E114" i="20"/>
  <c r="B117" i="6"/>
  <c r="B10" i="21" s="1"/>
  <c r="E29" i="6"/>
  <c r="E41" i="6"/>
  <c r="C117" i="6"/>
  <c r="C10" i="21" s="1"/>
  <c r="E57" i="4"/>
  <c r="C108" i="20"/>
  <c r="D14" i="23" s="1"/>
  <c r="E55" i="20"/>
  <c r="E19" i="21"/>
  <c r="C69" i="17"/>
  <c r="H25" i="23" s="1"/>
  <c r="C15" i="17"/>
  <c r="H20" i="23" s="1"/>
  <c r="C94" i="17"/>
  <c r="H27" i="23" s="1"/>
  <c r="E119" i="8"/>
  <c r="C20" i="21"/>
  <c r="F20" i="21" s="1"/>
  <c r="C60" i="17"/>
  <c r="H24" i="23" s="1"/>
  <c r="E18" i="20"/>
  <c r="E58" i="20"/>
  <c r="E59" i="20"/>
  <c r="D108" i="20"/>
  <c r="E14" i="23" s="1"/>
  <c r="C115" i="20"/>
  <c r="D15" i="23" s="1"/>
  <c r="E60" i="6"/>
  <c r="D60" i="20"/>
  <c r="E10" i="23" s="1"/>
  <c r="C15" i="23"/>
  <c r="F59" i="20"/>
  <c r="C8" i="23"/>
  <c r="C29" i="20"/>
  <c r="D7" i="23" s="1"/>
  <c r="C7" i="23"/>
  <c r="C10" i="23"/>
  <c r="D29" i="20"/>
  <c r="E7" i="23" s="1"/>
  <c r="E117" i="14"/>
  <c r="H40" i="4"/>
  <c r="F40" i="19"/>
  <c r="G72" i="4"/>
  <c r="D94" i="19"/>
  <c r="I13" i="23" s="1"/>
  <c r="E117" i="15"/>
  <c r="G81" i="4"/>
  <c r="D115" i="19"/>
  <c r="F115" i="19" s="1"/>
  <c r="G79" i="4"/>
  <c r="E112" i="19"/>
  <c r="E40" i="4"/>
  <c r="E58" i="4"/>
  <c r="I87" i="16"/>
  <c r="C69" i="4"/>
  <c r="G36" i="16"/>
  <c r="I91" i="16"/>
  <c r="G19" i="4"/>
  <c r="B29" i="19"/>
  <c r="G7" i="23" s="1"/>
  <c r="G39" i="16"/>
  <c r="I89" i="16"/>
  <c r="G32" i="16"/>
  <c r="G91" i="16"/>
  <c r="I85" i="16"/>
  <c r="I9" i="23"/>
  <c r="C41" i="4"/>
  <c r="G13" i="4"/>
  <c r="G34" i="16"/>
  <c r="G93" i="16"/>
  <c r="I92" i="16"/>
  <c r="G92" i="16"/>
  <c r="I90" i="16"/>
  <c r="G28" i="16"/>
  <c r="I86" i="16"/>
  <c r="G33" i="16"/>
  <c r="I93" i="16"/>
  <c r="G101" i="4"/>
  <c r="I88" i="16"/>
  <c r="G19" i="16"/>
  <c r="G55" i="16"/>
  <c r="G40" i="16"/>
  <c r="G27" i="4"/>
  <c r="G38" i="16"/>
  <c r="G23" i="16"/>
  <c r="E13" i="21"/>
  <c r="D108" i="19"/>
  <c r="I14" i="23" s="1"/>
  <c r="B115" i="19"/>
  <c r="G18" i="16"/>
  <c r="G26" i="16"/>
  <c r="G111" i="4"/>
  <c r="G89" i="16"/>
  <c r="G88" i="16"/>
  <c r="G90" i="16"/>
  <c r="G94" i="16"/>
  <c r="G87" i="16"/>
  <c r="G86" i="16"/>
  <c r="C117" i="10"/>
  <c r="C97" i="17"/>
  <c r="C108" i="17" s="1"/>
  <c r="H28" i="23" s="1"/>
  <c r="G22" i="16"/>
  <c r="C94" i="4"/>
  <c r="C29" i="17"/>
  <c r="H21" i="23" s="1"/>
  <c r="E117" i="10"/>
  <c r="G21" i="16"/>
  <c r="G111" i="16"/>
  <c r="G115" i="16"/>
  <c r="D15" i="4"/>
  <c r="F15" i="4" s="1"/>
  <c r="G24" i="16"/>
  <c r="B20" i="21"/>
  <c r="E20" i="21" s="1"/>
  <c r="G67" i="4"/>
  <c r="E28" i="19"/>
  <c r="C41" i="17"/>
  <c r="H22" i="23" s="1"/>
  <c r="G77" i="4"/>
  <c r="E108" i="6"/>
  <c r="E41" i="5"/>
  <c r="F58" i="4"/>
  <c r="G58" i="4" s="1"/>
  <c r="G25" i="16"/>
  <c r="B117" i="5"/>
  <c r="B11" i="21" s="1"/>
  <c r="E117" i="13"/>
  <c r="E117" i="12"/>
  <c r="G11" i="4"/>
  <c r="C117" i="13"/>
  <c r="B29" i="4"/>
  <c r="E94" i="5"/>
  <c r="E69" i="20"/>
  <c r="C11" i="23"/>
  <c r="E51" i="19"/>
  <c r="G9" i="23"/>
  <c r="F41" i="18"/>
  <c r="E22" i="23"/>
  <c r="C41" i="19"/>
  <c r="H8" i="23" s="1"/>
  <c r="C108" i="19"/>
  <c r="H14" i="23" s="1"/>
  <c r="E41" i="18"/>
  <c r="C22" i="23"/>
  <c r="F60" i="18"/>
  <c r="E24" i="23"/>
  <c r="F108" i="18"/>
  <c r="E28" i="23"/>
  <c r="F69" i="20"/>
  <c r="E11" i="23"/>
  <c r="F82" i="17"/>
  <c r="I26" i="23"/>
  <c r="F15" i="17"/>
  <c r="I20" i="23"/>
  <c r="F115" i="17"/>
  <c r="I29" i="23"/>
  <c r="F69" i="17"/>
  <c r="I25" i="23"/>
  <c r="G30" i="23"/>
  <c r="F18" i="19"/>
  <c r="D60" i="19"/>
  <c r="I10" i="23" s="1"/>
  <c r="D41" i="19"/>
  <c r="E41" i="19" s="1"/>
  <c r="D60" i="4"/>
  <c r="F60" i="4" s="1"/>
  <c r="H72" i="4"/>
  <c r="G68" i="4"/>
  <c r="H81" i="4"/>
  <c r="G73" i="4"/>
  <c r="G32" i="4"/>
  <c r="G46" i="4"/>
  <c r="E118" i="9"/>
  <c r="H19" i="4"/>
  <c r="H67" i="4"/>
  <c r="C118" i="9"/>
  <c r="C19" i="21" s="1"/>
  <c r="F19" i="21" s="1"/>
  <c r="C51" i="17"/>
  <c r="H23" i="23" s="1"/>
  <c r="G44" i="4"/>
  <c r="G45" i="4"/>
  <c r="C115" i="4"/>
  <c r="H77" i="4"/>
  <c r="G48" i="4"/>
  <c r="H111" i="4"/>
  <c r="C51" i="4"/>
  <c r="C15" i="4"/>
  <c r="E69" i="17"/>
  <c r="G92" i="4"/>
  <c r="G66" i="4"/>
  <c r="C82" i="4"/>
  <c r="H45" i="4"/>
  <c r="E82" i="17"/>
  <c r="B108" i="4"/>
  <c r="E115" i="17"/>
  <c r="C82" i="17"/>
  <c r="H26" i="23" s="1"/>
  <c r="D108" i="4"/>
  <c r="F108" i="4" s="1"/>
  <c r="E15" i="17"/>
  <c r="D115" i="4"/>
  <c r="F115" i="4" s="1"/>
  <c r="C117" i="11"/>
  <c r="E14" i="11"/>
  <c r="E14" i="4"/>
  <c r="B14" i="18"/>
  <c r="E14" i="18" s="1"/>
  <c r="E12" i="11"/>
  <c r="B12" i="18"/>
  <c r="H106" i="4"/>
  <c r="G106" i="4"/>
  <c r="C60" i="20"/>
  <c r="D10" i="23" s="1"/>
  <c r="B117" i="17"/>
  <c r="C117" i="12"/>
  <c r="C41" i="18"/>
  <c r="B115" i="4"/>
  <c r="E108" i="18"/>
  <c r="E60" i="18"/>
  <c r="H27" i="4"/>
  <c r="C29" i="4"/>
  <c r="G107" i="4"/>
  <c r="H107" i="4"/>
  <c r="E51" i="4"/>
  <c r="G14" i="4"/>
  <c r="G10" i="4"/>
  <c r="H10" i="4"/>
  <c r="E112" i="20"/>
  <c r="F112" i="20"/>
  <c r="E28" i="4"/>
  <c r="F28" i="4"/>
  <c r="E114" i="4"/>
  <c r="F114" i="4"/>
  <c r="E58" i="19"/>
  <c r="F58" i="19"/>
  <c r="E97" i="4"/>
  <c r="F97" i="4"/>
  <c r="E38" i="19"/>
  <c r="F38" i="19"/>
  <c r="E97" i="20"/>
  <c r="F97" i="20"/>
  <c r="G80" i="4"/>
  <c r="H80" i="4"/>
  <c r="F108" i="17"/>
  <c r="E108" i="17"/>
  <c r="E9" i="4"/>
  <c r="F9" i="4"/>
  <c r="E91" i="4"/>
  <c r="D94" i="4"/>
  <c r="F94" i="4" s="1"/>
  <c r="E105" i="20"/>
  <c r="F105" i="20"/>
  <c r="H32" i="16"/>
  <c r="H34" i="16"/>
  <c r="H36" i="16"/>
  <c r="H39" i="16"/>
  <c r="H40" i="16"/>
  <c r="H41" i="16"/>
  <c r="H33" i="16"/>
  <c r="H35" i="16"/>
  <c r="H37" i="16"/>
  <c r="H38" i="16"/>
  <c r="F38" i="20"/>
  <c r="E38" i="20"/>
  <c r="D41" i="20"/>
  <c r="F34" i="4"/>
  <c r="E34" i="4"/>
  <c r="D41" i="4"/>
  <c r="I8" i="16"/>
  <c r="I15" i="16"/>
  <c r="D117" i="16"/>
  <c r="M15" i="16" s="1"/>
  <c r="E15" i="16"/>
  <c r="I9" i="16"/>
  <c r="I10" i="16"/>
  <c r="I11" i="16"/>
  <c r="I12" i="16"/>
  <c r="I13" i="16"/>
  <c r="I14" i="16"/>
  <c r="F9" i="19"/>
  <c r="D15" i="19"/>
  <c r="E9" i="19"/>
  <c r="I54" i="16"/>
  <c r="I58" i="16"/>
  <c r="I60" i="16"/>
  <c r="E60" i="16"/>
  <c r="I55" i="16"/>
  <c r="I56" i="16"/>
  <c r="I57" i="16"/>
  <c r="I59" i="16"/>
  <c r="F55" i="19"/>
  <c r="E55" i="19"/>
  <c r="E59" i="4"/>
  <c r="F59" i="4"/>
  <c r="H86" i="16"/>
  <c r="H87" i="16"/>
  <c r="H88" i="16"/>
  <c r="H89" i="16"/>
  <c r="H90" i="16"/>
  <c r="H94" i="16"/>
  <c r="H93" i="16"/>
  <c r="H85" i="16"/>
  <c r="H92" i="16"/>
  <c r="D117" i="6"/>
  <c r="D10" i="21" s="1"/>
  <c r="E15" i="6"/>
  <c r="H79" i="4"/>
  <c r="D115" i="20"/>
  <c r="E15" i="23" s="1"/>
  <c r="C60" i="4"/>
  <c r="F13" i="21"/>
  <c r="E97" i="19"/>
  <c r="E18" i="19"/>
  <c r="B60" i="4"/>
  <c r="C115" i="19"/>
  <c r="H15" i="23" s="1"/>
  <c r="G40" i="4"/>
  <c r="E112" i="4"/>
  <c r="F112" i="4"/>
  <c r="E38" i="4"/>
  <c r="F38" i="4"/>
  <c r="E91" i="20"/>
  <c r="F91" i="20"/>
  <c r="I28" i="16"/>
  <c r="E29" i="16"/>
  <c r="I29" i="16"/>
  <c r="I18" i="16"/>
  <c r="I19" i="16"/>
  <c r="I20" i="16"/>
  <c r="I21" i="16"/>
  <c r="I22" i="16"/>
  <c r="I23" i="16"/>
  <c r="I24" i="16"/>
  <c r="I25" i="16"/>
  <c r="I26" i="16"/>
  <c r="I27" i="16"/>
  <c r="I36" i="16"/>
  <c r="I32" i="16"/>
  <c r="E41" i="16"/>
  <c r="I37" i="16"/>
  <c r="I35" i="16"/>
  <c r="I33" i="16"/>
  <c r="I41" i="16"/>
  <c r="I39" i="16"/>
  <c r="I38" i="16"/>
  <c r="E113" i="4"/>
  <c r="F113" i="4"/>
  <c r="E105" i="4"/>
  <c r="F105" i="4"/>
  <c r="G74" i="4"/>
  <c r="H74" i="4"/>
  <c r="H98" i="4"/>
  <c r="G98" i="4"/>
  <c r="G102" i="4"/>
  <c r="H102" i="4"/>
  <c r="G104" i="4"/>
  <c r="H104" i="4"/>
  <c r="H18" i="16"/>
  <c r="H19" i="16"/>
  <c r="H20" i="16"/>
  <c r="H21" i="16"/>
  <c r="H22" i="16"/>
  <c r="H23" i="16"/>
  <c r="H24" i="16"/>
  <c r="H25" i="16"/>
  <c r="H26" i="16"/>
  <c r="H27" i="16"/>
  <c r="H29" i="16"/>
  <c r="H28" i="16"/>
  <c r="C117" i="16"/>
  <c r="D117" i="5"/>
  <c r="D11" i="21" s="1"/>
  <c r="E15" i="5"/>
  <c r="F9" i="20"/>
  <c r="E9" i="20"/>
  <c r="D15" i="20"/>
  <c r="E15" i="20" s="1"/>
  <c r="E34" i="19"/>
  <c r="F34" i="19"/>
  <c r="G25" i="4"/>
  <c r="H25" i="4"/>
  <c r="G47" i="4"/>
  <c r="H47" i="4"/>
  <c r="G75" i="4"/>
  <c r="H75" i="4"/>
  <c r="G8" i="16"/>
  <c r="G15" i="16"/>
  <c r="B117" i="16"/>
  <c r="K15" i="16" s="1"/>
  <c r="G10" i="16"/>
  <c r="G11" i="16"/>
  <c r="G12" i="16"/>
  <c r="G13" i="16"/>
  <c r="G14" i="16"/>
  <c r="E18" i="4"/>
  <c r="D29" i="4"/>
  <c r="G54" i="16"/>
  <c r="G58" i="16"/>
  <c r="G60" i="16"/>
  <c r="G56" i="16"/>
  <c r="G57" i="16"/>
  <c r="E55" i="4"/>
  <c r="F55" i="4"/>
  <c r="E59" i="19"/>
  <c r="F59" i="19"/>
  <c r="E28" i="20"/>
  <c r="F28" i="20"/>
  <c r="E113" i="20"/>
  <c r="F113" i="20"/>
  <c r="I34" i="16"/>
  <c r="F82" i="18"/>
  <c r="E82" i="18"/>
  <c r="G23" i="4"/>
  <c r="H23" i="4"/>
  <c r="G57" i="4"/>
  <c r="H57" i="4"/>
  <c r="G90" i="4"/>
  <c r="H90" i="4"/>
  <c r="G99" i="4"/>
  <c r="H99" i="4"/>
  <c r="G103" i="4"/>
  <c r="H103" i="4"/>
  <c r="E51" i="18"/>
  <c r="F51" i="18"/>
  <c r="E115" i="18"/>
  <c r="F115" i="18"/>
  <c r="F94" i="20"/>
  <c r="E94" i="20"/>
  <c r="G91" i="4"/>
  <c r="H91" i="4"/>
  <c r="E41" i="17"/>
  <c r="F41" i="17"/>
  <c r="H26" i="4"/>
  <c r="G26" i="4"/>
  <c r="F94" i="17"/>
  <c r="E94" i="17"/>
  <c r="F29" i="17"/>
  <c r="E29" i="17"/>
  <c r="D117" i="17"/>
  <c r="F69" i="4"/>
  <c r="E69" i="4"/>
  <c r="F82" i="19"/>
  <c r="E82" i="19"/>
  <c r="E60" i="17"/>
  <c r="F60" i="17"/>
  <c r="F69" i="18"/>
  <c r="E69" i="18"/>
  <c r="G56" i="4"/>
  <c r="H56" i="4"/>
  <c r="G63" i="4"/>
  <c r="H63" i="4"/>
  <c r="G93" i="4"/>
  <c r="H93" i="4"/>
  <c r="G100" i="4"/>
  <c r="H100" i="4"/>
  <c r="E29" i="18"/>
  <c r="F29" i="18"/>
  <c r="F29" i="19"/>
  <c r="F82" i="20"/>
  <c r="E82" i="20"/>
  <c r="G54" i="4"/>
  <c r="H54" i="4"/>
  <c r="F94" i="18"/>
  <c r="E94" i="18"/>
  <c r="E69" i="19"/>
  <c r="F69" i="19"/>
  <c r="F51" i="20"/>
  <c r="E51" i="20"/>
  <c r="E82" i="4"/>
  <c r="F82" i="4"/>
  <c r="H18" i="4"/>
  <c r="G18" i="4"/>
  <c r="F51" i="17"/>
  <c r="E51" i="17"/>
  <c r="D117" i="18"/>
  <c r="G97" i="4" l="1"/>
  <c r="H69" i="4"/>
  <c r="I15" i="23"/>
  <c r="E108" i="19"/>
  <c r="F108" i="19"/>
  <c r="F60" i="19"/>
  <c r="E117" i="6"/>
  <c r="E108" i="20"/>
  <c r="E117" i="5"/>
  <c r="F108" i="20"/>
  <c r="F60" i="20"/>
  <c r="E41" i="20"/>
  <c r="D16" i="23"/>
  <c r="C16" i="23"/>
  <c r="E29" i="20"/>
  <c r="F29" i="20"/>
  <c r="E115" i="20"/>
  <c r="E60" i="20"/>
  <c r="C117" i="20"/>
  <c r="H58" i="4"/>
  <c r="F94" i="19"/>
  <c r="E115" i="19"/>
  <c r="E94" i="19"/>
  <c r="E29" i="19"/>
  <c r="E60" i="4"/>
  <c r="G15" i="23"/>
  <c r="G16" i="23" s="1"/>
  <c r="B117" i="19"/>
  <c r="E60" i="19"/>
  <c r="M29" i="16"/>
  <c r="K60" i="16"/>
  <c r="D117" i="20"/>
  <c r="F117" i="20" s="1"/>
  <c r="H16" i="23"/>
  <c r="E30" i="23"/>
  <c r="F115" i="20"/>
  <c r="M60" i="16"/>
  <c r="C117" i="19"/>
  <c r="M41" i="16"/>
  <c r="E6" i="23"/>
  <c r="F15" i="20"/>
  <c r="F41" i="20"/>
  <c r="E8" i="23"/>
  <c r="C117" i="18"/>
  <c r="D22" i="23"/>
  <c r="D30" i="23" s="1"/>
  <c r="C117" i="4"/>
  <c r="H30" i="23"/>
  <c r="F15" i="19"/>
  <c r="I6" i="23"/>
  <c r="F41" i="19"/>
  <c r="I8" i="23"/>
  <c r="I30" i="23"/>
  <c r="E15" i="19"/>
  <c r="D117" i="19"/>
  <c r="F117" i="19" s="1"/>
  <c r="H51" i="4"/>
  <c r="G69" i="4"/>
  <c r="E108" i="4"/>
  <c r="C117" i="17"/>
  <c r="G51" i="4"/>
  <c r="E115" i="4"/>
  <c r="H82" i="4"/>
  <c r="H14" i="4"/>
  <c r="E11" i="4"/>
  <c r="H11" i="4"/>
  <c r="B13" i="18"/>
  <c r="E13" i="18" s="1"/>
  <c r="E13" i="11"/>
  <c r="E12" i="18"/>
  <c r="E12" i="4"/>
  <c r="H12" i="4"/>
  <c r="B15" i="11"/>
  <c r="H94" i="4"/>
  <c r="D117" i="4"/>
  <c r="F117" i="4" s="1"/>
  <c r="E94" i="4"/>
  <c r="H55" i="4"/>
  <c r="G55" i="4"/>
  <c r="F29" i="4"/>
  <c r="E29" i="4"/>
  <c r="F11" i="21"/>
  <c r="E11" i="21"/>
  <c r="C12" i="21"/>
  <c r="C21" i="21" s="1"/>
  <c r="L8" i="16"/>
  <c r="L32" i="16"/>
  <c r="L34" i="16"/>
  <c r="L36" i="16"/>
  <c r="L39" i="16"/>
  <c r="L40" i="16"/>
  <c r="L54" i="16"/>
  <c r="L63" i="16"/>
  <c r="L64" i="16"/>
  <c r="L65" i="16"/>
  <c r="L66" i="16"/>
  <c r="L67" i="16"/>
  <c r="L68" i="16"/>
  <c r="L85" i="16"/>
  <c r="L92" i="16"/>
  <c r="L93" i="16"/>
  <c r="L98" i="16"/>
  <c r="L99" i="16"/>
  <c r="L102" i="16"/>
  <c r="L103" i="16"/>
  <c r="L106" i="16"/>
  <c r="L111" i="16"/>
  <c r="L117" i="16"/>
  <c r="L9" i="16"/>
  <c r="L10" i="16"/>
  <c r="L11" i="16"/>
  <c r="L12" i="16"/>
  <c r="L13" i="16"/>
  <c r="L14" i="16"/>
  <c r="L18" i="16"/>
  <c r="L19" i="16"/>
  <c r="L20" i="16"/>
  <c r="L21" i="16"/>
  <c r="L22" i="16"/>
  <c r="L23" i="16"/>
  <c r="L24" i="16"/>
  <c r="L25" i="16"/>
  <c r="L26" i="16"/>
  <c r="L27" i="16"/>
  <c r="L35" i="16"/>
  <c r="L37" i="16"/>
  <c r="L38" i="16"/>
  <c r="L55" i="16"/>
  <c r="L56" i="16"/>
  <c r="L57" i="16"/>
  <c r="L59" i="16"/>
  <c r="L96" i="16"/>
  <c r="L104" i="16"/>
  <c r="L107" i="16"/>
  <c r="L33" i="16"/>
  <c r="L44" i="16"/>
  <c r="L45" i="16"/>
  <c r="L46" i="16"/>
  <c r="L47" i="16"/>
  <c r="L48" i="16"/>
  <c r="L49" i="16"/>
  <c r="L50" i="16"/>
  <c r="L69" i="16"/>
  <c r="L72" i="16"/>
  <c r="L73" i="16"/>
  <c r="L74" i="16"/>
  <c r="L75" i="16"/>
  <c r="L76" i="16"/>
  <c r="L77" i="16"/>
  <c r="L78" i="16"/>
  <c r="L79" i="16"/>
  <c r="L80" i="16"/>
  <c r="L81" i="16"/>
  <c r="L86" i="16"/>
  <c r="L87" i="16"/>
  <c r="L88" i="16"/>
  <c r="L89" i="16"/>
  <c r="L90" i="16"/>
  <c r="L95" i="16"/>
  <c r="L100" i="16"/>
  <c r="L101" i="16"/>
  <c r="L113" i="16"/>
  <c r="L91" i="16"/>
  <c r="L82" i="16"/>
  <c r="L60" i="16"/>
  <c r="L51" i="16"/>
  <c r="L15" i="16"/>
  <c r="L114" i="16"/>
  <c r="L108" i="16"/>
  <c r="L97" i="16"/>
  <c r="L58" i="16"/>
  <c r="L112" i="16"/>
  <c r="L105" i="16"/>
  <c r="L28" i="16"/>
  <c r="L115" i="16"/>
  <c r="G105" i="4"/>
  <c r="H105" i="4"/>
  <c r="G113" i="4"/>
  <c r="H113" i="4"/>
  <c r="H38" i="4"/>
  <c r="G38" i="4"/>
  <c r="H112" i="4"/>
  <c r="G112" i="4"/>
  <c r="E10" i="21"/>
  <c r="F10" i="21"/>
  <c r="M101" i="16"/>
  <c r="E117" i="16"/>
  <c r="M96" i="16"/>
  <c r="M93" i="16"/>
  <c r="M90" i="16"/>
  <c r="M86" i="16"/>
  <c r="M80" i="16"/>
  <c r="M76" i="16"/>
  <c r="M72" i="16"/>
  <c r="M65" i="16"/>
  <c r="M56" i="16"/>
  <c r="M50" i="16"/>
  <c r="M46" i="16"/>
  <c r="M38" i="16"/>
  <c r="M28" i="16"/>
  <c r="M25" i="16"/>
  <c r="M21" i="16"/>
  <c r="M13" i="16"/>
  <c r="D12" i="21"/>
  <c r="M107" i="16"/>
  <c r="M104" i="16"/>
  <c r="M100" i="16"/>
  <c r="M95" i="16"/>
  <c r="M89" i="16"/>
  <c r="M82" i="16"/>
  <c r="M79" i="16"/>
  <c r="M75" i="16"/>
  <c r="M66" i="16"/>
  <c r="M58" i="16"/>
  <c r="M49" i="16"/>
  <c r="M45" i="16"/>
  <c r="M39" i="16"/>
  <c r="M32" i="16"/>
  <c r="M24" i="16"/>
  <c r="M20" i="16"/>
  <c r="M12" i="16"/>
  <c r="M103" i="16"/>
  <c r="M106" i="16"/>
  <c r="M111" i="16"/>
  <c r="M113" i="16"/>
  <c r="M115" i="16"/>
  <c r="M10" i="16"/>
  <c r="M117" i="16"/>
  <c r="M97" i="16"/>
  <c r="M91" i="16"/>
  <c r="M85" i="16"/>
  <c r="M74" i="16"/>
  <c r="M63" i="16"/>
  <c r="M48" i="16"/>
  <c r="M35" i="16"/>
  <c r="M27" i="16"/>
  <c r="M19" i="16"/>
  <c r="M8" i="16"/>
  <c r="M105" i="16"/>
  <c r="M98" i="16"/>
  <c r="M87" i="16"/>
  <c r="M77" i="16"/>
  <c r="M68" i="16"/>
  <c r="M54" i="16"/>
  <c r="M26" i="16"/>
  <c r="M99" i="16"/>
  <c r="M112" i="16"/>
  <c r="M114" i="16"/>
  <c r="M94" i="16"/>
  <c r="M88" i="16"/>
  <c r="M78" i="16"/>
  <c r="M67" i="16"/>
  <c r="M51" i="16"/>
  <c r="M44" i="16"/>
  <c r="M37" i="16"/>
  <c r="M33" i="16"/>
  <c r="M23" i="16"/>
  <c r="M11" i="16"/>
  <c r="M108" i="16"/>
  <c r="M102" i="16"/>
  <c r="M92" i="16"/>
  <c r="M81" i="16"/>
  <c r="M73" i="16"/>
  <c r="M64" i="16"/>
  <c r="M57" i="16"/>
  <c r="M47" i="16"/>
  <c r="M40" i="16"/>
  <c r="M36" i="16"/>
  <c r="M22" i="16"/>
  <c r="M14" i="16"/>
  <c r="M69" i="16"/>
  <c r="M55" i="16"/>
  <c r="M9" i="16"/>
  <c r="M18" i="16"/>
  <c r="M59" i="16"/>
  <c r="M34" i="16"/>
  <c r="G9" i="4"/>
  <c r="G15" i="4" s="1"/>
  <c r="H9" i="4"/>
  <c r="H97" i="4"/>
  <c r="G114" i="4"/>
  <c r="H114" i="4"/>
  <c r="G28" i="4"/>
  <c r="G29" i="4" s="1"/>
  <c r="H28" i="4"/>
  <c r="H29" i="4" s="1"/>
  <c r="B12" i="21"/>
  <c r="B21" i="21" s="1"/>
  <c r="K10" i="16"/>
  <c r="K11" i="16"/>
  <c r="K12" i="16"/>
  <c r="K13" i="16"/>
  <c r="K14" i="16"/>
  <c r="K19" i="16"/>
  <c r="K20" i="16"/>
  <c r="K21" i="16"/>
  <c r="K22" i="16"/>
  <c r="K23" i="16"/>
  <c r="K24" i="16"/>
  <c r="K25" i="16"/>
  <c r="K26" i="16"/>
  <c r="K27" i="16"/>
  <c r="K33" i="16"/>
  <c r="K35" i="16"/>
  <c r="K37" i="16"/>
  <c r="K38" i="16"/>
  <c r="K44" i="16"/>
  <c r="K45" i="16"/>
  <c r="K46" i="16"/>
  <c r="K47" i="16"/>
  <c r="K48" i="16"/>
  <c r="K49" i="16"/>
  <c r="K50" i="16"/>
  <c r="K56" i="16"/>
  <c r="K57" i="16"/>
  <c r="K72" i="16"/>
  <c r="K73" i="16"/>
  <c r="K74" i="16"/>
  <c r="K75" i="16"/>
  <c r="K76" i="16"/>
  <c r="K77" i="16"/>
  <c r="K78" i="16"/>
  <c r="K79" i="16"/>
  <c r="K80" i="16"/>
  <c r="K81" i="16"/>
  <c r="K86" i="16"/>
  <c r="K87" i="16"/>
  <c r="K88" i="16"/>
  <c r="K89" i="16"/>
  <c r="K90" i="16"/>
  <c r="K95" i="16"/>
  <c r="K96" i="16"/>
  <c r="K100" i="16"/>
  <c r="K101" i="16"/>
  <c r="K104" i="16"/>
  <c r="K107" i="16"/>
  <c r="G112" i="16"/>
  <c r="G113" i="16"/>
  <c r="G114" i="16"/>
  <c r="K8" i="16"/>
  <c r="K28" i="16"/>
  <c r="K32" i="16"/>
  <c r="K40" i="16"/>
  <c r="K54" i="16"/>
  <c r="K58" i="16"/>
  <c r="K64" i="16"/>
  <c r="K66" i="16"/>
  <c r="K68" i="16"/>
  <c r="K85" i="16"/>
  <c r="K92" i="16"/>
  <c r="K97" i="16"/>
  <c r="K99" i="16"/>
  <c r="K102" i="16"/>
  <c r="K105" i="16"/>
  <c r="K108" i="16"/>
  <c r="K112" i="16"/>
  <c r="K114" i="16"/>
  <c r="K34" i="16"/>
  <c r="K36" i="16"/>
  <c r="K39" i="16"/>
  <c r="K51" i="16"/>
  <c r="K63" i="16"/>
  <c r="K65" i="16"/>
  <c r="K67" i="16"/>
  <c r="K82" i="16"/>
  <c r="K91" i="16"/>
  <c r="K93" i="16"/>
  <c r="K98" i="16"/>
  <c r="K103" i="16"/>
  <c r="K106" i="16"/>
  <c r="K111" i="16"/>
  <c r="K113" i="16"/>
  <c r="K115" i="16"/>
  <c r="K117" i="16"/>
  <c r="K41" i="16"/>
  <c r="K29" i="16"/>
  <c r="K69" i="16"/>
  <c r="K59" i="16"/>
  <c r="K55" i="16"/>
  <c r="K18" i="16"/>
  <c r="K9" i="16"/>
  <c r="K94" i="16"/>
  <c r="D9" i="21"/>
  <c r="H59" i="4"/>
  <c r="G59" i="4"/>
  <c r="F41" i="4"/>
  <c r="E41" i="4"/>
  <c r="G34" i="4"/>
  <c r="H34" i="4"/>
  <c r="L29" i="16"/>
  <c r="G82" i="4"/>
  <c r="L94" i="16"/>
  <c r="L41" i="16"/>
  <c r="F117" i="17"/>
  <c r="E117" i="17"/>
  <c r="F117" i="18"/>
  <c r="G94" i="4"/>
  <c r="H41" i="4" l="1"/>
  <c r="G41" i="4"/>
  <c r="H60" i="4"/>
  <c r="E117" i="19"/>
  <c r="G60" i="4"/>
  <c r="E117" i="20"/>
  <c r="E16" i="23"/>
  <c r="I16" i="23"/>
  <c r="G108" i="4"/>
  <c r="E15" i="11"/>
  <c r="E117" i="11" s="1"/>
  <c r="B117" i="11"/>
  <c r="B119" i="11" s="1"/>
  <c r="E13" i="4"/>
  <c r="H13" i="4"/>
  <c r="H15" i="4" s="1"/>
  <c r="B15" i="4"/>
  <c r="B117" i="4" s="1"/>
  <c r="B15" i="18"/>
  <c r="C20" i="23" s="1"/>
  <c r="C30" i="23" s="1"/>
  <c r="H108" i="4"/>
  <c r="E9" i="21"/>
  <c r="D21" i="21"/>
  <c r="F9" i="21"/>
  <c r="G115" i="4"/>
  <c r="H115" i="4"/>
  <c r="E12" i="21"/>
  <c r="F12" i="21"/>
  <c r="B119" i="10" l="1"/>
  <c r="G117" i="4"/>
  <c r="H117" i="4"/>
  <c r="E15" i="4"/>
  <c r="E117" i="4"/>
  <c r="B117" i="18"/>
  <c r="E117" i="18" s="1"/>
  <c r="E15" i="18"/>
  <c r="E21" i="21"/>
  <c r="F21" i="21"/>
</calcChain>
</file>

<file path=xl/comments1.xml><?xml version="1.0" encoding="utf-8"?>
<comments xmlns="http://schemas.openxmlformats.org/spreadsheetml/2006/main">
  <authors>
    <author>ssouchet</author>
  </authors>
  <commentList>
    <comment ref="C97" authorId="0" shapeId="0">
      <text>
        <r>
          <rPr>
            <b/>
            <sz val="9"/>
            <color indexed="81"/>
            <rFont val="Tahoma"/>
            <family val="2"/>
          </rPr>
          <t>ssouchet:</t>
        </r>
        <r>
          <rPr>
            <sz val="9"/>
            <color indexed="81"/>
            <rFont val="Tahoma"/>
            <family val="2"/>
          </rPr>
          <t xml:space="preserve">
esta sumado con castaner</t>
        </r>
      </text>
    </comment>
  </commentList>
</comments>
</file>

<file path=xl/sharedStrings.xml><?xml version="1.0" encoding="utf-8"?>
<sst xmlns="http://schemas.openxmlformats.org/spreadsheetml/2006/main" count="1944" uniqueCount="220">
  <si>
    <t>Aguadilla</t>
  </si>
  <si>
    <t>Arecibo</t>
  </si>
  <si>
    <t>Bayamón</t>
  </si>
  <si>
    <t>Caguas</t>
  </si>
  <si>
    <t>Carolina</t>
  </si>
  <si>
    <t>Guayama</t>
  </si>
  <si>
    <t>Humacao</t>
  </si>
  <si>
    <t>Mayagüez</t>
  </si>
  <si>
    <t>Ponce</t>
  </si>
  <si>
    <t>San Juan</t>
  </si>
  <si>
    <t>Departamento de la Familia</t>
  </si>
  <si>
    <t>Aguada</t>
  </si>
  <si>
    <t>Isabela</t>
  </si>
  <si>
    <t>Las Marías</t>
  </si>
  <si>
    <t>Moca</t>
  </si>
  <si>
    <t>Rincón</t>
  </si>
  <si>
    <t>Barceloneta</t>
  </si>
  <si>
    <t>Camuy</t>
  </si>
  <si>
    <t>Ciales</t>
  </si>
  <si>
    <t>Florida</t>
  </si>
  <si>
    <t>Hatillo</t>
  </si>
  <si>
    <t>Lares</t>
  </si>
  <si>
    <t>Morovis</t>
  </si>
  <si>
    <t>Quebradillas</t>
  </si>
  <si>
    <t>Bayamón I</t>
  </si>
  <si>
    <t>Cataño</t>
  </si>
  <si>
    <t>Corozal</t>
  </si>
  <si>
    <t>Dorado</t>
  </si>
  <si>
    <t>Naranjito</t>
  </si>
  <si>
    <t>Toa Alta</t>
  </si>
  <si>
    <t>Vega Alta</t>
  </si>
  <si>
    <t>Aguas Buenas</t>
  </si>
  <si>
    <t>Barranquitas</t>
  </si>
  <si>
    <t>Cidra</t>
  </si>
  <si>
    <t>Comerío</t>
  </si>
  <si>
    <t>Gurabo</t>
  </si>
  <si>
    <t>San Lorenzo</t>
  </si>
  <si>
    <t>Canóvanas</t>
  </si>
  <si>
    <t>Luquillo</t>
  </si>
  <si>
    <t>Arroyo</t>
  </si>
  <si>
    <t>Cayey</t>
  </si>
  <si>
    <t>Patillas</t>
  </si>
  <si>
    <t>Salinas</t>
  </si>
  <si>
    <t>Santa Isabel</t>
  </si>
  <si>
    <t>Ceiba</t>
  </si>
  <si>
    <t>Fajardo</t>
  </si>
  <si>
    <t>Juncos I</t>
  </si>
  <si>
    <t>Las Piedras</t>
  </si>
  <si>
    <t>Maunabo</t>
  </si>
  <si>
    <t>Naguabo</t>
  </si>
  <si>
    <t>Vieques</t>
  </si>
  <si>
    <t>Yabucoa</t>
  </si>
  <si>
    <t>Añasco</t>
  </si>
  <si>
    <t>Cabo Rojo</t>
  </si>
  <si>
    <t>Guánica</t>
  </si>
  <si>
    <t>Hormigueros</t>
  </si>
  <si>
    <t>Lajas</t>
  </si>
  <si>
    <t>Maricao</t>
  </si>
  <si>
    <t>Sabana Grande</t>
  </si>
  <si>
    <t>San Germán</t>
  </si>
  <si>
    <t>Aibonito</t>
  </si>
  <si>
    <t>Coamo</t>
  </si>
  <si>
    <t>Guayanilla</t>
  </si>
  <si>
    <t>Jayuya</t>
  </si>
  <si>
    <t>Juana Díaz</t>
  </si>
  <si>
    <t>Orocovis</t>
  </si>
  <si>
    <t>Peñuelas</t>
  </si>
  <si>
    <t>Villalba</t>
  </si>
  <si>
    <t>Yauco</t>
  </si>
  <si>
    <t>Manati</t>
  </si>
  <si>
    <t>Culebras</t>
  </si>
  <si>
    <t>Administración de Desarrollo Socioeconomico</t>
  </si>
  <si>
    <t>San Sebastian I</t>
  </si>
  <si>
    <t>Adjuntas y Castañer</t>
  </si>
  <si>
    <t>Total PR</t>
  </si>
  <si>
    <t>Familias</t>
  </si>
  <si>
    <t>Personas</t>
  </si>
  <si>
    <t>Beneficios Pagados</t>
  </si>
  <si>
    <t>Beneficio Promedio por Familia</t>
  </si>
  <si>
    <t xml:space="preserve">Beneficio Promedio Pagado </t>
  </si>
  <si>
    <t>Enero a Marzo</t>
  </si>
  <si>
    <t>Abril a Junio</t>
  </si>
  <si>
    <t>Julio a Septiembre</t>
  </si>
  <si>
    <t>Octubre a Diciembre</t>
  </si>
  <si>
    <t>Aguadilla I - III</t>
  </si>
  <si>
    <t>Total</t>
  </si>
  <si>
    <t>Arecibo I, II, III</t>
  </si>
  <si>
    <t>Utuado I, II</t>
  </si>
  <si>
    <t xml:space="preserve">Total  </t>
  </si>
  <si>
    <t>Toa Baja I, II</t>
  </si>
  <si>
    <t>Vega Baja I, II</t>
  </si>
  <si>
    <t xml:space="preserve">Total </t>
  </si>
  <si>
    <t>Caguas I, II, III</t>
  </si>
  <si>
    <t>Carolina I, II</t>
  </si>
  <si>
    <t>Loíza I, II</t>
  </si>
  <si>
    <t>Río Grande I. II</t>
  </si>
  <si>
    <t>Trujillo Alto I, II, III</t>
  </si>
  <si>
    <t>Mayagüez I, II</t>
  </si>
  <si>
    <t>Ponce 1 al 5</t>
  </si>
  <si>
    <t>Cupey</t>
  </si>
  <si>
    <t>Guaynabo I, II, III</t>
  </si>
  <si>
    <t>Río Piedras 1,2,4,7,8</t>
  </si>
  <si>
    <t>San Juan I, 2, 4, 7</t>
  </si>
  <si>
    <t>Enero</t>
  </si>
  <si>
    <t>Febrero</t>
  </si>
  <si>
    <t>Diciembre</t>
  </si>
  <si>
    <t>Oficina de Planes y Programas</t>
  </si>
  <si>
    <t>Programa Asistencia Nutricional</t>
  </si>
  <si>
    <t>Informe Mensual de Participación y Beneficios Otorgados</t>
  </si>
  <si>
    <t>Mes</t>
  </si>
  <si>
    <t>Beneficio Mensual</t>
  </si>
  <si>
    <t>Pago Promedio</t>
  </si>
  <si>
    <t>Informe Mensual de Beneficios del Programa Asistencia Nutricional</t>
  </si>
  <si>
    <t>Informe Trimestral de Beneficios del Programa Asistencia Nutricional</t>
  </si>
  <si>
    <t>Informe Anual de Beneficios del Programa Asistencia Nutricional</t>
  </si>
  <si>
    <t>Beneficio Anual Promedio por Familia</t>
  </si>
  <si>
    <t>Promedio Por Persona</t>
  </si>
  <si>
    <t>Promedio Por Familia</t>
  </si>
  <si>
    <t>Culebra</t>
  </si>
  <si>
    <t>Ponce 1 al 3</t>
  </si>
  <si>
    <t>Aguadilla I - II</t>
  </si>
  <si>
    <t>Trujillo Alto I y III</t>
  </si>
  <si>
    <t>Arecibo I y  III</t>
  </si>
  <si>
    <t>Río Grande I, II</t>
  </si>
  <si>
    <t>Aguadilla I y II</t>
  </si>
  <si>
    <t>Arecibo I y III</t>
  </si>
  <si>
    <t>Río Piedras 1,2,4,7, 8</t>
  </si>
  <si>
    <t>Arecibo I, y III</t>
  </si>
  <si>
    <t>Aguadilla I  y II</t>
  </si>
  <si>
    <t>Abril 2007</t>
  </si>
  <si>
    <t>Juncos I y II</t>
  </si>
  <si>
    <t>Nota: Las oficinas locales de Juncos I y II se unieron en el junio 2005 (aprox.).</t>
  </si>
  <si>
    <t>Enero 2008</t>
  </si>
  <si>
    <t>Mayo 2008</t>
  </si>
  <si>
    <t>Julio 2008</t>
  </si>
  <si>
    <t>Agosto 2008</t>
  </si>
  <si>
    <t>Septiembre 2008</t>
  </si>
  <si>
    <t>Febrero 2008</t>
  </si>
  <si>
    <t>Marzo 2008</t>
  </si>
  <si>
    <t>Diciembre 2007</t>
  </si>
  <si>
    <t>Octubre 2007</t>
  </si>
  <si>
    <t>Noviembre 2007</t>
  </si>
  <si>
    <t>Año Fiscal Federal 2007-2008</t>
  </si>
  <si>
    <t>OCTUBRE</t>
  </si>
  <si>
    <t>NOVIEMBRE</t>
  </si>
  <si>
    <t>MARZO</t>
  </si>
  <si>
    <t>ABRIL</t>
  </si>
  <si>
    <t>MAYO</t>
  </si>
  <si>
    <t>JUNIO</t>
  </si>
  <si>
    <t>JULIO</t>
  </si>
  <si>
    <t>AGOSTO</t>
  </si>
  <si>
    <t>SEPTIEMBRE</t>
  </si>
  <si>
    <t>Año Fiscal 2007-2008</t>
  </si>
  <si>
    <t>Participantes</t>
  </si>
  <si>
    <t>Masculino</t>
  </si>
  <si>
    <t>Femenino</t>
  </si>
  <si>
    <t>Junio 2008</t>
  </si>
  <si>
    <t>Guaynabo I</t>
  </si>
  <si>
    <t>Río Piedras I</t>
  </si>
  <si>
    <t>San Juan I</t>
  </si>
  <si>
    <t>Utuado I</t>
  </si>
  <si>
    <t>Toa Baja I</t>
  </si>
  <si>
    <t>Vega Baja I</t>
  </si>
  <si>
    <t>Carolina I</t>
  </si>
  <si>
    <t>Río Grande I</t>
  </si>
  <si>
    <t>Trujillo Alto I</t>
  </si>
  <si>
    <t>Mayagüez I</t>
  </si>
  <si>
    <t xml:space="preserve">Adjuntas </t>
  </si>
  <si>
    <t>Ponce I</t>
  </si>
  <si>
    <t>Castañer</t>
  </si>
  <si>
    <t>Preparado Por: Shaylí Souchet</t>
  </si>
  <si>
    <t>Bayamon</t>
  </si>
  <si>
    <t>Mayaguez</t>
  </si>
  <si>
    <t>Promedio PR</t>
  </si>
  <si>
    <t>Trimestre Oct - Dic 07</t>
  </si>
  <si>
    <t>Trimestre Ene-Mar 08</t>
  </si>
  <si>
    <t>Trimestre Abr-Jun 08</t>
  </si>
  <si>
    <t>Trimestre Jul-Sep 08</t>
  </si>
  <si>
    <t xml:space="preserve">Fuente: Informes trimestrales </t>
  </si>
  <si>
    <t>Familia Oct-Dic 07</t>
  </si>
  <si>
    <t>Familia Ene-Mar 08</t>
  </si>
  <si>
    <t xml:space="preserve">Familia Abr-Jun 08 </t>
  </si>
  <si>
    <t>Familia Jul-Sep 08</t>
  </si>
  <si>
    <t>Personas Oct-Dic 07</t>
  </si>
  <si>
    <t>Beneficios Oct-Dic 07</t>
  </si>
  <si>
    <t>Personas Ene-Mar 08</t>
  </si>
  <si>
    <t>Beneficios Ene-Mar 08</t>
  </si>
  <si>
    <t>Personas Abr-Jun 08</t>
  </si>
  <si>
    <t>Beneficios Abr-Jun 08</t>
  </si>
  <si>
    <t>Personas Jul-Sep 08</t>
  </si>
  <si>
    <t>Beneficios Jul-Sep 08</t>
  </si>
  <si>
    <t xml:space="preserve">Preparado Por: Shaylí Souchet </t>
  </si>
  <si>
    <t>ESTADISTICO II</t>
  </si>
  <si>
    <t xml:space="preserve">Guaynabo </t>
  </si>
  <si>
    <t xml:space="preserve">Ponce </t>
  </si>
  <si>
    <t xml:space="preserve">Río Piedras </t>
  </si>
  <si>
    <t xml:space="preserve">San Juan </t>
  </si>
  <si>
    <t xml:space="preserve">Mayagüez </t>
  </si>
  <si>
    <t xml:space="preserve">Juncos </t>
  </si>
  <si>
    <t xml:space="preserve">Trujillo Alto </t>
  </si>
  <si>
    <t xml:space="preserve">Río Grande </t>
  </si>
  <si>
    <t xml:space="preserve">Loíza </t>
  </si>
  <si>
    <t xml:space="preserve">Carolina </t>
  </si>
  <si>
    <t xml:space="preserve">Caguas </t>
  </si>
  <si>
    <t xml:space="preserve">Vega Baja </t>
  </si>
  <si>
    <t xml:space="preserve">Toa Baja </t>
  </si>
  <si>
    <t xml:space="preserve">Bayamón </t>
  </si>
  <si>
    <t xml:space="preserve">Utuado </t>
  </si>
  <si>
    <t xml:space="preserve">Arecibo </t>
  </si>
  <si>
    <t xml:space="preserve">San Sebastian </t>
  </si>
  <si>
    <t xml:space="preserve">Aguadilla </t>
  </si>
  <si>
    <t>Vega Baja</t>
  </si>
  <si>
    <t>Toa Baja</t>
  </si>
  <si>
    <t>Utuado</t>
  </si>
  <si>
    <t>Juncos</t>
  </si>
  <si>
    <t>Trujillo Alto</t>
  </si>
  <si>
    <t>Río Grande</t>
  </si>
  <si>
    <t>Loíza</t>
  </si>
  <si>
    <t>San Sebastian</t>
  </si>
  <si>
    <t>Estadístico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</si>
</sst>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\ #,##0"/>
    <numFmt numFmtId="166" formatCode="_(&quot;$&quot;* #,##0_);_(&quot;$&quot;* \(#,##0\);_(&quot;$&quot;* &quot;-&quot;??_);_(@_)"/>
    <numFmt numFmtId="167" formatCode="0.0%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b/>
      <sz val="12"/>
      <name val="Times New Roman"/>
      <family val="1"/>
    </font>
    <font>
      <b/>
      <i/>
      <sz val="12"/>
      <name val="Comic Sans MS"/>
      <family val="4"/>
    </font>
    <font>
      <b/>
      <sz val="14"/>
      <color indexed="61"/>
      <name val="Comic Sans MS"/>
      <family val="4"/>
    </font>
    <font>
      <b/>
      <sz val="14"/>
      <name val="Comic Sans MS"/>
      <family val="4"/>
    </font>
    <font>
      <i/>
      <sz val="12"/>
      <name val="Arial"/>
      <family val="2"/>
    </font>
    <font>
      <sz val="12"/>
      <name val="Comic Sans MS"/>
      <family val="4"/>
    </font>
    <font>
      <sz val="10"/>
      <name val="Comic Sans MS"/>
      <family val="4"/>
    </font>
    <font>
      <b/>
      <sz val="12"/>
      <name val="Comic Sans MS"/>
      <family val="4"/>
    </font>
    <font>
      <b/>
      <sz val="12"/>
      <color indexed="40"/>
      <name val="Comic Sans MS"/>
      <family val="4"/>
    </font>
    <font>
      <b/>
      <sz val="12"/>
      <color indexed="49"/>
      <name val="Comic Sans MS"/>
      <family val="4"/>
    </font>
    <font>
      <b/>
      <sz val="12"/>
      <color indexed="13"/>
      <name val="Arial"/>
      <family val="2"/>
    </font>
    <font>
      <sz val="14"/>
      <color indexed="13"/>
      <name val="Times New Roman"/>
      <family val="1"/>
    </font>
    <font>
      <b/>
      <sz val="14"/>
      <color indexed="13"/>
      <name val="Times New Roman"/>
      <family val="1"/>
    </font>
    <font>
      <b/>
      <sz val="14"/>
      <color indexed="16"/>
      <name val="Times New Roman"/>
      <family val="1"/>
    </font>
    <font>
      <b/>
      <sz val="12"/>
      <color indexed="16"/>
      <name val="Times New Roman"/>
      <family val="1"/>
    </font>
    <font>
      <b/>
      <sz val="10"/>
      <name val="Arial"/>
      <family val="2"/>
    </font>
    <font>
      <b/>
      <sz val="12"/>
      <color indexed="8"/>
      <name val="Arial"/>
      <family val="2"/>
    </font>
    <font>
      <b/>
      <sz val="12"/>
      <color indexed="16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5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73">
    <xf numFmtId="0" fontId="0" fillId="0" borderId="0" xfId="0"/>
    <xf numFmtId="0" fontId="4" fillId="0" borderId="0" xfId="0" applyFont="1"/>
    <xf numFmtId="0" fontId="4" fillId="0" borderId="0" xfId="0" applyFont="1" applyFill="1"/>
    <xf numFmtId="3" fontId="4" fillId="0" borderId="2" xfId="1" applyNumberFormat="1" applyFont="1" applyFill="1" applyBorder="1" applyProtection="1">
      <protection locked="0"/>
    </xf>
    <xf numFmtId="3" fontId="4" fillId="0" borderId="3" xfId="1" applyNumberFormat="1" applyFont="1" applyFill="1" applyBorder="1" applyProtection="1">
      <protection locked="0"/>
    </xf>
    <xf numFmtId="3" fontId="4" fillId="0" borderId="4" xfId="1" applyNumberFormat="1" applyFont="1" applyFill="1" applyBorder="1" applyProtection="1">
      <protection locked="0"/>
    </xf>
    <xf numFmtId="3" fontId="4" fillId="0" borderId="5" xfId="1" applyNumberFormat="1" applyFont="1" applyFill="1" applyBorder="1" applyProtection="1">
      <protection locked="0"/>
    </xf>
    <xf numFmtId="3" fontId="4" fillId="0" borderId="6" xfId="0" applyNumberFormat="1" applyFont="1" applyFill="1" applyBorder="1" applyProtection="1">
      <protection locked="0"/>
    </xf>
    <xf numFmtId="3" fontId="4" fillId="0" borderId="7" xfId="0" applyNumberFormat="1" applyFont="1" applyFill="1" applyBorder="1" applyProtection="1">
      <protection locked="0"/>
    </xf>
    <xf numFmtId="3" fontId="4" fillId="0" borderId="2" xfId="0" applyNumberFormat="1" applyFont="1" applyFill="1" applyBorder="1" applyProtection="1">
      <protection locked="0"/>
    </xf>
    <xf numFmtId="3" fontId="4" fillId="0" borderId="3" xfId="0" applyNumberFormat="1" applyFont="1" applyFill="1" applyBorder="1" applyProtection="1">
      <protection locked="0"/>
    </xf>
    <xf numFmtId="3" fontId="4" fillId="0" borderId="10" xfId="1" applyNumberFormat="1" applyFont="1" applyFill="1" applyBorder="1" applyProtection="1">
      <protection locked="0"/>
    </xf>
    <xf numFmtId="3" fontId="4" fillId="0" borderId="10" xfId="0" applyNumberFormat="1" applyFont="1" applyFill="1" applyBorder="1" applyProtection="1">
      <protection locked="0"/>
    </xf>
    <xf numFmtId="3" fontId="4" fillId="0" borderId="6" xfId="1" applyNumberFormat="1" applyFont="1" applyFill="1" applyBorder="1" applyProtection="1">
      <protection locked="0"/>
    </xf>
    <xf numFmtId="3" fontId="4" fillId="0" borderId="7" xfId="1" applyNumberFormat="1" applyFont="1" applyFill="1" applyBorder="1" applyProtection="1">
      <protection locked="0"/>
    </xf>
    <xf numFmtId="3" fontId="4" fillId="0" borderId="11" xfId="1" applyNumberFormat="1" applyFont="1" applyFill="1" applyBorder="1" applyProtection="1">
      <protection locked="0"/>
    </xf>
    <xf numFmtId="3" fontId="4" fillId="0" borderId="12" xfId="1" applyNumberFormat="1" applyFont="1" applyFill="1" applyBorder="1" applyProtection="1">
      <protection locked="0"/>
    </xf>
    <xf numFmtId="3" fontId="4" fillId="0" borderId="11" xfId="0" applyNumberFormat="1" applyFont="1" applyFill="1" applyBorder="1" applyProtection="1">
      <protection locked="0"/>
    </xf>
    <xf numFmtId="0" fontId="4" fillId="0" borderId="0" xfId="0" applyFont="1" applyProtection="1"/>
    <xf numFmtId="0" fontId="5" fillId="2" borderId="13" xfId="0" applyFont="1" applyFill="1" applyBorder="1" applyAlignment="1" applyProtection="1">
      <alignment vertical="center"/>
    </xf>
    <xf numFmtId="164" fontId="4" fillId="2" borderId="14" xfId="1" applyNumberFormat="1" applyFont="1" applyFill="1" applyBorder="1" applyAlignment="1" applyProtection="1">
      <alignment horizontal="center" wrapText="1"/>
    </xf>
    <xf numFmtId="164" fontId="4" fillId="2" borderId="12" xfId="1" applyNumberFormat="1" applyFont="1" applyFill="1" applyBorder="1" applyAlignment="1" applyProtection="1">
      <alignment horizontal="center" wrapText="1"/>
    </xf>
    <xf numFmtId="164" fontId="5" fillId="2" borderId="15" xfId="1" applyNumberFormat="1" applyFont="1" applyFill="1" applyBorder="1" applyAlignment="1" applyProtection="1">
      <alignment vertical="center"/>
    </xf>
    <xf numFmtId="0" fontId="4" fillId="2" borderId="16" xfId="0" applyFont="1" applyFill="1" applyBorder="1" applyProtection="1"/>
    <xf numFmtId="0" fontId="4" fillId="2" borderId="17" xfId="0" applyFont="1" applyFill="1" applyBorder="1" applyProtection="1"/>
    <xf numFmtId="164" fontId="6" fillId="0" borderId="18" xfId="1" applyNumberFormat="1" applyFont="1" applyFill="1" applyBorder="1" applyAlignment="1" applyProtection="1">
      <alignment vertical="center"/>
    </xf>
    <xf numFmtId="3" fontId="4" fillId="0" borderId="7" xfId="1" applyNumberFormat="1" applyFont="1" applyFill="1" applyBorder="1" applyProtection="1"/>
    <xf numFmtId="164" fontId="6" fillId="0" borderId="19" xfId="1" applyNumberFormat="1" applyFont="1" applyFill="1" applyBorder="1" applyAlignment="1" applyProtection="1">
      <alignment vertical="center"/>
    </xf>
    <xf numFmtId="3" fontId="4" fillId="0" borderId="2" xfId="1" applyNumberFormat="1" applyFont="1" applyFill="1" applyBorder="1" applyProtection="1"/>
    <xf numFmtId="164" fontId="6" fillId="0" borderId="20" xfId="1" applyNumberFormat="1" applyFont="1" applyFill="1" applyBorder="1" applyAlignment="1" applyProtection="1">
      <alignment vertical="center"/>
    </xf>
    <xf numFmtId="3" fontId="4" fillId="0" borderId="3" xfId="1" applyNumberFormat="1" applyFont="1" applyFill="1" applyBorder="1" applyProtection="1"/>
    <xf numFmtId="3" fontId="4" fillId="0" borderId="10" xfId="1" applyNumberFormat="1" applyFont="1" applyFill="1" applyBorder="1" applyProtection="1"/>
    <xf numFmtId="164" fontId="5" fillId="2" borderId="21" xfId="1" applyNumberFormat="1" applyFont="1" applyFill="1" applyBorder="1" applyAlignment="1" applyProtection="1">
      <alignment vertical="center"/>
    </xf>
    <xf numFmtId="3" fontId="3" fillId="2" borderId="22" xfId="1" applyNumberFormat="1" applyFont="1" applyFill="1" applyBorder="1" applyProtection="1"/>
    <xf numFmtId="3" fontId="4" fillId="2" borderId="23" xfId="1" applyNumberFormat="1" applyFont="1" applyFill="1" applyBorder="1" applyProtection="1"/>
    <xf numFmtId="164" fontId="6" fillId="0" borderId="0" xfId="1" applyNumberFormat="1" applyFont="1" applyFill="1" applyBorder="1" applyAlignment="1" applyProtection="1">
      <alignment vertical="center"/>
    </xf>
    <xf numFmtId="3" fontId="4" fillId="0" borderId="0" xfId="1" applyNumberFormat="1" applyFont="1" applyFill="1" applyBorder="1" applyProtection="1"/>
    <xf numFmtId="0" fontId="5" fillId="2" borderId="15" xfId="0" applyFont="1" applyFill="1" applyBorder="1" applyAlignment="1" applyProtection="1">
      <alignment vertical="center"/>
    </xf>
    <xf numFmtId="3" fontId="4" fillId="2" borderId="16" xfId="1" applyNumberFormat="1" applyFont="1" applyFill="1" applyBorder="1" applyProtection="1"/>
    <xf numFmtId="3" fontId="4" fillId="2" borderId="17" xfId="1" applyNumberFormat="1" applyFont="1" applyFill="1" applyBorder="1" applyProtection="1"/>
    <xf numFmtId="0" fontId="6" fillId="0" borderId="24" xfId="0" applyFont="1" applyFill="1" applyBorder="1" applyAlignment="1" applyProtection="1">
      <alignment vertical="center"/>
    </xf>
    <xf numFmtId="3" fontId="4" fillId="0" borderId="12" xfId="1" applyNumberFormat="1" applyFont="1" applyFill="1" applyBorder="1" applyProtection="1"/>
    <xf numFmtId="0" fontId="4" fillId="0" borderId="0" xfId="0" applyFont="1" applyFill="1" applyProtection="1"/>
    <xf numFmtId="164" fontId="6" fillId="0" borderId="25" xfId="1" applyNumberFormat="1" applyFont="1" applyFill="1" applyBorder="1" applyAlignment="1" applyProtection="1">
      <alignment vertical="center"/>
    </xf>
    <xf numFmtId="3" fontId="3" fillId="2" borderId="22" xfId="0" applyNumberFormat="1" applyFont="1" applyFill="1" applyBorder="1" applyProtection="1"/>
    <xf numFmtId="3" fontId="4" fillId="0" borderId="0" xfId="0" applyNumberFormat="1" applyFont="1" applyFill="1" applyBorder="1" applyProtection="1"/>
    <xf numFmtId="3" fontId="4" fillId="2" borderId="16" xfId="0" applyNumberFormat="1" applyFont="1" applyFill="1" applyBorder="1" applyProtection="1"/>
    <xf numFmtId="3" fontId="4" fillId="2" borderId="17" xfId="0" applyNumberFormat="1" applyFont="1" applyFill="1" applyBorder="1" applyProtection="1"/>
    <xf numFmtId="0" fontId="6" fillId="0" borderId="26" xfId="0" applyFont="1" applyFill="1" applyBorder="1" applyAlignment="1" applyProtection="1">
      <alignment vertical="center" wrapText="1"/>
    </xf>
    <xf numFmtId="3" fontId="4" fillId="0" borderId="26" xfId="0" applyNumberFormat="1" applyFont="1" applyFill="1" applyBorder="1" applyProtection="1"/>
    <xf numFmtId="3" fontId="4" fillId="0" borderId="26" xfId="1" applyNumberFormat="1" applyFont="1" applyFill="1" applyBorder="1" applyProtection="1"/>
    <xf numFmtId="164" fontId="6" fillId="0" borderId="19" xfId="1" applyNumberFormat="1" applyFont="1" applyFill="1" applyBorder="1" applyAlignment="1" applyProtection="1">
      <alignment vertical="center" wrapText="1"/>
    </xf>
    <xf numFmtId="164" fontId="7" fillId="0" borderId="18" xfId="1" applyNumberFormat="1" applyFont="1" applyFill="1" applyBorder="1" applyAlignment="1" applyProtection="1">
      <alignment vertical="center"/>
    </xf>
    <xf numFmtId="164" fontId="7" fillId="0" borderId="19" xfId="1" applyNumberFormat="1" applyFont="1" applyFill="1" applyBorder="1" applyAlignment="1" applyProtection="1">
      <alignment vertical="center"/>
    </xf>
    <xf numFmtId="0" fontId="6" fillId="2" borderId="21" xfId="0" applyFont="1" applyFill="1" applyBorder="1" applyAlignment="1" applyProtection="1">
      <alignment vertical="center"/>
    </xf>
    <xf numFmtId="3" fontId="3" fillId="2" borderId="21" xfId="0" applyNumberFormat="1" applyFont="1" applyFill="1" applyBorder="1" applyProtection="1"/>
    <xf numFmtId="0" fontId="6" fillId="0" borderId="0" xfId="0" applyFont="1" applyAlignment="1" applyProtection="1">
      <alignment vertical="center"/>
    </xf>
    <xf numFmtId="3" fontId="3" fillId="2" borderId="21" xfId="1" applyNumberFormat="1" applyFont="1" applyFill="1" applyBorder="1" applyProtection="1"/>
    <xf numFmtId="0" fontId="5" fillId="2" borderId="21" xfId="0" applyFont="1" applyFill="1" applyBorder="1" applyAlignment="1" applyProtection="1">
      <alignment vertical="center"/>
    </xf>
    <xf numFmtId="0" fontId="8" fillId="0" borderId="0" xfId="0" applyFont="1" applyProtection="1"/>
    <xf numFmtId="0" fontId="11" fillId="0" borderId="0" xfId="0" applyFont="1"/>
    <xf numFmtId="0" fontId="9" fillId="0" borderId="0" xfId="0" applyFont="1"/>
    <xf numFmtId="0" fontId="12" fillId="0" borderId="0" xfId="0" applyFont="1" applyProtection="1"/>
    <xf numFmtId="0" fontId="12" fillId="0" borderId="0" xfId="0" applyFont="1"/>
    <xf numFmtId="0" fontId="3" fillId="0" borderId="0" xfId="0" applyFont="1" applyProtection="1"/>
    <xf numFmtId="0" fontId="3" fillId="0" borderId="0" xfId="0" applyFont="1"/>
    <xf numFmtId="165" fontId="4" fillId="2" borderId="12" xfId="1" applyNumberFormat="1" applyFont="1" applyFill="1" applyBorder="1" applyAlignment="1" applyProtection="1">
      <alignment horizontal="center" wrapText="1"/>
    </xf>
    <xf numFmtId="165" fontId="4" fillId="2" borderId="16" xfId="0" applyNumberFormat="1" applyFont="1" applyFill="1" applyBorder="1" applyProtection="1"/>
    <xf numFmtId="165" fontId="4" fillId="0" borderId="12" xfId="1" applyNumberFormat="1" applyFont="1" applyFill="1" applyBorder="1" applyProtection="1"/>
    <xf numFmtId="165" fontId="4" fillId="0" borderId="2" xfId="1" applyNumberFormat="1" applyFont="1" applyFill="1" applyBorder="1" applyProtection="1"/>
    <xf numFmtId="165" fontId="4" fillId="0" borderId="3" xfId="1" applyNumberFormat="1" applyFont="1" applyFill="1" applyBorder="1" applyProtection="1"/>
    <xf numFmtId="165" fontId="3" fillId="2" borderId="21" xfId="1" applyNumberFormat="1" applyFont="1" applyFill="1" applyBorder="1" applyProtection="1"/>
    <xf numFmtId="165" fontId="4" fillId="0" borderId="0" xfId="1" applyNumberFormat="1" applyFont="1" applyFill="1" applyBorder="1" applyProtection="1"/>
    <xf numFmtId="165" fontId="4" fillId="2" borderId="16" xfId="1" applyNumberFormat="1" applyFont="1" applyFill="1" applyBorder="1" applyProtection="1"/>
    <xf numFmtId="165" fontId="3" fillId="2" borderId="21" xfId="0" applyNumberFormat="1" applyFont="1" applyFill="1" applyBorder="1" applyProtection="1"/>
    <xf numFmtId="165" fontId="4" fillId="0" borderId="0" xfId="0" applyNumberFormat="1" applyFont="1" applyFill="1" applyBorder="1" applyProtection="1"/>
    <xf numFmtId="165" fontId="4" fillId="0" borderId="26" xfId="0" applyNumberFormat="1" applyFont="1" applyFill="1" applyBorder="1" applyProtection="1"/>
    <xf numFmtId="165" fontId="3" fillId="2" borderId="15" xfId="0" applyNumberFormat="1" applyFont="1" applyFill="1" applyBorder="1" applyProtection="1"/>
    <xf numFmtId="165" fontId="3" fillId="2" borderId="22" xfId="0" applyNumberFormat="1" applyFont="1" applyFill="1" applyBorder="1" applyProtection="1"/>
    <xf numFmtId="165" fontId="4" fillId="0" borderId="0" xfId="0" applyNumberFormat="1" applyFont="1" applyProtection="1"/>
    <xf numFmtId="165" fontId="4" fillId="2" borderId="27" xfId="1" applyNumberFormat="1" applyFont="1" applyFill="1" applyBorder="1" applyAlignment="1" applyProtection="1">
      <alignment horizontal="center" wrapText="1"/>
    </xf>
    <xf numFmtId="165" fontId="4" fillId="2" borderId="17" xfId="0" applyNumberFormat="1" applyFont="1" applyFill="1" applyBorder="1" applyProtection="1"/>
    <xf numFmtId="165" fontId="4" fillId="0" borderId="28" xfId="0" applyNumberFormat="1" applyFont="1" applyBorder="1" applyProtection="1"/>
    <xf numFmtId="165" fontId="4" fillId="0" borderId="29" xfId="0" applyNumberFormat="1" applyFont="1" applyBorder="1" applyProtection="1"/>
    <xf numFmtId="165" fontId="4" fillId="0" borderId="30" xfId="0" applyNumberFormat="1" applyFont="1" applyBorder="1" applyProtection="1"/>
    <xf numFmtId="165" fontId="4" fillId="0" borderId="16" xfId="0" applyNumberFormat="1" applyFont="1" applyBorder="1" applyProtection="1"/>
    <xf numFmtId="165" fontId="4" fillId="2" borderId="17" xfId="1" applyNumberFormat="1" applyFont="1" applyFill="1" applyBorder="1" applyProtection="1"/>
    <xf numFmtId="0" fontId="13" fillId="0" borderId="0" xfId="0" applyFont="1"/>
    <xf numFmtId="0" fontId="11" fillId="0" borderId="0" xfId="0" applyFont="1" applyFill="1" applyBorder="1"/>
    <xf numFmtId="0" fontId="14" fillId="0" borderId="0" xfId="0" applyFont="1"/>
    <xf numFmtId="0" fontId="11" fillId="0" borderId="21" xfId="0" applyFont="1" applyBorder="1"/>
    <xf numFmtId="0" fontId="11" fillId="0" borderId="21" xfId="0" applyFont="1" applyFill="1" applyBorder="1"/>
    <xf numFmtId="3" fontId="11" fillId="0" borderId="21" xfId="0" applyNumberFormat="1" applyFont="1" applyBorder="1"/>
    <xf numFmtId="44" fontId="11" fillId="0" borderId="21" xfId="2" applyFont="1" applyBorder="1"/>
    <xf numFmtId="4" fontId="11" fillId="0" borderId="21" xfId="0" applyNumberFormat="1" applyFont="1" applyBorder="1"/>
    <xf numFmtId="0" fontId="15" fillId="0" borderId="0" xfId="0" applyFont="1"/>
    <xf numFmtId="0" fontId="16" fillId="0" borderId="0" xfId="0" applyFont="1"/>
    <xf numFmtId="164" fontId="17" fillId="0" borderId="0" xfId="1" applyNumberFormat="1" applyFont="1" applyFill="1" applyBorder="1" applyAlignment="1" applyProtection="1">
      <alignment vertical="center"/>
    </xf>
    <xf numFmtId="0" fontId="17" fillId="0" borderId="26" xfId="0" applyFont="1" applyFill="1" applyBorder="1" applyAlignment="1" applyProtection="1">
      <alignment vertical="center" wrapText="1"/>
    </xf>
    <xf numFmtId="0" fontId="17" fillId="0" borderId="0" xfId="0" applyFont="1" applyAlignment="1" applyProtection="1">
      <alignment vertical="center"/>
    </xf>
    <xf numFmtId="166" fontId="11" fillId="0" borderId="21" xfId="2" applyNumberFormat="1" applyFont="1" applyBorder="1"/>
    <xf numFmtId="164" fontId="17" fillId="0" borderId="21" xfId="1" applyNumberFormat="1" applyFont="1" applyFill="1" applyBorder="1" applyAlignment="1" applyProtection="1">
      <alignment vertical="center"/>
    </xf>
    <xf numFmtId="44" fontId="17" fillId="0" borderId="21" xfId="2" applyFont="1" applyFill="1" applyBorder="1" applyProtection="1"/>
    <xf numFmtId="44" fontId="17" fillId="0" borderId="21" xfId="2" applyFont="1" applyBorder="1" applyProtection="1"/>
    <xf numFmtId="3" fontId="17" fillId="0" borderId="1" xfId="1" applyNumberFormat="1" applyFont="1" applyFill="1" applyBorder="1" applyProtection="1"/>
    <xf numFmtId="3" fontId="17" fillId="0" borderId="0" xfId="1" applyNumberFormat="1" applyFont="1" applyFill="1" applyBorder="1" applyProtection="1"/>
    <xf numFmtId="44" fontId="17" fillId="0" borderId="0" xfId="2" applyFont="1" applyProtection="1"/>
    <xf numFmtId="44" fontId="17" fillId="0" borderId="28" xfId="2" applyFont="1" applyBorder="1" applyProtection="1"/>
    <xf numFmtId="3" fontId="17" fillId="0" borderId="0" xfId="0" applyNumberFormat="1" applyFont="1" applyFill="1" applyBorder="1" applyProtection="1"/>
    <xf numFmtId="3" fontId="17" fillId="0" borderId="26" xfId="0" applyNumberFormat="1" applyFont="1" applyFill="1" applyBorder="1" applyProtection="1"/>
    <xf numFmtId="0" fontId="17" fillId="0" borderId="0" xfId="0" applyFont="1" applyProtection="1"/>
    <xf numFmtId="44" fontId="17" fillId="0" borderId="1" xfId="2" applyFont="1" applyFill="1" applyBorder="1" applyProtection="1"/>
    <xf numFmtId="44" fontId="17" fillId="0" borderId="2" xfId="2" applyFont="1" applyFill="1" applyBorder="1" applyProtection="1"/>
    <xf numFmtId="3" fontId="17" fillId="0" borderId="31" xfId="1" applyNumberFormat="1" applyFont="1" applyFill="1" applyBorder="1" applyProtection="1"/>
    <xf numFmtId="44" fontId="17" fillId="0" borderId="14" xfId="2" applyFont="1" applyFill="1" applyBorder="1" applyProtection="1"/>
    <xf numFmtId="44" fontId="17" fillId="0" borderId="23" xfId="2" applyFont="1" applyBorder="1" applyProtection="1"/>
    <xf numFmtId="3" fontId="17" fillId="0" borderId="22" xfId="1" applyNumberFormat="1" applyFont="1" applyFill="1" applyBorder="1" applyProtection="1"/>
    <xf numFmtId="43" fontId="17" fillId="0" borderId="21" xfId="1" applyFont="1" applyBorder="1" applyProtection="1"/>
    <xf numFmtId="43" fontId="17" fillId="0" borderId="0" xfId="1" applyFont="1" applyFill="1" applyBorder="1" applyProtection="1"/>
    <xf numFmtId="43" fontId="17" fillId="0" borderId="0" xfId="1" applyFont="1" applyBorder="1" applyProtection="1"/>
    <xf numFmtId="43" fontId="17" fillId="0" borderId="0" xfId="1" applyFont="1" applyProtection="1"/>
    <xf numFmtId="43" fontId="17" fillId="0" borderId="2" xfId="1" applyFont="1" applyFill="1" applyBorder="1" applyProtection="1"/>
    <xf numFmtId="43" fontId="17" fillId="0" borderId="29" xfId="1" applyFont="1" applyBorder="1" applyProtection="1"/>
    <xf numFmtId="43" fontId="17" fillId="0" borderId="10" xfId="1" applyFont="1" applyFill="1" applyBorder="1" applyProtection="1"/>
    <xf numFmtId="43" fontId="17" fillId="0" borderId="30" xfId="1" applyFont="1" applyBorder="1" applyProtection="1"/>
    <xf numFmtId="43" fontId="17" fillId="0" borderId="26" xfId="1" applyFont="1" applyFill="1" applyBorder="1" applyProtection="1"/>
    <xf numFmtId="43" fontId="17" fillId="0" borderId="16" xfId="1" applyFont="1" applyBorder="1" applyProtection="1"/>
    <xf numFmtId="43" fontId="17" fillId="0" borderId="14" xfId="1" applyFont="1" applyFill="1" applyBorder="1" applyProtection="1"/>
    <xf numFmtId="43" fontId="17" fillId="0" borderId="23" xfId="1" applyFont="1" applyBorder="1" applyProtection="1"/>
    <xf numFmtId="43" fontId="17" fillId="0" borderId="7" xfId="1" applyFont="1" applyFill="1" applyBorder="1" applyProtection="1"/>
    <xf numFmtId="43" fontId="17" fillId="0" borderId="32" xfId="1" applyFont="1" applyBorder="1" applyProtection="1"/>
    <xf numFmtId="43" fontId="17" fillId="0" borderId="33" xfId="1" applyFont="1" applyBorder="1" applyProtection="1"/>
    <xf numFmtId="0" fontId="17" fillId="0" borderId="21" xfId="0" applyFont="1" applyFill="1" applyBorder="1" applyAlignment="1" applyProtection="1">
      <alignment vertical="center"/>
    </xf>
    <xf numFmtId="164" fontId="17" fillId="0" borderId="21" xfId="1" applyNumberFormat="1" applyFont="1" applyFill="1" applyBorder="1" applyAlignment="1" applyProtection="1">
      <alignment vertical="center" wrapText="1"/>
    </xf>
    <xf numFmtId="0" fontId="20" fillId="3" borderId="21" xfId="0" applyFont="1" applyFill="1" applyBorder="1" applyAlignment="1" applyProtection="1">
      <alignment vertical="center"/>
    </xf>
    <xf numFmtId="164" fontId="20" fillId="3" borderId="21" xfId="1" applyNumberFormat="1" applyFont="1" applyFill="1" applyBorder="1" applyAlignment="1" applyProtection="1">
      <alignment vertical="center"/>
    </xf>
    <xf numFmtId="164" fontId="22" fillId="3" borderId="21" xfId="1" applyNumberFormat="1" applyFont="1" applyFill="1" applyBorder="1" applyAlignment="1" applyProtection="1">
      <alignment horizontal="center" wrapText="1"/>
    </xf>
    <xf numFmtId="0" fontId="22" fillId="3" borderId="21" xfId="0" applyFont="1" applyFill="1" applyBorder="1" applyProtection="1"/>
    <xf numFmtId="0" fontId="22" fillId="3" borderId="17" xfId="0" applyFont="1" applyFill="1" applyBorder="1" applyProtection="1"/>
    <xf numFmtId="3" fontId="22" fillId="3" borderId="21" xfId="1" applyNumberFormat="1" applyFont="1" applyFill="1" applyBorder="1" applyProtection="1"/>
    <xf numFmtId="0" fontId="20" fillId="3" borderId="15" xfId="0" applyFont="1" applyFill="1" applyBorder="1" applyAlignment="1" applyProtection="1">
      <alignment vertical="center"/>
    </xf>
    <xf numFmtId="3" fontId="22" fillId="3" borderId="22" xfId="0" applyNumberFormat="1" applyFont="1" applyFill="1" applyBorder="1" applyProtection="1"/>
    <xf numFmtId="3" fontId="22" fillId="3" borderId="21" xfId="0" applyNumberFormat="1" applyFont="1" applyFill="1" applyBorder="1" applyProtection="1"/>
    <xf numFmtId="0" fontId="21" fillId="0" borderId="0" xfId="0" applyFont="1" applyProtection="1"/>
    <xf numFmtId="164" fontId="5" fillId="0" borderId="0" xfId="1" applyNumberFormat="1" applyFont="1" applyFill="1" applyBorder="1" applyAlignment="1" applyProtection="1">
      <alignment vertical="center"/>
    </xf>
    <xf numFmtId="3" fontId="3" fillId="0" borderId="0" xfId="1" applyNumberFormat="1" applyFont="1" applyFill="1" applyBorder="1" applyProtection="1"/>
    <xf numFmtId="3" fontId="3" fillId="0" borderId="0" xfId="0" applyNumberFormat="1" applyFont="1" applyFill="1" applyBorder="1" applyProtection="1"/>
    <xf numFmtId="0" fontId="5" fillId="0" borderId="26" xfId="0" applyFont="1" applyFill="1" applyBorder="1" applyAlignment="1" applyProtection="1">
      <alignment vertical="center" wrapText="1"/>
    </xf>
    <xf numFmtId="3" fontId="3" fillId="0" borderId="26" xfId="0" applyNumberFormat="1" applyFont="1" applyFill="1" applyBorder="1" applyProtection="1"/>
    <xf numFmtId="3" fontId="3" fillId="0" borderId="26" xfId="1" applyNumberFormat="1" applyFont="1" applyFill="1" applyBorder="1" applyProtection="1"/>
    <xf numFmtId="0" fontId="5" fillId="0" borderId="0" xfId="0" applyFont="1" applyAlignment="1" applyProtection="1">
      <alignment vertical="center"/>
    </xf>
    <xf numFmtId="164" fontId="5" fillId="4" borderId="18" xfId="1" applyNumberFormat="1" applyFont="1" applyFill="1" applyBorder="1" applyAlignment="1" applyProtection="1">
      <alignment vertical="center"/>
    </xf>
    <xf numFmtId="3" fontId="3" fillId="4" borderId="11" xfId="1" applyNumberFormat="1" applyFont="1" applyFill="1" applyBorder="1" applyProtection="1">
      <protection locked="0"/>
    </xf>
    <xf numFmtId="3" fontId="3" fillId="4" borderId="6" xfId="1" applyNumberFormat="1" applyFont="1" applyFill="1" applyBorder="1" applyProtection="1">
      <protection locked="0"/>
    </xf>
    <xf numFmtId="3" fontId="3" fillId="4" borderId="7" xfId="1" applyNumberFormat="1" applyFont="1" applyFill="1" applyBorder="1" applyProtection="1">
      <protection locked="0"/>
    </xf>
    <xf numFmtId="3" fontId="3" fillId="4" borderId="7" xfId="1" applyNumberFormat="1" applyFont="1" applyFill="1" applyBorder="1" applyProtection="1"/>
    <xf numFmtId="164" fontId="5" fillId="4" borderId="19" xfId="1" applyNumberFormat="1" applyFont="1" applyFill="1" applyBorder="1" applyAlignment="1" applyProtection="1">
      <alignment vertical="center"/>
    </xf>
    <xf numFmtId="3" fontId="3" fillId="4" borderId="2" xfId="1" applyNumberFormat="1" applyFont="1" applyFill="1" applyBorder="1" applyProtection="1">
      <protection locked="0"/>
    </xf>
    <xf numFmtId="3" fontId="3" fillId="4" borderId="1" xfId="1" applyNumberFormat="1" applyFont="1" applyFill="1" applyBorder="1" applyProtection="1">
      <protection locked="0"/>
    </xf>
    <xf numFmtId="3" fontId="3" fillId="4" borderId="2" xfId="1" applyNumberFormat="1" applyFont="1" applyFill="1" applyBorder="1" applyProtection="1"/>
    <xf numFmtId="164" fontId="5" fillId="4" borderId="20" xfId="1" applyNumberFormat="1" applyFont="1" applyFill="1" applyBorder="1" applyAlignment="1" applyProtection="1">
      <alignment vertical="center"/>
    </xf>
    <xf numFmtId="3" fontId="3" fillId="4" borderId="3" xfId="1" applyNumberFormat="1" applyFont="1" applyFill="1" applyBorder="1" applyProtection="1">
      <protection locked="0"/>
    </xf>
    <xf numFmtId="3" fontId="3" fillId="4" borderId="9" xfId="1" applyNumberFormat="1" applyFont="1" applyFill="1" applyBorder="1" applyProtection="1">
      <protection locked="0"/>
    </xf>
    <xf numFmtId="3" fontId="3" fillId="4" borderId="10" xfId="1" applyNumberFormat="1" applyFont="1" applyFill="1" applyBorder="1" applyProtection="1">
      <protection locked="0"/>
    </xf>
    <xf numFmtId="3" fontId="3" fillId="4" borderId="10" xfId="1" applyNumberFormat="1" applyFont="1" applyFill="1" applyBorder="1" applyProtection="1"/>
    <xf numFmtId="0" fontId="5" fillId="4" borderId="24" xfId="0" applyFont="1" applyFill="1" applyBorder="1" applyAlignment="1" applyProtection="1">
      <alignment vertical="center"/>
    </xf>
    <xf numFmtId="3" fontId="3" fillId="4" borderId="12" xfId="1" applyNumberFormat="1" applyFont="1" applyFill="1" applyBorder="1" applyProtection="1">
      <protection locked="0"/>
    </xf>
    <xf numFmtId="3" fontId="3" fillId="4" borderId="4" xfId="1" applyNumberFormat="1" applyFont="1" applyFill="1" applyBorder="1" applyProtection="1">
      <protection locked="0"/>
    </xf>
    <xf numFmtId="3" fontId="3" fillId="4" borderId="5" xfId="1" applyNumberFormat="1" applyFont="1" applyFill="1" applyBorder="1" applyProtection="1">
      <protection locked="0"/>
    </xf>
    <xf numFmtId="164" fontId="5" fillId="4" borderId="2" xfId="1" applyNumberFormat="1" applyFont="1" applyFill="1" applyBorder="1" applyAlignment="1" applyProtection="1">
      <alignment vertical="center"/>
    </xf>
    <xf numFmtId="3" fontId="3" fillId="4" borderId="2" xfId="0" applyNumberFormat="1" applyFont="1" applyFill="1" applyBorder="1" applyProtection="1">
      <protection locked="0"/>
    </xf>
    <xf numFmtId="3" fontId="3" fillId="4" borderId="1" xfId="0" applyNumberFormat="1" applyFont="1" applyFill="1" applyBorder="1" applyProtection="1">
      <protection locked="0"/>
    </xf>
    <xf numFmtId="164" fontId="5" fillId="4" borderId="25" xfId="1" applyNumberFormat="1" applyFont="1" applyFill="1" applyBorder="1" applyAlignment="1" applyProtection="1">
      <alignment vertical="center"/>
    </xf>
    <xf numFmtId="3" fontId="3" fillId="4" borderId="3" xfId="0" applyNumberFormat="1" applyFont="1" applyFill="1" applyBorder="1" applyProtection="1">
      <protection locked="0"/>
    </xf>
    <xf numFmtId="3" fontId="3" fillId="4" borderId="9" xfId="0" applyNumberFormat="1" applyFont="1" applyFill="1" applyBorder="1" applyProtection="1">
      <protection locked="0"/>
    </xf>
    <xf numFmtId="3" fontId="3" fillId="4" borderId="10" xfId="0" applyNumberFormat="1" applyFont="1" applyFill="1" applyBorder="1" applyProtection="1">
      <protection locked="0"/>
    </xf>
    <xf numFmtId="164" fontId="20" fillId="3" borderId="15" xfId="1" applyNumberFormat="1" applyFont="1" applyFill="1" applyBorder="1" applyAlignment="1" applyProtection="1">
      <alignment vertical="center"/>
    </xf>
    <xf numFmtId="3" fontId="22" fillId="3" borderId="16" xfId="0" applyNumberFormat="1" applyFont="1" applyFill="1" applyBorder="1" applyProtection="1"/>
    <xf numFmtId="3" fontId="22" fillId="3" borderId="17" xfId="0" applyNumberFormat="1" applyFont="1" applyFill="1" applyBorder="1" applyProtection="1"/>
    <xf numFmtId="3" fontId="22" fillId="3" borderId="23" xfId="1" applyNumberFormat="1" applyFont="1" applyFill="1" applyBorder="1" applyProtection="1"/>
    <xf numFmtId="3" fontId="3" fillId="4" borderId="11" xfId="0" applyNumberFormat="1" applyFont="1" applyFill="1" applyBorder="1" applyProtection="1">
      <protection locked="0"/>
    </xf>
    <xf numFmtId="3" fontId="3" fillId="4" borderId="6" xfId="0" applyNumberFormat="1" applyFont="1" applyFill="1" applyBorder="1" applyProtection="1">
      <protection locked="0"/>
    </xf>
    <xf numFmtId="3" fontId="3" fillId="4" borderId="7" xfId="0" applyNumberFormat="1" applyFont="1" applyFill="1" applyBorder="1" applyProtection="1">
      <protection locked="0"/>
    </xf>
    <xf numFmtId="3" fontId="22" fillId="3" borderId="17" xfId="1" applyNumberFormat="1" applyFont="1" applyFill="1" applyBorder="1" applyProtection="1"/>
    <xf numFmtId="3" fontId="3" fillId="4" borderId="8" xfId="0" applyNumberFormat="1" applyFont="1" applyFill="1" applyBorder="1" applyProtection="1">
      <protection locked="0"/>
    </xf>
    <xf numFmtId="164" fontId="5" fillId="4" borderId="19" xfId="1" applyNumberFormat="1" applyFont="1" applyFill="1" applyBorder="1" applyAlignment="1" applyProtection="1">
      <alignment vertical="center" wrapText="1"/>
    </xf>
    <xf numFmtId="164" fontId="26" fillId="4" borderId="18" xfId="1" applyNumberFormat="1" applyFont="1" applyFill="1" applyBorder="1" applyAlignment="1" applyProtection="1">
      <alignment vertical="center"/>
    </xf>
    <xf numFmtId="164" fontId="26" fillId="4" borderId="19" xfId="1" applyNumberFormat="1" applyFont="1" applyFill="1" applyBorder="1" applyAlignment="1" applyProtection="1">
      <alignment vertical="center"/>
    </xf>
    <xf numFmtId="0" fontId="20" fillId="3" borderId="13" xfId="0" applyFont="1" applyFill="1" applyBorder="1" applyAlignment="1" applyProtection="1">
      <alignment vertical="center"/>
    </xf>
    <xf numFmtId="164" fontId="22" fillId="3" borderId="14" xfId="1" applyNumberFormat="1" applyFont="1" applyFill="1" applyBorder="1" applyAlignment="1" applyProtection="1">
      <alignment horizontal="center" wrapText="1"/>
    </xf>
    <xf numFmtId="164" fontId="22" fillId="3" borderId="12" xfId="1" applyNumberFormat="1" applyFont="1" applyFill="1" applyBorder="1" applyAlignment="1" applyProtection="1">
      <alignment horizontal="center" wrapText="1"/>
    </xf>
    <xf numFmtId="0" fontId="27" fillId="3" borderId="21" xfId="0" applyFont="1" applyFill="1" applyBorder="1" applyAlignment="1" applyProtection="1">
      <alignment vertical="center"/>
    </xf>
    <xf numFmtId="3" fontId="22" fillId="3" borderId="22" xfId="1" applyNumberFormat="1" applyFont="1" applyFill="1" applyBorder="1" applyProtection="1"/>
    <xf numFmtId="0" fontId="3" fillId="0" borderId="0" xfId="0" applyFont="1" applyFill="1" applyProtection="1"/>
    <xf numFmtId="3" fontId="3" fillId="4" borderId="34" xfId="1" applyNumberFormat="1" applyFont="1" applyFill="1" applyBorder="1" applyProtection="1">
      <protection locked="0"/>
    </xf>
    <xf numFmtId="3" fontId="3" fillId="4" borderId="35" xfId="1" applyNumberFormat="1" applyFont="1" applyFill="1" applyBorder="1" applyProtection="1">
      <protection locked="0"/>
    </xf>
    <xf numFmtId="3" fontId="3" fillId="4" borderId="36" xfId="1" applyNumberFormat="1" applyFont="1" applyFill="1" applyBorder="1" applyProtection="1">
      <protection locked="0"/>
    </xf>
    <xf numFmtId="3" fontId="3" fillId="4" borderId="37" xfId="1" applyNumberFormat="1" applyFont="1" applyFill="1" applyBorder="1" applyProtection="1">
      <protection locked="0"/>
    </xf>
    <xf numFmtId="3" fontId="3" fillId="4" borderId="8" xfId="1" applyNumberFormat="1" applyFont="1" applyFill="1" applyBorder="1" applyProtection="1">
      <protection locked="0"/>
    </xf>
    <xf numFmtId="0" fontId="5" fillId="4" borderId="38" xfId="0" applyFont="1" applyFill="1" applyBorder="1" applyAlignment="1" applyProtection="1">
      <alignment vertical="center"/>
    </xf>
    <xf numFmtId="164" fontId="5" fillId="4" borderId="36" xfId="1" applyNumberFormat="1" applyFont="1" applyFill="1" applyBorder="1" applyAlignment="1" applyProtection="1">
      <alignment vertical="center"/>
    </xf>
    <xf numFmtId="164" fontId="5" fillId="4" borderId="39" xfId="1" applyNumberFormat="1" applyFont="1" applyFill="1" applyBorder="1" applyAlignment="1" applyProtection="1">
      <alignment vertical="center"/>
    </xf>
    <xf numFmtId="3" fontId="22" fillId="3" borderId="16" xfId="1" applyNumberFormat="1" applyFont="1" applyFill="1" applyBorder="1" applyProtection="1"/>
    <xf numFmtId="0" fontId="22" fillId="3" borderId="16" xfId="0" applyFont="1" applyFill="1" applyBorder="1" applyProtection="1"/>
    <xf numFmtId="3" fontId="22" fillId="3" borderId="26" xfId="1" applyNumberFormat="1" applyFont="1" applyFill="1" applyBorder="1" applyProtection="1"/>
    <xf numFmtId="0" fontId="5" fillId="4" borderId="40" xfId="0" applyFont="1" applyFill="1" applyBorder="1" applyAlignment="1" applyProtection="1">
      <alignment vertical="center"/>
    </xf>
    <xf numFmtId="43" fontId="17" fillId="0" borderId="41" xfId="1" applyFont="1" applyFill="1" applyBorder="1" applyProtection="1"/>
    <xf numFmtId="164" fontId="17" fillId="0" borderId="33" xfId="1" applyNumberFormat="1" applyFont="1" applyFill="1" applyBorder="1" applyAlignment="1" applyProtection="1">
      <alignment vertical="center"/>
    </xf>
    <xf numFmtId="3" fontId="22" fillId="3" borderId="27" xfId="1" applyNumberFormat="1" applyFont="1" applyFill="1" applyBorder="1" applyProtection="1"/>
    <xf numFmtId="0" fontId="5" fillId="4" borderId="42" xfId="0" applyFont="1" applyFill="1" applyBorder="1" applyAlignment="1" applyProtection="1">
      <alignment vertical="center"/>
    </xf>
    <xf numFmtId="3" fontId="3" fillId="4" borderId="11" xfId="1" applyNumberFormat="1" applyFont="1" applyFill="1" applyBorder="1" applyProtection="1"/>
    <xf numFmtId="164" fontId="5" fillId="4" borderId="40" xfId="1" applyNumberFormat="1" applyFont="1" applyFill="1" applyBorder="1" applyAlignment="1" applyProtection="1">
      <alignment vertical="center"/>
    </xf>
    <xf numFmtId="43" fontId="18" fillId="4" borderId="16" xfId="1" applyFont="1" applyFill="1" applyBorder="1" applyProtection="1"/>
    <xf numFmtId="43" fontId="18" fillId="4" borderId="17" xfId="1" applyFont="1" applyFill="1" applyBorder="1" applyProtection="1"/>
    <xf numFmtId="43" fontId="17" fillId="4" borderId="21" xfId="1" applyFont="1" applyFill="1" applyBorder="1" applyProtection="1"/>
    <xf numFmtId="44" fontId="17" fillId="4" borderId="21" xfId="2" applyFont="1" applyFill="1" applyBorder="1" applyProtection="1"/>
    <xf numFmtId="0" fontId="17" fillId="4" borderId="21" xfId="0" applyFont="1" applyFill="1" applyBorder="1" applyAlignment="1" applyProtection="1">
      <alignment vertical="center"/>
    </xf>
    <xf numFmtId="164" fontId="17" fillId="4" borderId="31" xfId="1" applyNumberFormat="1" applyFont="1" applyFill="1" applyBorder="1" applyAlignment="1" applyProtection="1">
      <alignment horizontal="center" wrapText="1"/>
    </xf>
    <xf numFmtId="164" fontId="17" fillId="4" borderId="43" xfId="1" applyNumberFormat="1" applyFont="1" applyFill="1" applyBorder="1" applyAlignment="1" applyProtection="1">
      <alignment horizontal="center" wrapText="1"/>
    </xf>
    <xf numFmtId="43" fontId="17" fillId="4" borderId="21" xfId="1" applyFont="1" applyFill="1" applyBorder="1" applyAlignment="1" applyProtection="1">
      <alignment horizontal="center" wrapText="1"/>
    </xf>
    <xf numFmtId="43" fontId="17" fillId="4" borderId="44" xfId="1" applyFont="1" applyFill="1" applyBorder="1" applyAlignment="1" applyProtection="1">
      <alignment horizontal="center" wrapText="1"/>
    </xf>
    <xf numFmtId="43" fontId="17" fillId="4" borderId="27" xfId="1" applyFont="1" applyFill="1" applyBorder="1" applyAlignment="1" applyProtection="1">
      <alignment horizontal="center" wrapText="1"/>
    </xf>
    <xf numFmtId="164" fontId="17" fillId="4" borderId="15" xfId="1" applyNumberFormat="1" applyFont="1" applyFill="1" applyBorder="1" applyAlignment="1" applyProtection="1">
      <alignment vertical="center"/>
    </xf>
    <xf numFmtId="43" fontId="17" fillId="4" borderId="16" xfId="1" applyFont="1" applyFill="1" applyBorder="1" applyProtection="1"/>
    <xf numFmtId="43" fontId="17" fillId="4" borderId="17" xfId="1" applyFont="1" applyFill="1" applyBorder="1" applyProtection="1"/>
    <xf numFmtId="44" fontId="19" fillId="4" borderId="21" xfId="2" applyFont="1" applyFill="1" applyBorder="1" applyProtection="1"/>
    <xf numFmtId="43" fontId="17" fillId="4" borderId="15" xfId="1" applyFont="1" applyFill="1" applyBorder="1" applyProtection="1"/>
    <xf numFmtId="44" fontId="17" fillId="4" borderId="17" xfId="2" applyFont="1" applyFill="1" applyBorder="1" applyProtection="1"/>
    <xf numFmtId="3" fontId="18" fillId="4" borderId="16" xfId="0" applyNumberFormat="1" applyFont="1" applyFill="1" applyBorder="1" applyProtection="1"/>
    <xf numFmtId="43" fontId="19" fillId="4" borderId="21" xfId="1" applyFont="1" applyFill="1" applyBorder="1" applyProtection="1"/>
    <xf numFmtId="43" fontId="19" fillId="4" borderId="15" xfId="1" applyFont="1" applyFill="1" applyBorder="1" applyProtection="1"/>
    <xf numFmtId="3" fontId="17" fillId="4" borderId="21" xfId="0" applyNumberFormat="1" applyFont="1" applyFill="1" applyBorder="1" applyProtection="1"/>
    <xf numFmtId="164" fontId="17" fillId="4" borderId="21" xfId="1" applyNumberFormat="1" applyFont="1" applyFill="1" applyBorder="1" applyAlignment="1" applyProtection="1">
      <alignment vertical="center"/>
    </xf>
    <xf numFmtId="3" fontId="17" fillId="4" borderId="22" xfId="0" applyNumberFormat="1" applyFont="1" applyFill="1" applyBorder="1" applyProtection="1"/>
    <xf numFmtId="44" fontId="17" fillId="4" borderId="22" xfId="2" applyFont="1" applyFill="1" applyBorder="1" applyProtection="1"/>
    <xf numFmtId="44" fontId="17" fillId="4" borderId="15" xfId="2" applyFont="1" applyFill="1" applyBorder="1" applyProtection="1"/>
    <xf numFmtId="3" fontId="17" fillId="4" borderId="16" xfId="0" applyNumberFormat="1" applyFont="1" applyFill="1" applyBorder="1" applyProtection="1"/>
    <xf numFmtId="0" fontId="17" fillId="4" borderId="15" xfId="0" applyFont="1" applyFill="1" applyBorder="1" applyAlignment="1" applyProtection="1">
      <alignment vertical="center"/>
    </xf>
    <xf numFmtId="0" fontId="11" fillId="4" borderId="15" xfId="0" applyFont="1" applyFill="1" applyBorder="1" applyAlignment="1">
      <alignment horizontal="center"/>
    </xf>
    <xf numFmtId="0" fontId="11" fillId="4" borderId="17" xfId="0" applyFont="1" applyFill="1" applyBorder="1" applyAlignment="1">
      <alignment horizontal="center"/>
    </xf>
    <xf numFmtId="0" fontId="11" fillId="4" borderId="21" xfId="0" applyFont="1" applyFill="1" applyBorder="1" applyAlignment="1" applyProtection="1">
      <alignment horizontal="center"/>
    </xf>
    <xf numFmtId="0" fontId="11" fillId="4" borderId="17" xfId="0" applyFont="1" applyFill="1" applyBorder="1" applyAlignment="1" applyProtection="1">
      <alignment horizontal="center"/>
    </xf>
    <xf numFmtId="0" fontId="11" fillId="4" borderId="21" xfId="0" applyFont="1" applyFill="1" applyBorder="1" applyAlignment="1" applyProtection="1">
      <alignment horizontal="center" wrapText="1"/>
    </xf>
    <xf numFmtId="0" fontId="11" fillId="4" borderId="21" xfId="0" applyFont="1" applyFill="1" applyBorder="1"/>
    <xf numFmtId="3" fontId="11" fillId="4" borderId="17" xfId="0" applyNumberFormat="1" applyFont="1" applyFill="1" applyBorder="1"/>
    <xf numFmtId="3" fontId="11" fillId="4" borderId="21" xfId="0" applyNumberFormat="1" applyFont="1" applyFill="1" applyBorder="1"/>
    <xf numFmtId="166" fontId="11" fillId="4" borderId="21" xfId="2" applyNumberFormat="1" applyFont="1" applyFill="1" applyBorder="1"/>
    <xf numFmtId="44" fontId="11" fillId="4" borderId="21" xfId="2" applyFont="1" applyFill="1" applyBorder="1"/>
    <xf numFmtId="0" fontId="5" fillId="5" borderId="21" xfId="0" applyFont="1" applyFill="1" applyBorder="1" applyAlignment="1" applyProtection="1">
      <alignment vertical="center"/>
    </xf>
    <xf numFmtId="164" fontId="3" fillId="5" borderId="21" xfId="1" applyNumberFormat="1" applyFont="1" applyFill="1" applyBorder="1" applyAlignment="1" applyProtection="1">
      <alignment horizontal="center" wrapText="1"/>
    </xf>
    <xf numFmtId="164" fontId="5" fillId="5" borderId="21" xfId="1" applyNumberFormat="1" applyFont="1" applyFill="1" applyBorder="1" applyAlignment="1" applyProtection="1">
      <alignment vertical="center"/>
    </xf>
    <xf numFmtId="3" fontId="3" fillId="5" borderId="22" xfId="0" applyNumberFormat="1" applyFont="1" applyFill="1" applyBorder="1" applyProtection="1"/>
    <xf numFmtId="3" fontId="3" fillId="5" borderId="23" xfId="1" applyNumberFormat="1" applyFont="1" applyFill="1" applyBorder="1" applyProtection="1"/>
    <xf numFmtId="3" fontId="3" fillId="5" borderId="21" xfId="0" applyNumberFormat="1" applyFont="1" applyFill="1" applyBorder="1" applyProtection="1"/>
    <xf numFmtId="3" fontId="3" fillId="5" borderId="17" xfId="0" applyNumberFormat="1" applyFont="1" applyFill="1" applyBorder="1" applyProtection="1"/>
    <xf numFmtId="0" fontId="5" fillId="5" borderId="26" xfId="0" applyFont="1" applyFill="1" applyBorder="1" applyAlignment="1" applyProtection="1">
      <alignment vertical="center" wrapText="1"/>
    </xf>
    <xf numFmtId="3" fontId="3" fillId="5" borderId="26" xfId="0" applyNumberFormat="1" applyFont="1" applyFill="1" applyBorder="1" applyProtection="1"/>
    <xf numFmtId="3" fontId="3" fillId="5" borderId="26" xfId="1" applyNumberFormat="1" applyFont="1" applyFill="1" applyBorder="1" applyProtection="1"/>
    <xf numFmtId="3" fontId="3" fillId="5" borderId="17" xfId="1" applyNumberFormat="1" applyFont="1" applyFill="1" applyBorder="1" applyProtection="1"/>
    <xf numFmtId="3" fontId="3" fillId="5" borderId="46" xfId="0" applyNumberFormat="1" applyFont="1" applyFill="1" applyBorder="1" applyProtection="1"/>
    <xf numFmtId="3" fontId="3" fillId="5" borderId="15" xfId="0" applyNumberFormat="1" applyFont="1" applyFill="1" applyBorder="1" applyProtection="1"/>
    <xf numFmtId="3" fontId="3" fillId="5" borderId="16" xfId="0" applyNumberFormat="1" applyFont="1" applyFill="1" applyBorder="1" applyProtection="1"/>
    <xf numFmtId="164" fontId="5" fillId="5" borderId="0" xfId="1" applyNumberFormat="1" applyFont="1" applyFill="1" applyBorder="1" applyAlignment="1" applyProtection="1">
      <alignment vertical="center"/>
    </xf>
    <xf numFmtId="3" fontId="3" fillId="5" borderId="0" xfId="0" applyNumberFormat="1" applyFont="1" applyFill="1" applyBorder="1" applyProtection="1"/>
    <xf numFmtId="3" fontId="3" fillId="5" borderId="0" xfId="1" applyNumberFormat="1" applyFont="1" applyFill="1" applyBorder="1" applyProtection="1"/>
    <xf numFmtId="3" fontId="3" fillId="5" borderId="22" xfId="1" applyNumberFormat="1" applyFont="1" applyFill="1" applyBorder="1" applyProtection="1"/>
    <xf numFmtId="3" fontId="3" fillId="5" borderId="21" xfId="1" applyNumberFormat="1" applyFont="1" applyFill="1" applyBorder="1" applyProtection="1"/>
    <xf numFmtId="0" fontId="5" fillId="5" borderId="15" xfId="0" applyFont="1" applyFill="1" applyBorder="1" applyAlignment="1" applyProtection="1">
      <alignment vertical="center"/>
    </xf>
    <xf numFmtId="164" fontId="5" fillId="5" borderId="46" xfId="1" applyNumberFormat="1" applyFont="1" applyFill="1" applyBorder="1" applyAlignment="1" applyProtection="1">
      <alignment vertical="center"/>
    </xf>
    <xf numFmtId="0" fontId="3" fillId="5" borderId="46" xfId="0" applyFont="1" applyFill="1" applyBorder="1" applyProtection="1"/>
    <xf numFmtId="167" fontId="3" fillId="0" borderId="0" xfId="3" applyNumberFormat="1" applyFont="1" applyProtection="1"/>
    <xf numFmtId="167" fontId="4" fillId="0" borderId="0" xfId="3" applyNumberFormat="1" applyFont="1" applyProtection="1"/>
    <xf numFmtId="10" fontId="4" fillId="0" borderId="0" xfId="3" applyNumberFormat="1" applyFont="1" applyProtection="1"/>
    <xf numFmtId="1" fontId="3" fillId="0" borderId="0" xfId="0" applyNumberFormat="1" applyFont="1" applyProtection="1"/>
    <xf numFmtId="3" fontId="3" fillId="0" borderId="0" xfId="0" applyNumberFormat="1" applyFont="1" applyProtection="1"/>
    <xf numFmtId="0" fontId="4" fillId="6" borderId="0" xfId="0" applyFont="1" applyFill="1" applyProtection="1"/>
    <xf numFmtId="0" fontId="3" fillId="6" borderId="2" xfId="0" applyFont="1" applyFill="1" applyBorder="1" applyProtection="1"/>
    <xf numFmtId="0" fontId="4" fillId="6" borderId="2" xfId="0" applyFont="1" applyFill="1" applyBorder="1" applyProtection="1"/>
    <xf numFmtId="3" fontId="4" fillId="6" borderId="2" xfId="0" applyNumberFormat="1" applyFont="1" applyFill="1" applyBorder="1" applyProtection="1"/>
    <xf numFmtId="3" fontId="4" fillId="0" borderId="0" xfId="0" applyNumberFormat="1" applyFont="1" applyProtection="1"/>
    <xf numFmtId="44" fontId="11" fillId="0" borderId="21" xfId="0" applyNumberFormat="1" applyFont="1" applyBorder="1"/>
    <xf numFmtId="3" fontId="4" fillId="0" borderId="47" xfId="0" applyNumberFormat="1" applyFont="1" applyFill="1" applyBorder="1" applyProtection="1">
      <protection locked="0"/>
    </xf>
    <xf numFmtId="3" fontId="4" fillId="0" borderId="5" xfId="0" applyNumberFormat="1" applyFont="1" applyFill="1" applyBorder="1" applyProtection="1">
      <protection locked="0"/>
    </xf>
    <xf numFmtId="0" fontId="4" fillId="5" borderId="0" xfId="0" applyFont="1" applyFill="1" applyProtection="1"/>
    <xf numFmtId="164" fontId="6" fillId="0" borderId="2" xfId="1" applyNumberFormat="1" applyFont="1" applyFill="1" applyBorder="1" applyAlignment="1" applyProtection="1">
      <alignment vertical="center"/>
    </xf>
    <xf numFmtId="3" fontId="17" fillId="4" borderId="16" xfId="1" applyNumberFormat="1" applyFont="1" applyFill="1" applyBorder="1" applyProtection="1"/>
    <xf numFmtId="3" fontId="18" fillId="4" borderId="16" xfId="1" applyNumberFormat="1" applyFont="1" applyFill="1" applyBorder="1" applyProtection="1"/>
    <xf numFmtId="0" fontId="1" fillId="0" borderId="0" xfId="3" applyNumberFormat="1" applyFont="1"/>
    <xf numFmtId="0" fontId="0" fillId="0" borderId="0" xfId="0" applyNumberFormat="1"/>
    <xf numFmtId="3" fontId="1" fillId="0" borderId="0" xfId="3" applyNumberFormat="1" applyFont="1"/>
    <xf numFmtId="164" fontId="1" fillId="0" borderId="0" xfId="1" applyNumberFormat="1" applyFont="1"/>
    <xf numFmtId="3" fontId="0" fillId="0" borderId="0" xfId="0" applyNumberFormat="1"/>
    <xf numFmtId="0" fontId="0" fillId="0" borderId="0" xfId="0" applyAlignment="1">
      <alignment horizontal="left" vertical="center"/>
    </xf>
    <xf numFmtId="44" fontId="0" fillId="0" borderId="0" xfId="0" applyNumberFormat="1"/>
    <xf numFmtId="10" fontId="3" fillId="0" borderId="0" xfId="3" applyNumberFormat="1" applyFont="1" applyProtection="1"/>
    <xf numFmtId="164" fontId="4" fillId="0" borderId="0" xfId="0" applyNumberFormat="1" applyFont="1" applyProtection="1"/>
    <xf numFmtId="3" fontId="4" fillId="0" borderId="43" xfId="1" applyNumberFormat="1" applyFont="1" applyFill="1" applyBorder="1" applyProtection="1">
      <protection locked="0"/>
    </xf>
    <xf numFmtId="3" fontId="4" fillId="0" borderId="40" xfId="0" applyNumberFormat="1" applyFont="1" applyFill="1" applyBorder="1" applyProtection="1">
      <protection locked="0"/>
    </xf>
    <xf numFmtId="3" fontId="4" fillId="0" borderId="1" xfId="0" applyNumberFormat="1" applyFont="1" applyFill="1" applyBorder="1" applyProtection="1">
      <protection locked="0"/>
    </xf>
    <xf numFmtId="3" fontId="4" fillId="2" borderId="26" xfId="1" applyNumberFormat="1" applyFont="1" applyFill="1" applyBorder="1" applyProtection="1"/>
    <xf numFmtId="3" fontId="4" fillId="2" borderId="27" xfId="1" applyNumberFormat="1" applyFont="1" applyFill="1" applyBorder="1" applyProtection="1"/>
    <xf numFmtId="164" fontId="5" fillId="2" borderId="33" xfId="1" applyNumberFormat="1" applyFont="1" applyFill="1" applyBorder="1" applyAlignment="1" applyProtection="1">
      <alignment vertical="center"/>
    </xf>
    <xf numFmtId="3" fontId="3" fillId="2" borderId="49" xfId="0" applyNumberFormat="1" applyFont="1" applyFill="1" applyBorder="1" applyProtection="1"/>
    <xf numFmtId="3" fontId="3" fillId="2" borderId="7" xfId="0" applyNumberFormat="1" applyFont="1" applyFill="1" applyBorder="1" applyProtection="1"/>
    <xf numFmtId="3" fontId="3" fillId="2" borderId="48" xfId="0" applyNumberFormat="1" applyFont="1" applyFill="1" applyBorder="1" applyProtection="1"/>
    <xf numFmtId="3" fontId="4" fillId="2" borderId="50" xfId="1" applyNumberFormat="1" applyFont="1" applyFill="1" applyBorder="1" applyProtection="1"/>
    <xf numFmtId="0" fontId="6" fillId="0" borderId="13" xfId="0" applyFont="1" applyFill="1" applyBorder="1" applyAlignment="1" applyProtection="1">
      <alignment vertical="center"/>
    </xf>
    <xf numFmtId="3" fontId="4" fillId="0" borderId="44" xfId="1" applyNumberFormat="1" applyFont="1" applyFill="1" applyBorder="1" applyProtection="1">
      <protection locked="0"/>
    </xf>
    <xf numFmtId="3" fontId="4" fillId="0" borderId="28" xfId="1" applyNumberFormat="1" applyFont="1" applyFill="1" applyBorder="1" applyProtection="1"/>
    <xf numFmtId="164" fontId="6" fillId="0" borderId="36" xfId="1" applyNumberFormat="1" applyFont="1" applyFill="1" applyBorder="1" applyAlignment="1" applyProtection="1">
      <alignment vertical="center"/>
    </xf>
    <xf numFmtId="3" fontId="4" fillId="0" borderId="29" xfId="1" applyNumberFormat="1" applyFont="1" applyFill="1" applyBorder="1" applyProtection="1"/>
    <xf numFmtId="3" fontId="4" fillId="0" borderId="51" xfId="0" applyNumberFormat="1" applyFont="1" applyFill="1" applyBorder="1" applyProtection="1">
      <protection locked="0"/>
    </xf>
    <xf numFmtId="3" fontId="4" fillId="0" borderId="8" xfId="0" applyNumberFormat="1" applyFont="1" applyFill="1" applyBorder="1" applyProtection="1">
      <protection locked="0"/>
    </xf>
    <xf numFmtId="3" fontId="4" fillId="0" borderId="30" xfId="1" applyNumberFormat="1" applyFont="1" applyFill="1" applyBorder="1" applyProtection="1"/>
    <xf numFmtId="166" fontId="17" fillId="0" borderId="1" xfId="2" applyNumberFormat="1" applyFont="1" applyFill="1" applyBorder="1" applyProtection="1"/>
    <xf numFmtId="43" fontId="17" fillId="4" borderId="26" xfId="1" applyFont="1" applyFill="1" applyBorder="1" applyProtection="1"/>
    <xf numFmtId="44" fontId="17" fillId="4" borderId="33" xfId="2" applyFont="1" applyFill="1" applyBorder="1" applyProtection="1"/>
    <xf numFmtId="3" fontId="17" fillId="0" borderId="2" xfId="1" applyNumberFormat="1" applyFont="1" applyFill="1" applyBorder="1" applyProtection="1"/>
    <xf numFmtId="164" fontId="17" fillId="0" borderId="15" xfId="1" applyNumberFormat="1" applyFont="1" applyFill="1" applyBorder="1" applyAlignment="1" applyProtection="1">
      <alignment vertical="center"/>
    </xf>
    <xf numFmtId="0" fontId="17" fillId="4" borderId="26" xfId="0" applyFont="1" applyFill="1" applyBorder="1" applyProtection="1"/>
    <xf numFmtId="43" fontId="17" fillId="4" borderId="46" xfId="1" applyFont="1" applyFill="1" applyBorder="1" applyProtection="1"/>
    <xf numFmtId="43" fontId="17" fillId="4" borderId="27" xfId="1" applyFont="1" applyFill="1" applyBorder="1" applyProtection="1"/>
    <xf numFmtId="44" fontId="17" fillId="4" borderId="46" xfId="2" applyFont="1" applyFill="1" applyBorder="1" applyProtection="1"/>
    <xf numFmtId="3" fontId="17" fillId="4" borderId="33" xfId="1" applyNumberFormat="1" applyFont="1" applyFill="1" applyBorder="1" applyProtection="1"/>
    <xf numFmtId="43" fontId="17" fillId="0" borderId="2" xfId="1" applyFont="1" applyBorder="1" applyProtection="1"/>
    <xf numFmtId="3" fontId="17" fillId="0" borderId="34" xfId="1" applyNumberFormat="1" applyFont="1" applyFill="1" applyBorder="1" applyProtection="1"/>
    <xf numFmtId="3" fontId="17" fillId="0" borderId="11" xfId="1" applyNumberFormat="1" applyFont="1" applyFill="1" applyBorder="1" applyProtection="1"/>
    <xf numFmtId="44" fontId="17" fillId="0" borderId="11" xfId="2" applyFont="1" applyFill="1" applyBorder="1" applyProtection="1"/>
    <xf numFmtId="44" fontId="17" fillId="0" borderId="11" xfId="2" applyFont="1" applyBorder="1" applyProtection="1"/>
    <xf numFmtId="3" fontId="17" fillId="0" borderId="3" xfId="1" applyNumberFormat="1" applyFont="1" applyFill="1" applyBorder="1" applyProtection="1"/>
    <xf numFmtId="43" fontId="17" fillId="0" borderId="3" xfId="1" applyFont="1" applyFill="1" applyBorder="1" applyProtection="1"/>
    <xf numFmtId="43" fontId="17" fillId="0" borderId="3" xfId="1" applyFont="1" applyBorder="1" applyProtection="1"/>
    <xf numFmtId="3" fontId="4" fillId="2" borderId="26" xfId="0" applyNumberFormat="1" applyFont="1" applyFill="1" applyBorder="1" applyProtection="1"/>
    <xf numFmtId="165" fontId="4" fillId="2" borderId="26" xfId="0" applyNumberFormat="1" applyFont="1" applyFill="1" applyBorder="1" applyProtection="1"/>
    <xf numFmtId="3" fontId="3" fillId="2" borderId="52" xfId="0" applyNumberFormat="1" applyFont="1" applyFill="1" applyBorder="1" applyProtection="1"/>
    <xf numFmtId="165" fontId="3" fillId="2" borderId="49" xfId="0" applyNumberFormat="1" applyFont="1" applyFill="1" applyBorder="1" applyProtection="1"/>
    <xf numFmtId="164" fontId="5" fillId="2" borderId="13" xfId="1" applyNumberFormat="1" applyFont="1" applyFill="1" applyBorder="1" applyAlignment="1" applyProtection="1">
      <alignment vertical="center"/>
    </xf>
    <xf numFmtId="165" fontId="4" fillId="2" borderId="27" xfId="1" applyNumberFormat="1" applyFont="1" applyFill="1" applyBorder="1" applyProtection="1"/>
    <xf numFmtId="3" fontId="3" fillId="2" borderId="33" xfId="1" applyNumberFormat="1" applyFont="1" applyFill="1" applyBorder="1" applyProtection="1"/>
    <xf numFmtId="165" fontId="3" fillId="2" borderId="33" xfId="1" applyNumberFormat="1" applyFont="1" applyFill="1" applyBorder="1" applyProtection="1"/>
    <xf numFmtId="164" fontId="6" fillId="0" borderId="42" xfId="1" applyNumberFormat="1" applyFont="1" applyFill="1" applyBorder="1" applyAlignment="1" applyProtection="1">
      <alignment vertical="center"/>
    </xf>
    <xf numFmtId="3" fontId="4" fillId="0" borderId="11" xfId="1" applyNumberFormat="1" applyFont="1" applyFill="1" applyBorder="1" applyProtection="1"/>
    <xf numFmtId="165" fontId="4" fillId="0" borderId="11" xfId="1" applyNumberFormat="1" applyFont="1" applyFill="1" applyBorder="1" applyProtection="1"/>
    <xf numFmtId="165" fontId="3" fillId="2" borderId="52" xfId="0" applyNumberFormat="1" applyFont="1" applyFill="1" applyBorder="1" applyProtection="1"/>
    <xf numFmtId="164" fontId="6" fillId="0" borderId="20" xfId="1" applyNumberFormat="1" applyFont="1" applyFill="1" applyBorder="1" applyAlignment="1" applyProtection="1">
      <alignment vertical="center" wrapText="1"/>
    </xf>
    <xf numFmtId="0" fontId="4" fillId="2" borderId="26" xfId="0" applyFont="1" applyFill="1" applyBorder="1" applyProtection="1"/>
    <xf numFmtId="165" fontId="4" fillId="2" borderId="27" xfId="0" applyNumberFormat="1" applyFont="1" applyFill="1" applyBorder="1" applyProtection="1"/>
    <xf numFmtId="165" fontId="4" fillId="2" borderId="26" xfId="1" applyNumberFormat="1" applyFont="1" applyFill="1" applyBorder="1" applyProtection="1"/>
    <xf numFmtId="165" fontId="3" fillId="2" borderId="33" xfId="0" applyNumberFormat="1" applyFont="1" applyFill="1" applyBorder="1" applyProtection="1"/>
    <xf numFmtId="164" fontId="25" fillId="0" borderId="0" xfId="1" applyNumberFormat="1" applyFont="1"/>
    <xf numFmtId="3" fontId="25" fillId="0" borderId="0" xfId="0" applyNumberFormat="1" applyFont="1"/>
    <xf numFmtId="0" fontId="25" fillId="0" borderId="0" xfId="0" applyFont="1"/>
    <xf numFmtId="0" fontId="25" fillId="0" borderId="0" xfId="0" applyNumberFormat="1" applyFont="1"/>
    <xf numFmtId="0" fontId="6" fillId="0" borderId="34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/>
    </xf>
    <xf numFmtId="0" fontId="0" fillId="0" borderId="0" xfId="0" applyAlignment="1" applyProtection="1"/>
    <xf numFmtId="0" fontId="4" fillId="0" borderId="0" xfId="0" applyFont="1" applyAlignment="1" applyProtection="1">
      <alignment horizontal="center"/>
    </xf>
    <xf numFmtId="0" fontId="10" fillId="0" borderId="0" xfId="0" applyFont="1" applyAlignment="1" applyProtection="1">
      <alignment horizontal="center"/>
    </xf>
    <xf numFmtId="0" fontId="25" fillId="0" borderId="0" xfId="0" applyFont="1" applyAlignment="1" applyProtection="1"/>
    <xf numFmtId="0" fontId="23" fillId="0" borderId="0" xfId="0" applyFont="1" applyAlignment="1" applyProtection="1">
      <alignment horizontal="center"/>
    </xf>
    <xf numFmtId="0" fontId="24" fillId="0" borderId="0" xfId="0" applyFont="1" applyAlignment="1" applyProtection="1">
      <alignment horizontal="center"/>
    </xf>
    <xf numFmtId="49" fontId="3" fillId="0" borderId="0" xfId="0" applyNumberFormat="1" applyFont="1" applyAlignment="1" applyProtection="1">
      <alignment horizontal="center"/>
      <protection locked="0"/>
    </xf>
    <xf numFmtId="0" fontId="3" fillId="6" borderId="2" xfId="0" applyFont="1" applyFill="1" applyBorder="1" applyAlignment="1" applyProtection="1">
      <alignment horizontal="center"/>
    </xf>
    <xf numFmtId="0" fontId="9" fillId="0" borderId="0" xfId="0" applyFont="1" applyAlignment="1" applyProtection="1"/>
    <xf numFmtId="0" fontId="17" fillId="0" borderId="0" xfId="0" applyFont="1" applyAlignment="1" applyProtection="1">
      <alignment horizontal="center"/>
    </xf>
    <xf numFmtId="0" fontId="17" fillId="0" borderId="45" xfId="0" applyFont="1" applyBorder="1" applyAlignment="1" applyProtection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protection locked="0"/>
    </xf>
    <xf numFmtId="0" fontId="13" fillId="0" borderId="0" xfId="0" applyFont="1" applyAlignment="1" applyProtection="1">
      <alignment horizontal="center"/>
    </xf>
    <xf numFmtId="0" fontId="13" fillId="0" borderId="0" xfId="0" applyFont="1" applyAlignment="1" applyProtection="1"/>
    <xf numFmtId="0" fontId="13" fillId="0" borderId="0" xfId="0" applyFont="1" applyAlignment="1"/>
    <xf numFmtId="0" fontId="0" fillId="0" borderId="0" xfId="0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73840769903771"/>
          <c:y val="0.1578820355788863"/>
          <c:w val="0.5574004811898513"/>
          <c:h val="0.69174358413531645"/>
        </c:manualLayout>
      </c:layout>
      <c:lineChart>
        <c:grouping val="standard"/>
        <c:varyColors val="0"/>
        <c:ser>
          <c:idx val="0"/>
          <c:order val="0"/>
          <c:tx>
            <c:strRef>
              <c:f>Graficas!$C$5</c:f>
              <c:strCache>
                <c:ptCount val="1"/>
                <c:pt idx="0">
                  <c:v>Familia Oct-Dic 07</c:v>
                </c:pt>
              </c:strCache>
            </c:strRef>
          </c:tx>
          <c:marker>
            <c:symbol val="none"/>
          </c:marker>
          <c:val>
            <c:numRef>
              <c:f>Graficas!$C$6:$C$15</c:f>
              <c:numCache>
                <c:formatCode>#,##0</c:formatCode>
                <c:ptCount val="10"/>
                <c:pt idx="0" formatCode="General">
                  <c:v>41780</c:v>
                </c:pt>
                <c:pt idx="1">
                  <c:v>70795.666666666672</c:v>
                </c:pt>
                <c:pt idx="2">
                  <c:v>69549.333333333328</c:v>
                </c:pt>
                <c:pt idx="3">
                  <c:v>45392</c:v>
                </c:pt>
                <c:pt idx="4">
                  <c:v>41406.333333333328</c:v>
                </c:pt>
                <c:pt idx="5">
                  <c:v>26650</c:v>
                </c:pt>
                <c:pt idx="6">
                  <c:v>43979.333333333343</c:v>
                </c:pt>
                <c:pt idx="7">
                  <c:v>42440.666666666672</c:v>
                </c:pt>
                <c:pt idx="8">
                  <c:v>74817.333333333328</c:v>
                </c:pt>
                <c:pt idx="9">
                  <c:v>48047.666666666664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CB-45DC-8973-C2FBE52C970C}"/>
            </c:ext>
          </c:extLst>
        </c:ser>
        <c:ser>
          <c:idx val="1"/>
          <c:order val="1"/>
          <c:tx>
            <c:strRef>
              <c:f>Graficas!$G$5</c:f>
              <c:strCache>
                <c:ptCount val="1"/>
                <c:pt idx="0">
                  <c:v>Familia Ene-Mar 08</c:v>
                </c:pt>
              </c:strCache>
            </c:strRef>
          </c:tx>
          <c:marker>
            <c:symbol val="none"/>
          </c:marker>
          <c:val>
            <c:numRef>
              <c:f>Graficas!$G$6:$G$15</c:f>
              <c:numCache>
                <c:formatCode>#,##0</c:formatCode>
                <c:ptCount val="10"/>
                <c:pt idx="0">
                  <c:v>42161</c:v>
                </c:pt>
                <c:pt idx="1">
                  <c:v>71549.333333333328</c:v>
                </c:pt>
                <c:pt idx="2">
                  <c:v>70585.333333333328</c:v>
                </c:pt>
                <c:pt idx="3">
                  <c:v>46224.666666666672</c:v>
                </c:pt>
                <c:pt idx="4">
                  <c:v>41885.666666666672</c:v>
                </c:pt>
                <c:pt idx="5">
                  <c:v>26694.000000000004</c:v>
                </c:pt>
                <c:pt idx="6">
                  <c:v>44501.999999999993</c:v>
                </c:pt>
                <c:pt idx="7">
                  <c:v>42683</c:v>
                </c:pt>
                <c:pt idx="8">
                  <c:v>75265.333333333343</c:v>
                </c:pt>
                <c:pt idx="9">
                  <c:v>48575.666666666664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CB-45DC-8973-C2FBE52C970C}"/>
            </c:ext>
          </c:extLst>
        </c:ser>
        <c:ser>
          <c:idx val="2"/>
          <c:order val="2"/>
          <c:tx>
            <c:strRef>
              <c:f>Graficas!$C$19</c:f>
              <c:strCache>
                <c:ptCount val="1"/>
                <c:pt idx="0">
                  <c:v>Familia Abr-Jun 08 </c:v>
                </c:pt>
              </c:strCache>
            </c:strRef>
          </c:tx>
          <c:marker>
            <c:symbol val="none"/>
          </c:marker>
          <c:val>
            <c:numRef>
              <c:f>Graficas!$C$20:$C$29</c:f>
              <c:numCache>
                <c:formatCode>#,##0</c:formatCode>
                <c:ptCount val="10"/>
                <c:pt idx="0">
                  <c:v>42897.666666666664</c:v>
                </c:pt>
                <c:pt idx="1">
                  <c:v>72506.666666666672</c:v>
                </c:pt>
                <c:pt idx="2">
                  <c:v>72435.333333333328</c:v>
                </c:pt>
                <c:pt idx="3">
                  <c:v>47432</c:v>
                </c:pt>
                <c:pt idx="4">
                  <c:v>42701.666666666672</c:v>
                </c:pt>
                <c:pt idx="5">
                  <c:v>27074.666666666664</c:v>
                </c:pt>
                <c:pt idx="6">
                  <c:v>45245</c:v>
                </c:pt>
                <c:pt idx="7">
                  <c:v>43259.333333333328</c:v>
                </c:pt>
                <c:pt idx="8">
                  <c:v>76215.333333333343</c:v>
                </c:pt>
                <c:pt idx="9">
                  <c:v>49383.333333333336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CB-45DC-8973-C2FBE52C970C}"/>
            </c:ext>
          </c:extLst>
        </c:ser>
        <c:ser>
          <c:idx val="3"/>
          <c:order val="3"/>
          <c:tx>
            <c:strRef>
              <c:f>Graficas!$G$19</c:f>
              <c:strCache>
                <c:ptCount val="1"/>
                <c:pt idx="0">
                  <c:v>Familia Jul-Sep 08</c:v>
                </c:pt>
              </c:strCache>
            </c:strRef>
          </c:tx>
          <c:marker>
            <c:symbol val="none"/>
          </c:marker>
          <c:val>
            <c:numRef>
              <c:f>Graficas!$G$20:$G$29</c:f>
              <c:numCache>
                <c:formatCode>#,##0</c:formatCode>
                <c:ptCount val="10"/>
                <c:pt idx="0">
                  <c:v>43327</c:v>
                </c:pt>
                <c:pt idx="1">
                  <c:v>73182</c:v>
                </c:pt>
                <c:pt idx="2">
                  <c:v>70495</c:v>
                </c:pt>
                <c:pt idx="3">
                  <c:v>48164</c:v>
                </c:pt>
                <c:pt idx="4">
                  <c:v>43284.333333333336</c:v>
                </c:pt>
                <c:pt idx="5">
                  <c:v>27360.333333333336</c:v>
                </c:pt>
                <c:pt idx="6">
                  <c:v>21896.333333333332</c:v>
                </c:pt>
                <c:pt idx="7">
                  <c:v>43633.333333333336</c:v>
                </c:pt>
                <c:pt idx="8">
                  <c:v>82802.666666666672</c:v>
                </c:pt>
                <c:pt idx="9">
                  <c:v>50253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CB-45DC-8973-C2FBE52C9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648064"/>
        <c:axId val="102649856"/>
      </c:lineChart>
      <c:catAx>
        <c:axId val="102648064"/>
        <c:scaling>
          <c:orientation val="minMax"/>
        </c:scaling>
        <c:delete val="0"/>
        <c:axPos val="b"/>
        <c:majorTickMark val="out"/>
        <c:minorTickMark val="none"/>
        <c:tickLblPos val="nextTo"/>
        <c:crossAx val="102649856"/>
        <c:crosses val="autoZero"/>
        <c:auto val="1"/>
        <c:lblAlgn val="ctr"/>
        <c:lblOffset val="100"/>
        <c:noMultiLvlLbl val="0"/>
      </c:catAx>
      <c:valAx>
        <c:axId val="1026498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26480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33" l="0.70000000000000062" r="0.70000000000000062" t="0.75000000000000133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30796150481189"/>
          <c:y val="0.17177092446777489"/>
          <c:w val="0.50240026246719161"/>
          <c:h val="0.54204469233012753"/>
        </c:manualLayout>
      </c:layout>
      <c:lineChart>
        <c:grouping val="standard"/>
        <c:varyColors val="0"/>
        <c:ser>
          <c:idx val="0"/>
          <c:order val="0"/>
          <c:tx>
            <c:strRef>
              <c:f>Graficas!$D$5</c:f>
              <c:strCache>
                <c:ptCount val="1"/>
                <c:pt idx="0">
                  <c:v>Personas Oct-Dic 07</c:v>
                </c:pt>
              </c:strCache>
            </c:strRef>
          </c:tx>
          <c:marker>
            <c:symbol val="none"/>
          </c:marker>
          <c:cat>
            <c:strRef>
              <c:f>Graficas!$B$6:$B$15</c:f>
              <c:strCache>
                <c:ptCount val="10"/>
                <c:pt idx="0">
                  <c:v>Aguadilla</c:v>
                </c:pt>
                <c:pt idx="1">
                  <c:v>Arecibo</c:v>
                </c:pt>
                <c:pt idx="2">
                  <c:v>Bayamon</c:v>
                </c:pt>
                <c:pt idx="3">
                  <c:v>Caguas</c:v>
                </c:pt>
                <c:pt idx="4">
                  <c:v>Carolina</c:v>
                </c:pt>
                <c:pt idx="5">
                  <c:v>Guayama</c:v>
                </c:pt>
                <c:pt idx="6">
                  <c:v>Humacao</c:v>
                </c:pt>
                <c:pt idx="7">
                  <c:v>Mayaguez</c:v>
                </c:pt>
                <c:pt idx="8">
                  <c:v>Ponce</c:v>
                </c:pt>
                <c:pt idx="9">
                  <c:v>San Juan</c:v>
                </c:pt>
              </c:strCache>
            </c:strRef>
          </c:cat>
          <c:val>
            <c:numRef>
              <c:f>Graficas!$D$6:$D$15</c:f>
              <c:numCache>
                <c:formatCode>#,##0</c:formatCode>
                <c:ptCount val="10"/>
                <c:pt idx="0" formatCode="_(* #,##0_);_(* \(#,##0\);_(* &quot;-&quot;??_);_(@_)">
                  <c:v>90075</c:v>
                </c:pt>
                <c:pt idx="1">
                  <c:v>153115.99999999997</c:v>
                </c:pt>
                <c:pt idx="2">
                  <c:v>152598.33333333334</c:v>
                </c:pt>
                <c:pt idx="3">
                  <c:v>96903.333333333314</c:v>
                </c:pt>
                <c:pt idx="4">
                  <c:v>89926.333333333328</c:v>
                </c:pt>
                <c:pt idx="5">
                  <c:v>56766.333333333336</c:v>
                </c:pt>
                <c:pt idx="6">
                  <c:v>92248.333333333328</c:v>
                </c:pt>
                <c:pt idx="7">
                  <c:v>89681</c:v>
                </c:pt>
                <c:pt idx="8">
                  <c:v>172679</c:v>
                </c:pt>
                <c:pt idx="9">
                  <c:v>102639.66666666666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33-420C-B8F2-5DAC740F036C}"/>
            </c:ext>
          </c:extLst>
        </c:ser>
        <c:ser>
          <c:idx val="1"/>
          <c:order val="1"/>
          <c:tx>
            <c:strRef>
              <c:f>Graficas!$H$5</c:f>
              <c:strCache>
                <c:ptCount val="1"/>
                <c:pt idx="0">
                  <c:v>Personas Ene-Mar 08</c:v>
                </c:pt>
              </c:strCache>
            </c:strRef>
          </c:tx>
          <c:marker>
            <c:symbol val="none"/>
          </c:marker>
          <c:cat>
            <c:strRef>
              <c:f>Graficas!$B$6:$B$15</c:f>
              <c:strCache>
                <c:ptCount val="10"/>
                <c:pt idx="0">
                  <c:v>Aguadilla</c:v>
                </c:pt>
                <c:pt idx="1">
                  <c:v>Arecibo</c:v>
                </c:pt>
                <c:pt idx="2">
                  <c:v>Bayamon</c:v>
                </c:pt>
                <c:pt idx="3">
                  <c:v>Caguas</c:v>
                </c:pt>
                <c:pt idx="4">
                  <c:v>Carolina</c:v>
                </c:pt>
                <c:pt idx="5">
                  <c:v>Guayama</c:v>
                </c:pt>
                <c:pt idx="6">
                  <c:v>Humacao</c:v>
                </c:pt>
                <c:pt idx="7">
                  <c:v>Mayaguez</c:v>
                </c:pt>
                <c:pt idx="8">
                  <c:v>Ponce</c:v>
                </c:pt>
                <c:pt idx="9">
                  <c:v>San Juan</c:v>
                </c:pt>
              </c:strCache>
            </c:strRef>
          </c:cat>
          <c:val>
            <c:numRef>
              <c:f>Graficas!$H$6:$H$15</c:f>
              <c:numCache>
                <c:formatCode>#,##0</c:formatCode>
                <c:ptCount val="10"/>
                <c:pt idx="0">
                  <c:v>90757.666666666672</c:v>
                </c:pt>
                <c:pt idx="1">
                  <c:v>154290</c:v>
                </c:pt>
                <c:pt idx="2">
                  <c:v>154462.33333333337</c:v>
                </c:pt>
                <c:pt idx="3">
                  <c:v>98550</c:v>
                </c:pt>
                <c:pt idx="4">
                  <c:v>90683.666666666672</c:v>
                </c:pt>
                <c:pt idx="5">
                  <c:v>56606.666666666672</c:v>
                </c:pt>
                <c:pt idx="6">
                  <c:v>92981.333333333343</c:v>
                </c:pt>
                <c:pt idx="7">
                  <c:v>89970.666666666657</c:v>
                </c:pt>
                <c:pt idx="8">
                  <c:v>173329.33333333334</c:v>
                </c:pt>
                <c:pt idx="9">
                  <c:v>103160.00000000001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33-420C-B8F2-5DAC740F036C}"/>
            </c:ext>
          </c:extLst>
        </c:ser>
        <c:ser>
          <c:idx val="2"/>
          <c:order val="2"/>
          <c:tx>
            <c:strRef>
              <c:f>Graficas!$D$19</c:f>
              <c:strCache>
                <c:ptCount val="1"/>
                <c:pt idx="0">
                  <c:v>Personas Abr-Jun 08</c:v>
                </c:pt>
              </c:strCache>
            </c:strRef>
          </c:tx>
          <c:marker>
            <c:symbol val="none"/>
          </c:marker>
          <c:cat>
            <c:strRef>
              <c:f>Graficas!$B$6:$B$15</c:f>
              <c:strCache>
                <c:ptCount val="10"/>
                <c:pt idx="0">
                  <c:v>Aguadilla</c:v>
                </c:pt>
                <c:pt idx="1">
                  <c:v>Arecibo</c:v>
                </c:pt>
                <c:pt idx="2">
                  <c:v>Bayamon</c:v>
                </c:pt>
                <c:pt idx="3">
                  <c:v>Caguas</c:v>
                </c:pt>
                <c:pt idx="4">
                  <c:v>Carolina</c:v>
                </c:pt>
                <c:pt idx="5">
                  <c:v>Guayama</c:v>
                </c:pt>
                <c:pt idx="6">
                  <c:v>Humacao</c:v>
                </c:pt>
                <c:pt idx="7">
                  <c:v>Mayaguez</c:v>
                </c:pt>
                <c:pt idx="8">
                  <c:v>Ponce</c:v>
                </c:pt>
                <c:pt idx="9">
                  <c:v>San Juan</c:v>
                </c:pt>
              </c:strCache>
            </c:strRef>
          </c:cat>
          <c:val>
            <c:numRef>
              <c:f>Graficas!$D$20:$D$29</c:f>
              <c:numCache>
                <c:formatCode>#,##0</c:formatCode>
                <c:ptCount val="10"/>
                <c:pt idx="0">
                  <c:v>90664.666666666672</c:v>
                </c:pt>
                <c:pt idx="1">
                  <c:v>155597.33333333334</c:v>
                </c:pt>
                <c:pt idx="2">
                  <c:v>157632.00000000003</c:v>
                </c:pt>
                <c:pt idx="3">
                  <c:v>100643.33333333333</c:v>
                </c:pt>
                <c:pt idx="4">
                  <c:v>92034.000000000015</c:v>
                </c:pt>
                <c:pt idx="5">
                  <c:v>57293.666666666672</c:v>
                </c:pt>
                <c:pt idx="6">
                  <c:v>94261</c:v>
                </c:pt>
                <c:pt idx="7">
                  <c:v>91001.666666666672</c:v>
                </c:pt>
                <c:pt idx="8">
                  <c:v>174779.33333333334</c:v>
                </c:pt>
                <c:pt idx="9">
                  <c:v>104247.66666666667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33-420C-B8F2-5DAC740F036C}"/>
            </c:ext>
          </c:extLst>
        </c:ser>
        <c:ser>
          <c:idx val="3"/>
          <c:order val="3"/>
          <c:tx>
            <c:strRef>
              <c:f>Graficas!$H$19</c:f>
              <c:strCache>
                <c:ptCount val="1"/>
                <c:pt idx="0">
                  <c:v>Personas Jul-Sep 08</c:v>
                </c:pt>
              </c:strCache>
            </c:strRef>
          </c:tx>
          <c:marker>
            <c:symbol val="none"/>
          </c:marker>
          <c:cat>
            <c:strRef>
              <c:f>Graficas!$B$6:$B$15</c:f>
              <c:strCache>
                <c:ptCount val="10"/>
                <c:pt idx="0">
                  <c:v>Aguadilla</c:v>
                </c:pt>
                <c:pt idx="1">
                  <c:v>Arecibo</c:v>
                </c:pt>
                <c:pt idx="2">
                  <c:v>Bayamon</c:v>
                </c:pt>
                <c:pt idx="3">
                  <c:v>Caguas</c:v>
                </c:pt>
                <c:pt idx="4">
                  <c:v>Carolina</c:v>
                </c:pt>
                <c:pt idx="5">
                  <c:v>Guayama</c:v>
                </c:pt>
                <c:pt idx="6">
                  <c:v>Humacao</c:v>
                </c:pt>
                <c:pt idx="7">
                  <c:v>Mayaguez</c:v>
                </c:pt>
                <c:pt idx="8">
                  <c:v>Ponce</c:v>
                </c:pt>
                <c:pt idx="9">
                  <c:v>San Juan</c:v>
                </c:pt>
              </c:strCache>
            </c:strRef>
          </c:cat>
          <c:val>
            <c:numRef>
              <c:f>Graficas!$H$20:$H$29</c:f>
              <c:numCache>
                <c:formatCode>#,##0</c:formatCode>
                <c:ptCount val="10"/>
                <c:pt idx="0">
                  <c:v>92670.333333333343</c:v>
                </c:pt>
                <c:pt idx="1">
                  <c:v>164882.66666666666</c:v>
                </c:pt>
                <c:pt idx="2">
                  <c:v>153786.33333333334</c:v>
                </c:pt>
                <c:pt idx="3">
                  <c:v>101749</c:v>
                </c:pt>
                <c:pt idx="4">
                  <c:v>92923</c:v>
                </c:pt>
                <c:pt idx="5">
                  <c:v>57601.999999999993</c:v>
                </c:pt>
                <c:pt idx="6">
                  <c:v>45433.666666666664</c:v>
                </c:pt>
                <c:pt idx="7">
                  <c:v>91484.333333333328</c:v>
                </c:pt>
                <c:pt idx="8">
                  <c:v>206052.66666666666</c:v>
                </c:pt>
                <c:pt idx="9">
                  <c:v>105326.33333333333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A33-420C-B8F2-5DAC740F0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681216"/>
        <c:axId val="102691200"/>
      </c:lineChart>
      <c:catAx>
        <c:axId val="1026812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2691200"/>
        <c:crosses val="autoZero"/>
        <c:auto val="1"/>
        <c:lblAlgn val="ctr"/>
        <c:lblOffset val="100"/>
        <c:noMultiLvlLbl val="0"/>
      </c:catAx>
      <c:valAx>
        <c:axId val="102691200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1026812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33" l="0.70000000000000062" r="0.70000000000000062" t="0.75000000000000133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40507436570428"/>
          <c:y val="0.17177092446777489"/>
          <c:w val="0.46192825896762973"/>
          <c:h val="0.54204469233012753"/>
        </c:manualLayout>
      </c:layout>
      <c:lineChart>
        <c:grouping val="standard"/>
        <c:varyColors val="0"/>
        <c:ser>
          <c:idx val="0"/>
          <c:order val="0"/>
          <c:tx>
            <c:strRef>
              <c:f>Graficas!$E$5</c:f>
              <c:strCache>
                <c:ptCount val="1"/>
                <c:pt idx="0">
                  <c:v>Beneficios Oct-Dic 07</c:v>
                </c:pt>
              </c:strCache>
            </c:strRef>
          </c:tx>
          <c:marker>
            <c:symbol val="none"/>
          </c:marker>
          <c:cat>
            <c:strRef>
              <c:f>Graficas!$B$6:$B$15</c:f>
              <c:strCache>
                <c:ptCount val="10"/>
                <c:pt idx="0">
                  <c:v>Aguadilla</c:v>
                </c:pt>
                <c:pt idx="1">
                  <c:v>Arecibo</c:v>
                </c:pt>
                <c:pt idx="2">
                  <c:v>Bayamon</c:v>
                </c:pt>
                <c:pt idx="3">
                  <c:v>Caguas</c:v>
                </c:pt>
                <c:pt idx="4">
                  <c:v>Carolina</c:v>
                </c:pt>
                <c:pt idx="5">
                  <c:v>Guayama</c:v>
                </c:pt>
                <c:pt idx="6">
                  <c:v>Humacao</c:v>
                </c:pt>
                <c:pt idx="7">
                  <c:v>Mayaguez</c:v>
                </c:pt>
                <c:pt idx="8">
                  <c:v>Ponce</c:v>
                </c:pt>
                <c:pt idx="9">
                  <c:v>San Juan</c:v>
                </c:pt>
              </c:strCache>
            </c:strRef>
          </c:cat>
          <c:val>
            <c:numRef>
              <c:f>Graficas!$E$6:$E$15</c:f>
              <c:numCache>
                <c:formatCode>#,##0</c:formatCode>
                <c:ptCount val="10"/>
                <c:pt idx="0" formatCode="_(* #,##0_);_(* \(#,##0\);_(* &quot;-&quot;??_);_(@_)">
                  <c:v>30737217</c:v>
                </c:pt>
                <c:pt idx="1">
                  <c:v>52355118</c:v>
                </c:pt>
                <c:pt idx="2">
                  <c:v>51806462</c:v>
                </c:pt>
                <c:pt idx="3">
                  <c:v>33023022</c:v>
                </c:pt>
                <c:pt idx="4">
                  <c:v>30503506</c:v>
                </c:pt>
                <c:pt idx="5">
                  <c:v>19240236</c:v>
                </c:pt>
                <c:pt idx="6">
                  <c:v>31549946</c:v>
                </c:pt>
                <c:pt idx="7">
                  <c:v>30554579</c:v>
                </c:pt>
                <c:pt idx="8">
                  <c:v>58404908</c:v>
                </c:pt>
                <c:pt idx="9">
                  <c:v>35256929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F8-46CA-84A1-1895941DAFBA}"/>
            </c:ext>
          </c:extLst>
        </c:ser>
        <c:ser>
          <c:idx val="1"/>
          <c:order val="1"/>
          <c:tx>
            <c:strRef>
              <c:f>Graficas!$I$5</c:f>
              <c:strCache>
                <c:ptCount val="1"/>
                <c:pt idx="0">
                  <c:v>Beneficios Ene-Mar 08</c:v>
                </c:pt>
              </c:strCache>
            </c:strRef>
          </c:tx>
          <c:marker>
            <c:symbol val="none"/>
          </c:marker>
          <c:cat>
            <c:strRef>
              <c:f>Graficas!$B$6:$B$15</c:f>
              <c:strCache>
                <c:ptCount val="10"/>
                <c:pt idx="0">
                  <c:v>Aguadilla</c:v>
                </c:pt>
                <c:pt idx="1">
                  <c:v>Arecibo</c:v>
                </c:pt>
                <c:pt idx="2">
                  <c:v>Bayamon</c:v>
                </c:pt>
                <c:pt idx="3">
                  <c:v>Caguas</c:v>
                </c:pt>
                <c:pt idx="4">
                  <c:v>Carolina</c:v>
                </c:pt>
                <c:pt idx="5">
                  <c:v>Guayama</c:v>
                </c:pt>
                <c:pt idx="6">
                  <c:v>Humacao</c:v>
                </c:pt>
                <c:pt idx="7">
                  <c:v>Mayaguez</c:v>
                </c:pt>
                <c:pt idx="8">
                  <c:v>Ponce</c:v>
                </c:pt>
                <c:pt idx="9">
                  <c:v>San Juan</c:v>
                </c:pt>
              </c:strCache>
            </c:strRef>
          </c:cat>
          <c:val>
            <c:numRef>
              <c:f>Graficas!$I$6:$I$15</c:f>
              <c:numCache>
                <c:formatCode>#,##0</c:formatCode>
                <c:ptCount val="10"/>
                <c:pt idx="0">
                  <c:v>30868842</c:v>
                </c:pt>
                <c:pt idx="1">
                  <c:v>52575247</c:v>
                </c:pt>
                <c:pt idx="2">
                  <c:v>52226994</c:v>
                </c:pt>
                <c:pt idx="3">
                  <c:v>33385398</c:v>
                </c:pt>
                <c:pt idx="4">
                  <c:v>30639131</c:v>
                </c:pt>
                <c:pt idx="5">
                  <c:v>19130539</c:v>
                </c:pt>
                <c:pt idx="6">
                  <c:v>31692147</c:v>
                </c:pt>
                <c:pt idx="7">
                  <c:v>30534196</c:v>
                </c:pt>
                <c:pt idx="8">
                  <c:v>58418882</c:v>
                </c:pt>
                <c:pt idx="9">
                  <c:v>35328789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F8-46CA-84A1-1895941DAFBA}"/>
            </c:ext>
          </c:extLst>
        </c:ser>
        <c:ser>
          <c:idx val="2"/>
          <c:order val="2"/>
          <c:tx>
            <c:strRef>
              <c:f>Graficas!$E$19</c:f>
              <c:strCache>
                <c:ptCount val="1"/>
                <c:pt idx="0">
                  <c:v>Beneficios Abr-Jun 08</c:v>
                </c:pt>
              </c:strCache>
            </c:strRef>
          </c:tx>
          <c:marker>
            <c:symbol val="none"/>
          </c:marker>
          <c:cat>
            <c:strRef>
              <c:f>Graficas!$B$6:$B$15</c:f>
              <c:strCache>
                <c:ptCount val="10"/>
                <c:pt idx="0">
                  <c:v>Aguadilla</c:v>
                </c:pt>
                <c:pt idx="1">
                  <c:v>Arecibo</c:v>
                </c:pt>
                <c:pt idx="2">
                  <c:v>Bayamon</c:v>
                </c:pt>
                <c:pt idx="3">
                  <c:v>Caguas</c:v>
                </c:pt>
                <c:pt idx="4">
                  <c:v>Carolina</c:v>
                </c:pt>
                <c:pt idx="5">
                  <c:v>Guayama</c:v>
                </c:pt>
                <c:pt idx="6">
                  <c:v>Humacao</c:v>
                </c:pt>
                <c:pt idx="7">
                  <c:v>Mayaguez</c:v>
                </c:pt>
                <c:pt idx="8">
                  <c:v>Ponce</c:v>
                </c:pt>
                <c:pt idx="9">
                  <c:v>San Juan</c:v>
                </c:pt>
              </c:strCache>
            </c:strRef>
          </c:cat>
          <c:val>
            <c:numRef>
              <c:f>Graficas!$E$20:$E$29</c:f>
              <c:numCache>
                <c:formatCode>#,##0</c:formatCode>
                <c:ptCount val="10"/>
                <c:pt idx="0">
                  <c:v>30984786</c:v>
                </c:pt>
                <c:pt idx="1">
                  <c:v>52561332</c:v>
                </c:pt>
                <c:pt idx="2">
                  <c:v>52797667</c:v>
                </c:pt>
                <c:pt idx="3">
                  <c:v>33737580</c:v>
                </c:pt>
                <c:pt idx="4">
                  <c:v>30817856</c:v>
                </c:pt>
                <c:pt idx="5">
                  <c:v>19152749</c:v>
                </c:pt>
                <c:pt idx="6">
                  <c:v>31806955</c:v>
                </c:pt>
                <c:pt idx="7">
                  <c:v>30560267</c:v>
                </c:pt>
                <c:pt idx="8">
                  <c:v>58358787</c:v>
                </c:pt>
                <c:pt idx="9">
                  <c:v>35379681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F8-46CA-84A1-1895941DAFBA}"/>
            </c:ext>
          </c:extLst>
        </c:ser>
        <c:ser>
          <c:idx val="3"/>
          <c:order val="3"/>
          <c:tx>
            <c:strRef>
              <c:f>Graficas!$I$19</c:f>
              <c:strCache>
                <c:ptCount val="1"/>
                <c:pt idx="0">
                  <c:v>Beneficios Jul-Sep 08</c:v>
                </c:pt>
              </c:strCache>
            </c:strRef>
          </c:tx>
          <c:marker>
            <c:symbol val="none"/>
          </c:marker>
          <c:cat>
            <c:strRef>
              <c:f>Graficas!$B$6:$B$15</c:f>
              <c:strCache>
                <c:ptCount val="10"/>
                <c:pt idx="0">
                  <c:v>Aguadilla</c:v>
                </c:pt>
                <c:pt idx="1">
                  <c:v>Arecibo</c:v>
                </c:pt>
                <c:pt idx="2">
                  <c:v>Bayamon</c:v>
                </c:pt>
                <c:pt idx="3">
                  <c:v>Caguas</c:v>
                </c:pt>
                <c:pt idx="4">
                  <c:v>Carolina</c:v>
                </c:pt>
                <c:pt idx="5">
                  <c:v>Guayama</c:v>
                </c:pt>
                <c:pt idx="6">
                  <c:v>Humacao</c:v>
                </c:pt>
                <c:pt idx="7">
                  <c:v>Mayaguez</c:v>
                </c:pt>
                <c:pt idx="8">
                  <c:v>Ponce</c:v>
                </c:pt>
                <c:pt idx="9">
                  <c:v>San Juan</c:v>
                </c:pt>
              </c:strCache>
            </c:strRef>
          </c:cat>
          <c:val>
            <c:numRef>
              <c:f>Graficas!$I$20:$I$29</c:f>
              <c:numCache>
                <c:formatCode>#,##0</c:formatCode>
                <c:ptCount val="10"/>
                <c:pt idx="0">
                  <c:v>33574054</c:v>
                </c:pt>
                <c:pt idx="1">
                  <c:v>56923007</c:v>
                </c:pt>
                <c:pt idx="2">
                  <c:v>54806204</c:v>
                </c:pt>
                <c:pt idx="3">
                  <c:v>36754175</c:v>
                </c:pt>
                <c:pt idx="4">
                  <c:v>33489272</c:v>
                </c:pt>
                <c:pt idx="5">
                  <c:v>20703754</c:v>
                </c:pt>
                <c:pt idx="6">
                  <c:v>16477973</c:v>
                </c:pt>
                <c:pt idx="7">
                  <c:v>33070184</c:v>
                </c:pt>
                <c:pt idx="8">
                  <c:v>68094826</c:v>
                </c:pt>
                <c:pt idx="9">
                  <c:v>37475719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EF8-46CA-84A1-1895941DAF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682240"/>
        <c:axId val="108684032"/>
      </c:lineChart>
      <c:catAx>
        <c:axId val="1086822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8684032"/>
        <c:crosses val="autoZero"/>
        <c:auto val="1"/>
        <c:lblAlgn val="ctr"/>
        <c:lblOffset val="100"/>
        <c:noMultiLvlLbl val="0"/>
      </c:catAx>
      <c:valAx>
        <c:axId val="108684032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1086822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33" l="0.70000000000000062" r="0.70000000000000062" t="0.75000000000000133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39</xdr:row>
      <xdr:rowOff>19050</xdr:rowOff>
    </xdr:from>
    <xdr:to>
      <xdr:col>7</xdr:col>
      <xdr:colOff>295275</xdr:colOff>
      <xdr:row>56</xdr:row>
      <xdr:rowOff>9525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180975</xdr:colOff>
      <xdr:row>39</xdr:row>
      <xdr:rowOff>57150</xdr:rowOff>
    </xdr:from>
    <xdr:to>
      <xdr:col>15</xdr:col>
      <xdr:colOff>485775</xdr:colOff>
      <xdr:row>56</xdr:row>
      <xdr:rowOff>47625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47625</xdr:colOff>
      <xdr:row>58</xdr:row>
      <xdr:rowOff>104775</xdr:rowOff>
    </xdr:from>
    <xdr:to>
      <xdr:col>7</xdr:col>
      <xdr:colOff>238125</xdr:colOff>
      <xdr:row>75</xdr:row>
      <xdr:rowOff>95250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0.02292</cdr:x>
      <cdr:y>0.00347</cdr:y>
    </cdr:from>
    <cdr:to>
      <cdr:x>0.9875</cdr:x>
      <cdr:y>0.10417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4775" y="9525"/>
          <a:ext cx="4410075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100" b="1"/>
            <a:t>Grafica comparativa de familias activas por region en los</a:t>
          </a:r>
          <a:r>
            <a:rPr lang="en-US" sz="1100" b="1" baseline="0"/>
            <a:t> distintos trimestres</a:t>
          </a:r>
          <a:endParaRPr lang="en-US" sz="1100" b="1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0.01458</cdr:x>
      <cdr:y>0.01042</cdr:y>
    </cdr:from>
    <cdr:to>
      <cdr:x>0.98125</cdr:x>
      <cdr:y>0.13889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6675" y="28575"/>
          <a:ext cx="44196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0.01667</cdr:x>
      <cdr:y>0</cdr:y>
    </cdr:from>
    <cdr:to>
      <cdr:x>0.99583</cdr:x>
      <cdr:y>0.13889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6200" y="-9525"/>
          <a:ext cx="4476750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100" b="1"/>
            <a:t>Grafica</a:t>
          </a:r>
          <a:r>
            <a:rPr lang="en-US" sz="1100" b="1" baseline="0"/>
            <a:t> comparativa de personas activas por region en los distintos trimestres</a:t>
          </a:r>
          <a:endParaRPr lang="en-US" sz="1100" b="1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0.025</cdr:x>
      <cdr:y>0.01389</cdr:y>
    </cdr:from>
    <cdr:to>
      <cdr:x>0.98542</cdr:x>
      <cdr:y>0.16319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14300" y="38100"/>
          <a:ext cx="4391025" cy="409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100" b="1"/>
            <a:t>Comparación</a:t>
          </a:r>
          <a:r>
            <a:rPr lang="en-US" sz="1100" b="1" baseline="0"/>
            <a:t> de los beneficios otorgados por region en los distintos trimestres</a:t>
          </a:r>
          <a:endParaRPr lang="en-US" sz="1100" b="1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7"/>
  <sheetViews>
    <sheetView tabSelected="1" zoomScale="106" zoomScaleNormal="106" workbookViewId="0">
      <pane ySplit="6" topLeftCell="A7" activePane="bottomLeft" state="frozen"/>
      <selection pane="bottomLeft" activeCell="I9" sqref="I9"/>
    </sheetView>
  </sheetViews>
  <sheetFormatPr defaultRowHeight="18.75" x14ac:dyDescent="0.3"/>
  <cols>
    <col min="1" max="1" width="23.42578125" style="56" customWidth="1"/>
    <col min="2" max="5" width="15.7109375" style="18" customWidth="1"/>
    <col min="6" max="14" width="9.140625" style="18"/>
    <col min="15" max="16384" width="9.140625" style="1"/>
  </cols>
  <sheetData>
    <row r="1" spans="1:5" x14ac:dyDescent="0.3">
      <c r="A1" s="356" t="s">
        <v>10</v>
      </c>
      <c r="B1" s="356"/>
      <c r="C1" s="356"/>
      <c r="D1" s="356"/>
      <c r="E1" s="356"/>
    </row>
    <row r="2" spans="1:5" x14ac:dyDescent="0.3">
      <c r="A2" s="356" t="s">
        <v>71</v>
      </c>
      <c r="B2" s="356"/>
      <c r="C2" s="356"/>
      <c r="D2" s="356"/>
      <c r="E2" s="356"/>
    </row>
    <row r="3" spans="1:5" x14ac:dyDescent="0.3">
      <c r="A3" s="357" t="s">
        <v>112</v>
      </c>
      <c r="B3" s="357"/>
      <c r="C3" s="357"/>
      <c r="D3" s="357"/>
      <c r="E3" s="357"/>
    </row>
    <row r="4" spans="1:5" x14ac:dyDescent="0.3">
      <c r="A4" s="356" t="s">
        <v>140</v>
      </c>
      <c r="B4" s="356"/>
      <c r="C4" s="356"/>
      <c r="D4" s="356"/>
      <c r="E4" s="356"/>
    </row>
    <row r="5" spans="1:5" ht="19.5" thickBot="1" x14ac:dyDescent="0.35">
      <c r="A5" s="354"/>
      <c r="B5" s="355"/>
      <c r="C5" s="355"/>
      <c r="D5" s="355"/>
      <c r="E5" s="355"/>
    </row>
    <row r="6" spans="1:5" ht="57" thickBot="1" x14ac:dyDescent="0.35">
      <c r="A6" s="191"/>
      <c r="B6" s="136" t="s">
        <v>75</v>
      </c>
      <c r="C6" s="136" t="s">
        <v>76</v>
      </c>
      <c r="D6" s="136" t="s">
        <v>77</v>
      </c>
      <c r="E6" s="136" t="s">
        <v>78</v>
      </c>
    </row>
    <row r="7" spans="1:5" ht="21.75" customHeight="1" thickBot="1" x14ac:dyDescent="0.35">
      <c r="A7" s="135" t="s">
        <v>0</v>
      </c>
      <c r="B7" s="137"/>
      <c r="C7" s="137"/>
      <c r="D7" s="137"/>
      <c r="E7" s="138"/>
    </row>
    <row r="8" spans="1:5" x14ac:dyDescent="0.3">
      <c r="A8" s="151" t="s">
        <v>11</v>
      </c>
      <c r="B8" s="152">
        <v>5650</v>
      </c>
      <c r="C8" s="153">
        <v>13078</v>
      </c>
      <c r="D8" s="154">
        <v>1360405</v>
      </c>
      <c r="E8" s="155">
        <f>D8/B8</f>
        <v>240.77964601769912</v>
      </c>
    </row>
    <row r="9" spans="1:5" x14ac:dyDescent="0.3">
      <c r="A9" s="156" t="s">
        <v>124</v>
      </c>
      <c r="B9" s="157">
        <v>9617</v>
      </c>
      <c r="C9" s="158">
        <v>20037</v>
      </c>
      <c r="D9" s="157">
        <v>2142020</v>
      </c>
      <c r="E9" s="155">
        <f t="shared" ref="E9:E14" si="0">D9/B9</f>
        <v>222.73266091296662</v>
      </c>
    </row>
    <row r="10" spans="1:5" x14ac:dyDescent="0.3">
      <c r="A10" s="156" t="s">
        <v>12</v>
      </c>
      <c r="B10" s="157">
        <v>6677</v>
      </c>
      <c r="C10" s="158">
        <v>14106</v>
      </c>
      <c r="D10" s="157">
        <v>1487479</v>
      </c>
      <c r="E10" s="155">
        <f t="shared" si="0"/>
        <v>222.77654635315261</v>
      </c>
    </row>
    <row r="11" spans="1:5" x14ac:dyDescent="0.3">
      <c r="A11" s="156" t="s">
        <v>13</v>
      </c>
      <c r="B11" s="157">
        <v>1697</v>
      </c>
      <c r="C11" s="158">
        <v>3769</v>
      </c>
      <c r="D11" s="157">
        <v>401298</v>
      </c>
      <c r="E11" s="155">
        <f t="shared" si="0"/>
        <v>236.47495580436063</v>
      </c>
    </row>
    <row r="12" spans="1:5" x14ac:dyDescent="0.3">
      <c r="A12" s="156" t="s">
        <v>14</v>
      </c>
      <c r="B12" s="157">
        <v>6924</v>
      </c>
      <c r="C12" s="158">
        <v>15935</v>
      </c>
      <c r="D12" s="157">
        <v>1682195</v>
      </c>
      <c r="E12" s="155">
        <f t="shared" si="0"/>
        <v>242.95132871172731</v>
      </c>
    </row>
    <row r="13" spans="1:5" x14ac:dyDescent="0.3">
      <c r="A13" s="156" t="s">
        <v>15</v>
      </c>
      <c r="B13" s="157">
        <v>2409</v>
      </c>
      <c r="C13" s="158">
        <v>4870</v>
      </c>
      <c r="D13" s="157">
        <v>518407</v>
      </c>
      <c r="E13" s="155">
        <f t="shared" si="0"/>
        <v>215.19593192195933</v>
      </c>
    </row>
    <row r="14" spans="1:5" ht="19.5" thickBot="1" x14ac:dyDescent="0.35">
      <c r="A14" s="160" t="s">
        <v>72</v>
      </c>
      <c r="B14" s="161">
        <v>8614</v>
      </c>
      <c r="C14" s="162">
        <v>17877</v>
      </c>
      <c r="D14" s="163">
        <v>1908208</v>
      </c>
      <c r="E14" s="155">
        <f t="shared" si="0"/>
        <v>221.52403064778267</v>
      </c>
    </row>
    <row r="15" spans="1:5" ht="19.5" thickBot="1" x14ac:dyDescent="0.35">
      <c r="A15" s="135" t="s">
        <v>85</v>
      </c>
      <c r="B15" s="139">
        <v>41588</v>
      </c>
      <c r="C15" s="139">
        <v>89672</v>
      </c>
      <c r="D15" s="139">
        <v>9500012</v>
      </c>
      <c r="E15" s="139">
        <f>D15/B15</f>
        <v>228.43156679811483</v>
      </c>
    </row>
    <row r="16" spans="1:5" ht="19.5" thickBot="1" x14ac:dyDescent="0.35">
      <c r="A16" s="144"/>
      <c r="B16" s="145"/>
      <c r="C16" s="145"/>
      <c r="D16" s="145"/>
      <c r="E16" s="145"/>
    </row>
    <row r="17" spans="1:14" ht="19.5" thickBot="1" x14ac:dyDescent="0.35">
      <c r="A17" s="140" t="s">
        <v>1</v>
      </c>
      <c r="B17" s="139"/>
      <c r="C17" s="139"/>
      <c r="D17" s="139"/>
      <c r="E17" s="139"/>
    </row>
    <row r="18" spans="1:14" s="2" customFormat="1" x14ac:dyDescent="0.3">
      <c r="A18" s="165" t="s">
        <v>125</v>
      </c>
      <c r="B18" s="166">
        <v>16834</v>
      </c>
      <c r="C18" s="167">
        <v>34048</v>
      </c>
      <c r="D18" s="168">
        <v>3665000</v>
      </c>
      <c r="E18" s="159">
        <f>D18/B18</f>
        <v>217.71414993465606</v>
      </c>
      <c r="F18" s="42"/>
      <c r="G18" s="42"/>
      <c r="H18" s="42"/>
      <c r="I18" s="42"/>
      <c r="J18" s="42"/>
      <c r="K18" s="42"/>
      <c r="L18" s="42"/>
      <c r="M18" s="42"/>
      <c r="N18" s="42"/>
    </row>
    <row r="19" spans="1:14" x14ac:dyDescent="0.3">
      <c r="A19" s="169" t="s">
        <v>16</v>
      </c>
      <c r="B19" s="170">
        <v>4696</v>
      </c>
      <c r="C19" s="170">
        <v>9880</v>
      </c>
      <c r="D19" s="170">
        <v>1055320</v>
      </c>
      <c r="E19" s="159">
        <f t="shared" ref="E19:E28" si="1">D19/B19</f>
        <v>224.72742759795571</v>
      </c>
    </row>
    <row r="20" spans="1:14" x14ac:dyDescent="0.3">
      <c r="A20" s="156" t="s">
        <v>17</v>
      </c>
      <c r="B20" s="170">
        <v>6003</v>
      </c>
      <c r="C20" s="171">
        <v>12784</v>
      </c>
      <c r="D20" s="170">
        <v>1346853</v>
      </c>
      <c r="E20" s="159">
        <f t="shared" si="1"/>
        <v>224.36331834082958</v>
      </c>
    </row>
    <row r="21" spans="1:14" x14ac:dyDescent="0.3">
      <c r="A21" s="156" t="s">
        <v>18</v>
      </c>
      <c r="B21" s="170">
        <v>3832</v>
      </c>
      <c r="C21" s="171">
        <v>8607</v>
      </c>
      <c r="D21" s="170">
        <v>906459</v>
      </c>
      <c r="E21" s="159">
        <f t="shared" si="1"/>
        <v>236.54984342379959</v>
      </c>
    </row>
    <row r="22" spans="1:14" x14ac:dyDescent="0.3">
      <c r="A22" s="156" t="s">
        <v>19</v>
      </c>
      <c r="B22" s="170">
        <v>2490</v>
      </c>
      <c r="C22" s="171">
        <v>5533</v>
      </c>
      <c r="D22" s="170">
        <v>583326</v>
      </c>
      <c r="E22" s="159">
        <f t="shared" si="1"/>
        <v>234.26746987951807</v>
      </c>
    </row>
    <row r="23" spans="1:14" x14ac:dyDescent="0.3">
      <c r="A23" s="156" t="s">
        <v>20</v>
      </c>
      <c r="B23" s="170">
        <v>6744</v>
      </c>
      <c r="C23" s="171">
        <v>14500</v>
      </c>
      <c r="D23" s="170">
        <v>1535231</v>
      </c>
      <c r="E23" s="159">
        <f t="shared" si="1"/>
        <v>227.64397983392647</v>
      </c>
    </row>
    <row r="24" spans="1:14" x14ac:dyDescent="0.3">
      <c r="A24" s="156" t="s">
        <v>21</v>
      </c>
      <c r="B24" s="170">
        <v>6110</v>
      </c>
      <c r="C24" s="171">
        <v>13888</v>
      </c>
      <c r="D24" s="170">
        <v>1473093</v>
      </c>
      <c r="E24" s="159">
        <f t="shared" si="1"/>
        <v>241.09541734860883</v>
      </c>
    </row>
    <row r="25" spans="1:14" x14ac:dyDescent="0.3">
      <c r="A25" s="156" t="s">
        <v>69</v>
      </c>
      <c r="B25" s="170">
        <v>7861</v>
      </c>
      <c r="C25" s="171">
        <v>16327</v>
      </c>
      <c r="D25" s="170">
        <v>1745288</v>
      </c>
      <c r="E25" s="159">
        <f t="shared" si="1"/>
        <v>222.01857270067421</v>
      </c>
    </row>
    <row r="26" spans="1:14" x14ac:dyDescent="0.3">
      <c r="A26" s="156" t="s">
        <v>22</v>
      </c>
      <c r="B26" s="170">
        <v>5010</v>
      </c>
      <c r="C26" s="171">
        <v>12172</v>
      </c>
      <c r="D26" s="170">
        <v>1266524</v>
      </c>
      <c r="E26" s="159">
        <f t="shared" si="1"/>
        <v>252.7992015968064</v>
      </c>
    </row>
    <row r="27" spans="1:14" x14ac:dyDescent="0.3">
      <c r="A27" s="156" t="s">
        <v>23</v>
      </c>
      <c r="B27" s="170">
        <v>4389</v>
      </c>
      <c r="C27" s="171">
        <v>9818</v>
      </c>
      <c r="D27" s="170">
        <v>1025271</v>
      </c>
      <c r="E27" s="159">
        <f t="shared" si="1"/>
        <v>233.60013670539988</v>
      </c>
    </row>
    <row r="28" spans="1:14" ht="19.5" thickBot="1" x14ac:dyDescent="0.35">
      <c r="A28" s="172" t="s">
        <v>87</v>
      </c>
      <c r="B28" s="173">
        <v>6346</v>
      </c>
      <c r="C28" s="174">
        <v>14526</v>
      </c>
      <c r="D28" s="175">
        <v>1539323</v>
      </c>
      <c r="E28" s="159">
        <f t="shared" si="1"/>
        <v>242.56586826347305</v>
      </c>
    </row>
    <row r="29" spans="1:14" ht="19.5" thickBot="1" x14ac:dyDescent="0.35">
      <c r="A29" s="135" t="s">
        <v>88</v>
      </c>
      <c r="B29" s="142">
        <v>70315</v>
      </c>
      <c r="C29" s="141">
        <v>152083</v>
      </c>
      <c r="D29" s="142">
        <v>16141688</v>
      </c>
      <c r="E29" s="139">
        <f>D29/B29</f>
        <v>229.56251155514471</v>
      </c>
    </row>
    <row r="30" spans="1:14" ht="19.5" thickBot="1" x14ac:dyDescent="0.35">
      <c r="A30" s="144"/>
      <c r="B30" s="146"/>
      <c r="C30" s="146"/>
      <c r="D30" s="146"/>
      <c r="E30" s="145"/>
    </row>
    <row r="31" spans="1:14" ht="19.5" thickBot="1" x14ac:dyDescent="0.35">
      <c r="A31" s="135" t="s">
        <v>2</v>
      </c>
      <c r="B31" s="142"/>
      <c r="C31" s="142"/>
      <c r="D31" s="142"/>
      <c r="E31" s="142"/>
    </row>
    <row r="32" spans="1:14" x14ac:dyDescent="0.3">
      <c r="A32" s="151" t="s">
        <v>24</v>
      </c>
      <c r="B32" s="180">
        <v>19616</v>
      </c>
      <c r="C32" s="181">
        <v>41823</v>
      </c>
      <c r="D32" s="182">
        <v>4433003</v>
      </c>
      <c r="E32" s="159">
        <f>D32/B32</f>
        <v>225.98914151712887</v>
      </c>
    </row>
    <row r="33" spans="1:5" x14ac:dyDescent="0.3">
      <c r="A33" s="156" t="s">
        <v>25</v>
      </c>
      <c r="B33" s="170">
        <v>3693</v>
      </c>
      <c r="C33" s="171">
        <v>8277</v>
      </c>
      <c r="D33" s="170">
        <v>877062</v>
      </c>
      <c r="E33" s="159">
        <f t="shared" ref="E33:E40" si="2">D33/B33</f>
        <v>237.49309504467911</v>
      </c>
    </row>
    <row r="34" spans="1:5" x14ac:dyDescent="0.3">
      <c r="A34" s="156" t="s">
        <v>26</v>
      </c>
      <c r="B34" s="170">
        <v>6161</v>
      </c>
      <c r="C34" s="171">
        <v>14059</v>
      </c>
      <c r="D34" s="170">
        <v>1468564</v>
      </c>
      <c r="E34" s="159">
        <f t="shared" si="2"/>
        <v>238.36455120921929</v>
      </c>
    </row>
    <row r="35" spans="1:5" x14ac:dyDescent="0.3">
      <c r="A35" s="156" t="s">
        <v>27</v>
      </c>
      <c r="B35" s="170">
        <v>3831</v>
      </c>
      <c r="C35" s="171">
        <v>8345</v>
      </c>
      <c r="D35" s="170">
        <v>876884</v>
      </c>
      <c r="E35" s="159">
        <f t="shared" si="2"/>
        <v>228.89167319237797</v>
      </c>
    </row>
    <row r="36" spans="1:5" x14ac:dyDescent="0.3">
      <c r="A36" s="156" t="s">
        <v>28</v>
      </c>
      <c r="B36" s="170">
        <v>4613</v>
      </c>
      <c r="C36" s="171">
        <v>10124</v>
      </c>
      <c r="D36" s="170">
        <v>1050418</v>
      </c>
      <c r="E36" s="159">
        <f t="shared" si="2"/>
        <v>227.7082159115543</v>
      </c>
    </row>
    <row r="37" spans="1:5" x14ac:dyDescent="0.3">
      <c r="A37" s="156" t="s">
        <v>29</v>
      </c>
      <c r="B37" s="170">
        <v>7358</v>
      </c>
      <c r="C37" s="171">
        <v>16873</v>
      </c>
      <c r="D37" s="170">
        <v>1764457</v>
      </c>
      <c r="E37" s="159">
        <f t="shared" si="2"/>
        <v>239.80116879586845</v>
      </c>
    </row>
    <row r="38" spans="1:5" x14ac:dyDescent="0.3">
      <c r="A38" s="156" t="s">
        <v>89</v>
      </c>
      <c r="B38" s="170">
        <v>8891</v>
      </c>
      <c r="C38" s="171">
        <v>19619</v>
      </c>
      <c r="D38" s="170">
        <v>2061470</v>
      </c>
      <c r="E38" s="159">
        <f t="shared" si="2"/>
        <v>231.86030817680802</v>
      </c>
    </row>
    <row r="39" spans="1:5" x14ac:dyDescent="0.3">
      <c r="A39" s="156" t="s">
        <v>30</v>
      </c>
      <c r="B39" s="170">
        <v>5330</v>
      </c>
      <c r="C39" s="171">
        <v>11984</v>
      </c>
      <c r="D39" s="170">
        <v>1262819</v>
      </c>
      <c r="E39" s="159">
        <f t="shared" si="2"/>
        <v>236.9266416510319</v>
      </c>
    </row>
    <row r="40" spans="1:5" ht="19.5" thickBot="1" x14ac:dyDescent="0.35">
      <c r="A40" s="172" t="s">
        <v>90</v>
      </c>
      <c r="B40" s="173">
        <v>9537</v>
      </c>
      <c r="C40" s="174">
        <v>20366</v>
      </c>
      <c r="D40" s="175">
        <v>2168596</v>
      </c>
      <c r="E40" s="159">
        <f t="shared" si="2"/>
        <v>227.38764810737129</v>
      </c>
    </row>
    <row r="41" spans="1:5" ht="19.5" thickBot="1" x14ac:dyDescent="0.35">
      <c r="A41" s="135" t="s">
        <v>91</v>
      </c>
      <c r="B41" s="142">
        <v>69030</v>
      </c>
      <c r="C41" s="142">
        <v>151470</v>
      </c>
      <c r="D41" s="142">
        <v>15963273</v>
      </c>
      <c r="E41" s="139">
        <f>D41/B41</f>
        <v>231.25123859191655</v>
      </c>
    </row>
    <row r="42" spans="1:5" ht="19.5" thickBot="1" x14ac:dyDescent="0.35">
      <c r="A42" s="147"/>
      <c r="B42" s="148"/>
      <c r="C42" s="148"/>
      <c r="D42" s="148"/>
      <c r="E42" s="149"/>
    </row>
    <row r="43" spans="1:5" ht="19.5" thickBot="1" x14ac:dyDescent="0.35">
      <c r="A43" s="135" t="s">
        <v>3</v>
      </c>
      <c r="B43" s="142"/>
      <c r="C43" s="142"/>
      <c r="D43" s="142"/>
      <c r="E43" s="142"/>
    </row>
    <row r="44" spans="1:5" x14ac:dyDescent="0.3">
      <c r="A44" s="151" t="s">
        <v>31</v>
      </c>
      <c r="B44" s="180">
        <v>3492</v>
      </c>
      <c r="C44" s="181">
        <v>7425</v>
      </c>
      <c r="D44" s="182">
        <v>799722</v>
      </c>
      <c r="E44" s="159">
        <f>D44/B44</f>
        <v>229.01546391752578</v>
      </c>
    </row>
    <row r="45" spans="1:5" x14ac:dyDescent="0.3">
      <c r="A45" s="156" t="s">
        <v>32</v>
      </c>
      <c r="B45" s="170">
        <v>6592</v>
      </c>
      <c r="C45" s="171">
        <v>15671</v>
      </c>
      <c r="D45" s="170">
        <v>1640777</v>
      </c>
      <c r="E45" s="159">
        <f t="shared" ref="E45:E50" si="3">D45/B45</f>
        <v>248.90427791262135</v>
      </c>
    </row>
    <row r="46" spans="1:5" x14ac:dyDescent="0.3">
      <c r="A46" s="156" t="s">
        <v>92</v>
      </c>
      <c r="B46" s="170">
        <v>15679</v>
      </c>
      <c r="C46" s="171">
        <v>32347</v>
      </c>
      <c r="D46" s="170">
        <v>3419131</v>
      </c>
      <c r="E46" s="159">
        <f t="shared" si="3"/>
        <v>218.07073155175712</v>
      </c>
    </row>
    <row r="47" spans="1:5" x14ac:dyDescent="0.3">
      <c r="A47" s="156" t="s">
        <v>33</v>
      </c>
      <c r="B47" s="170">
        <v>5053</v>
      </c>
      <c r="C47" s="171">
        <v>11205</v>
      </c>
      <c r="D47" s="170">
        <v>1183688</v>
      </c>
      <c r="E47" s="159">
        <f t="shared" si="3"/>
        <v>234.25450227587572</v>
      </c>
    </row>
    <row r="48" spans="1:5" x14ac:dyDescent="0.3">
      <c r="A48" s="156" t="s">
        <v>34</v>
      </c>
      <c r="B48" s="170">
        <v>4187</v>
      </c>
      <c r="C48" s="171">
        <v>8864</v>
      </c>
      <c r="D48" s="170">
        <v>946373</v>
      </c>
      <c r="E48" s="159">
        <f t="shared" si="3"/>
        <v>226.0265106281347</v>
      </c>
    </row>
    <row r="49" spans="1:5" x14ac:dyDescent="0.3">
      <c r="A49" s="156" t="s">
        <v>35</v>
      </c>
      <c r="B49" s="170">
        <v>3907</v>
      </c>
      <c r="C49" s="171">
        <v>7902</v>
      </c>
      <c r="D49" s="170">
        <v>839914</v>
      </c>
      <c r="E49" s="159">
        <f t="shared" si="3"/>
        <v>214.97670847197338</v>
      </c>
    </row>
    <row r="50" spans="1:5" ht="19.5" thickBot="1" x14ac:dyDescent="0.35">
      <c r="A50" s="156" t="s">
        <v>36</v>
      </c>
      <c r="B50" s="173">
        <v>5906</v>
      </c>
      <c r="C50" s="171">
        <v>12237</v>
      </c>
      <c r="D50" s="170">
        <v>1295634</v>
      </c>
      <c r="E50" s="159">
        <f t="shared" si="3"/>
        <v>219.37588892651542</v>
      </c>
    </row>
    <row r="51" spans="1:5" ht="19.5" thickBot="1" x14ac:dyDescent="0.35">
      <c r="A51" s="135" t="s">
        <v>91</v>
      </c>
      <c r="B51" s="141">
        <v>44816</v>
      </c>
      <c r="C51" s="141">
        <v>95651</v>
      </c>
      <c r="D51" s="141">
        <v>10125239</v>
      </c>
      <c r="E51" s="179">
        <f>D51/B51</f>
        <v>225.92911013923597</v>
      </c>
    </row>
    <row r="52" spans="1:5" ht="19.5" thickBot="1" x14ac:dyDescent="0.35">
      <c r="A52" s="147"/>
      <c r="B52" s="148"/>
      <c r="C52" s="148"/>
      <c r="D52" s="148"/>
      <c r="E52" s="149"/>
    </row>
    <row r="53" spans="1:5" ht="19.5" thickBot="1" x14ac:dyDescent="0.35">
      <c r="A53" s="135" t="s">
        <v>4</v>
      </c>
      <c r="B53" s="142"/>
      <c r="C53" s="142"/>
      <c r="D53" s="142"/>
      <c r="E53" s="142"/>
    </row>
    <row r="54" spans="1:5" x14ac:dyDescent="0.3">
      <c r="A54" s="151" t="s">
        <v>37</v>
      </c>
      <c r="B54" s="180">
        <v>6327</v>
      </c>
      <c r="C54" s="181">
        <v>13962</v>
      </c>
      <c r="D54" s="182">
        <v>1460674</v>
      </c>
      <c r="E54" s="159">
        <f t="shared" ref="E54:E60" si="4">D54/B54</f>
        <v>230.86360044254781</v>
      </c>
    </row>
    <row r="55" spans="1:5" x14ac:dyDescent="0.3">
      <c r="A55" s="156" t="s">
        <v>93</v>
      </c>
      <c r="B55" s="170">
        <v>13984</v>
      </c>
      <c r="C55" s="171">
        <v>29708</v>
      </c>
      <c r="D55" s="170">
        <v>3131213</v>
      </c>
      <c r="E55" s="159">
        <f t="shared" si="4"/>
        <v>223.91397311212813</v>
      </c>
    </row>
    <row r="56" spans="1:5" x14ac:dyDescent="0.3">
      <c r="A56" s="156" t="s">
        <v>94</v>
      </c>
      <c r="B56" s="170">
        <v>4184</v>
      </c>
      <c r="C56" s="171">
        <v>9886</v>
      </c>
      <c r="D56" s="170">
        <v>1041618</v>
      </c>
      <c r="E56" s="159">
        <f t="shared" si="4"/>
        <v>248.95267686424475</v>
      </c>
    </row>
    <row r="57" spans="1:5" x14ac:dyDescent="0.3">
      <c r="A57" s="156" t="s">
        <v>38</v>
      </c>
      <c r="B57" s="170">
        <v>2928</v>
      </c>
      <c r="C57" s="171">
        <v>6333</v>
      </c>
      <c r="D57" s="170">
        <v>667762</v>
      </c>
      <c r="E57" s="159">
        <f t="shared" si="4"/>
        <v>228.06079234972677</v>
      </c>
    </row>
    <row r="58" spans="1:5" x14ac:dyDescent="0.3">
      <c r="A58" s="156" t="s">
        <v>95</v>
      </c>
      <c r="B58" s="170">
        <v>7285</v>
      </c>
      <c r="C58" s="171">
        <v>15817</v>
      </c>
      <c r="D58" s="170">
        <v>1659571</v>
      </c>
      <c r="E58" s="159">
        <f t="shared" si="4"/>
        <v>227.80658888126288</v>
      </c>
    </row>
    <row r="59" spans="1:5" ht="19.5" thickBot="1" x14ac:dyDescent="0.35">
      <c r="A59" s="156" t="s">
        <v>121</v>
      </c>
      <c r="B59" s="173">
        <v>6328</v>
      </c>
      <c r="C59" s="171">
        <v>13325</v>
      </c>
      <c r="D59" s="170">
        <v>1413729</v>
      </c>
      <c r="E59" s="159">
        <f t="shared" si="4"/>
        <v>223.40850189633375</v>
      </c>
    </row>
    <row r="60" spans="1:5" ht="19.5" thickBot="1" x14ac:dyDescent="0.35">
      <c r="A60" s="135" t="s">
        <v>91</v>
      </c>
      <c r="B60" s="142">
        <v>41036</v>
      </c>
      <c r="C60" s="142">
        <v>89031</v>
      </c>
      <c r="D60" s="142">
        <v>9374567</v>
      </c>
      <c r="E60" s="139">
        <f t="shared" si="4"/>
        <v>228.44738765961594</v>
      </c>
    </row>
    <row r="61" spans="1:5" ht="19.5" thickBot="1" x14ac:dyDescent="0.35">
      <c r="A61" s="147"/>
      <c r="B61" s="148"/>
      <c r="C61" s="148"/>
      <c r="D61" s="148"/>
      <c r="E61" s="149"/>
    </row>
    <row r="62" spans="1:5" ht="19.5" thickBot="1" x14ac:dyDescent="0.35">
      <c r="A62" s="135" t="s">
        <v>5</v>
      </c>
      <c r="B62" s="142"/>
      <c r="C62" s="142"/>
      <c r="D62" s="142"/>
      <c r="E62" s="142"/>
    </row>
    <row r="63" spans="1:5" x14ac:dyDescent="0.3">
      <c r="A63" s="151" t="s">
        <v>39</v>
      </c>
      <c r="B63" s="180">
        <v>3333</v>
      </c>
      <c r="C63" s="181">
        <v>7314</v>
      </c>
      <c r="D63" s="182">
        <v>770167</v>
      </c>
      <c r="E63" s="159">
        <f t="shared" ref="E63:E69" si="5">D63/B63</f>
        <v>231.07320732073208</v>
      </c>
    </row>
    <row r="64" spans="1:5" x14ac:dyDescent="0.3">
      <c r="A64" s="156" t="s">
        <v>40</v>
      </c>
      <c r="B64" s="170">
        <v>5313</v>
      </c>
      <c r="C64" s="171">
        <v>10507</v>
      </c>
      <c r="D64" s="170">
        <v>1102203</v>
      </c>
      <c r="E64" s="159">
        <f t="shared" si="5"/>
        <v>207.45398080180689</v>
      </c>
    </row>
    <row r="65" spans="1:5" x14ac:dyDescent="0.3">
      <c r="A65" s="156" t="s">
        <v>5</v>
      </c>
      <c r="B65" s="170">
        <v>6334</v>
      </c>
      <c r="C65" s="171">
        <v>13592</v>
      </c>
      <c r="D65" s="170">
        <v>1437775</v>
      </c>
      <c r="E65" s="159">
        <f t="shared" si="5"/>
        <v>226.99321124092202</v>
      </c>
    </row>
    <row r="66" spans="1:5" x14ac:dyDescent="0.3">
      <c r="A66" s="156" t="s">
        <v>41</v>
      </c>
      <c r="B66" s="170">
        <v>3405</v>
      </c>
      <c r="C66" s="171">
        <v>7286</v>
      </c>
      <c r="D66" s="170">
        <v>769436</v>
      </c>
      <c r="E66" s="159">
        <f t="shared" si="5"/>
        <v>225.97239353891337</v>
      </c>
    </row>
    <row r="67" spans="1:5" x14ac:dyDescent="0.3">
      <c r="A67" s="156" t="s">
        <v>42</v>
      </c>
      <c r="B67" s="170">
        <v>4877</v>
      </c>
      <c r="C67" s="171">
        <v>10422</v>
      </c>
      <c r="D67" s="170">
        <v>1104693</v>
      </c>
      <c r="E67" s="159">
        <f t="shared" si="5"/>
        <v>226.51076481443511</v>
      </c>
    </row>
    <row r="68" spans="1:5" ht="19.5" thickBot="1" x14ac:dyDescent="0.35">
      <c r="A68" s="160" t="s">
        <v>43</v>
      </c>
      <c r="B68" s="173">
        <v>3268</v>
      </c>
      <c r="C68" s="184">
        <v>7452</v>
      </c>
      <c r="D68" s="173">
        <v>773407</v>
      </c>
      <c r="E68" s="159">
        <f t="shared" si="5"/>
        <v>236.66064871481029</v>
      </c>
    </row>
    <row r="69" spans="1:5" ht="19.5" thickBot="1" x14ac:dyDescent="0.35">
      <c r="A69" s="135" t="s">
        <v>91</v>
      </c>
      <c r="B69" s="142">
        <v>26530</v>
      </c>
      <c r="C69" s="142">
        <v>56573</v>
      </c>
      <c r="D69" s="142">
        <v>5957681</v>
      </c>
      <c r="E69" s="139">
        <f t="shared" si="5"/>
        <v>224.56392762909914</v>
      </c>
    </row>
    <row r="70" spans="1:5" ht="19.5" thickBot="1" x14ac:dyDescent="0.35">
      <c r="A70" s="147"/>
      <c r="B70" s="148"/>
      <c r="C70" s="148"/>
      <c r="D70" s="148"/>
      <c r="E70" s="149"/>
    </row>
    <row r="71" spans="1:5" ht="19.5" thickBot="1" x14ac:dyDescent="0.35">
      <c r="A71" s="135" t="s">
        <v>6</v>
      </c>
      <c r="B71" s="142"/>
      <c r="C71" s="142"/>
      <c r="D71" s="142"/>
      <c r="E71" s="142"/>
    </row>
    <row r="72" spans="1:5" x14ac:dyDescent="0.3">
      <c r="A72" s="151" t="s">
        <v>44</v>
      </c>
      <c r="B72" s="180">
        <v>1832</v>
      </c>
      <c r="C72" s="181">
        <v>3876</v>
      </c>
      <c r="D72" s="182">
        <v>406044</v>
      </c>
      <c r="E72" s="159">
        <f>D72/B72</f>
        <v>221.63973799126637</v>
      </c>
    </row>
    <row r="73" spans="1:5" x14ac:dyDescent="0.3">
      <c r="A73" s="156" t="s">
        <v>70</v>
      </c>
      <c r="B73" s="170">
        <v>91</v>
      </c>
      <c r="C73" s="171">
        <v>199</v>
      </c>
      <c r="D73" s="170">
        <v>19967</v>
      </c>
      <c r="E73" s="159">
        <f t="shared" ref="E73:E81" si="6">D73/B73</f>
        <v>219.41758241758242</v>
      </c>
    </row>
    <row r="74" spans="1:5" x14ac:dyDescent="0.3">
      <c r="A74" s="156" t="s">
        <v>45</v>
      </c>
      <c r="B74" s="170">
        <v>5473</v>
      </c>
      <c r="C74" s="171">
        <v>11592</v>
      </c>
      <c r="D74" s="170">
        <v>1229734</v>
      </c>
      <c r="E74" s="159">
        <f t="shared" si="6"/>
        <v>224.69102868627809</v>
      </c>
    </row>
    <row r="75" spans="1:5" x14ac:dyDescent="0.3">
      <c r="A75" s="156" t="s">
        <v>6</v>
      </c>
      <c r="B75" s="170">
        <v>8757</v>
      </c>
      <c r="C75" s="171">
        <v>17824</v>
      </c>
      <c r="D75" s="170">
        <v>1892017</v>
      </c>
      <c r="E75" s="159">
        <f t="shared" si="6"/>
        <v>216.05766815119333</v>
      </c>
    </row>
    <row r="76" spans="1:5" x14ac:dyDescent="0.3">
      <c r="A76" s="156" t="s">
        <v>46</v>
      </c>
      <c r="B76" s="170">
        <v>6636</v>
      </c>
      <c r="C76" s="171">
        <v>14356</v>
      </c>
      <c r="D76" s="170">
        <v>1525738</v>
      </c>
      <c r="E76" s="159">
        <f t="shared" si="6"/>
        <v>229.91832429174201</v>
      </c>
    </row>
    <row r="77" spans="1:5" x14ac:dyDescent="0.3">
      <c r="A77" s="156" t="s">
        <v>47</v>
      </c>
      <c r="B77" s="170">
        <v>5499</v>
      </c>
      <c r="C77" s="171">
        <v>11514</v>
      </c>
      <c r="D77" s="170">
        <v>1230114</v>
      </c>
      <c r="E77" s="159">
        <f t="shared" si="6"/>
        <v>223.69776322967812</v>
      </c>
    </row>
    <row r="78" spans="1:5" x14ac:dyDescent="0.3">
      <c r="A78" s="156" t="s">
        <v>48</v>
      </c>
      <c r="B78" s="170">
        <v>2320</v>
      </c>
      <c r="C78" s="171">
        <v>4865</v>
      </c>
      <c r="D78" s="170">
        <v>513111</v>
      </c>
      <c r="E78" s="159">
        <f t="shared" si="6"/>
        <v>221.16853448275862</v>
      </c>
    </row>
    <row r="79" spans="1:5" x14ac:dyDescent="0.3">
      <c r="A79" s="156" t="s">
        <v>49</v>
      </c>
      <c r="B79" s="170">
        <v>4115</v>
      </c>
      <c r="C79" s="171">
        <v>8706</v>
      </c>
      <c r="D79" s="170">
        <v>925653</v>
      </c>
      <c r="E79" s="159">
        <f t="shared" si="6"/>
        <v>224.94605103280679</v>
      </c>
    </row>
    <row r="80" spans="1:5" x14ac:dyDescent="0.3">
      <c r="A80" s="156" t="s">
        <v>50</v>
      </c>
      <c r="B80" s="170">
        <v>1585</v>
      </c>
      <c r="C80" s="171">
        <v>3341</v>
      </c>
      <c r="D80" s="170">
        <v>357344</v>
      </c>
      <c r="E80" s="159">
        <f t="shared" si="6"/>
        <v>225.45362776025237</v>
      </c>
    </row>
    <row r="81" spans="1:5" ht="19.5" thickBot="1" x14ac:dyDescent="0.35">
      <c r="A81" s="160" t="s">
        <v>51</v>
      </c>
      <c r="B81" s="173">
        <v>7359</v>
      </c>
      <c r="C81" s="184">
        <v>15458</v>
      </c>
      <c r="D81" s="173">
        <v>1636761</v>
      </c>
      <c r="E81" s="159">
        <f t="shared" si="6"/>
        <v>222.41622503057479</v>
      </c>
    </row>
    <row r="82" spans="1:5" ht="19.5" thickBot="1" x14ac:dyDescent="0.35">
      <c r="A82" s="135" t="s">
        <v>91</v>
      </c>
      <c r="B82" s="141">
        <v>43667</v>
      </c>
      <c r="C82" s="141">
        <v>91731</v>
      </c>
      <c r="D82" s="142">
        <v>9736483</v>
      </c>
      <c r="E82" s="183">
        <f>D82/B82</f>
        <v>222.97119105961022</v>
      </c>
    </row>
    <row r="83" spans="1:5" ht="19.5" thickBot="1" x14ac:dyDescent="0.35">
      <c r="A83" s="147"/>
      <c r="B83" s="148"/>
      <c r="C83" s="148"/>
      <c r="D83" s="148"/>
      <c r="E83" s="149"/>
    </row>
    <row r="84" spans="1:5" ht="19.5" thickBot="1" x14ac:dyDescent="0.35">
      <c r="A84" s="135" t="s">
        <v>7</v>
      </c>
      <c r="B84" s="142"/>
      <c r="C84" s="142"/>
      <c r="D84" s="142"/>
      <c r="E84" s="142"/>
    </row>
    <row r="85" spans="1:5" x14ac:dyDescent="0.3">
      <c r="A85" s="151" t="s">
        <v>52</v>
      </c>
      <c r="B85" s="180">
        <v>4425</v>
      </c>
      <c r="C85" s="181">
        <v>9253</v>
      </c>
      <c r="D85" s="182">
        <v>978808</v>
      </c>
      <c r="E85" s="159">
        <f>D85/B85</f>
        <v>221.19954802259886</v>
      </c>
    </row>
    <row r="86" spans="1:5" x14ac:dyDescent="0.3">
      <c r="A86" s="156" t="s">
        <v>53</v>
      </c>
      <c r="B86" s="170">
        <v>5957</v>
      </c>
      <c r="C86" s="171">
        <v>12873</v>
      </c>
      <c r="D86" s="170">
        <v>1356713</v>
      </c>
      <c r="E86" s="159">
        <f t="shared" ref="E86:E93" si="7">D86/B86</f>
        <v>227.75104918583179</v>
      </c>
    </row>
    <row r="87" spans="1:5" x14ac:dyDescent="0.3">
      <c r="A87" s="156" t="s">
        <v>54</v>
      </c>
      <c r="B87" s="170">
        <v>3509</v>
      </c>
      <c r="C87" s="171">
        <v>7837</v>
      </c>
      <c r="D87" s="170">
        <v>822000</v>
      </c>
      <c r="E87" s="159">
        <f t="shared" si="7"/>
        <v>234.25477343972642</v>
      </c>
    </row>
    <row r="88" spans="1:5" x14ac:dyDescent="0.3">
      <c r="A88" s="156" t="s">
        <v>55</v>
      </c>
      <c r="B88" s="170">
        <v>1871</v>
      </c>
      <c r="C88" s="171">
        <v>3592</v>
      </c>
      <c r="D88" s="170">
        <v>380868</v>
      </c>
      <c r="E88" s="159">
        <f t="shared" si="7"/>
        <v>203.56386958845536</v>
      </c>
    </row>
    <row r="89" spans="1:5" x14ac:dyDescent="0.3">
      <c r="A89" s="156" t="s">
        <v>56</v>
      </c>
      <c r="B89" s="170">
        <v>3992</v>
      </c>
      <c r="C89" s="171">
        <v>8638</v>
      </c>
      <c r="D89" s="170">
        <v>912841</v>
      </c>
      <c r="E89" s="159">
        <f t="shared" si="7"/>
        <v>228.66758517034069</v>
      </c>
    </row>
    <row r="90" spans="1:5" x14ac:dyDescent="0.3">
      <c r="A90" s="156" t="s">
        <v>57</v>
      </c>
      <c r="B90" s="170">
        <v>1026</v>
      </c>
      <c r="C90" s="171">
        <v>2511</v>
      </c>
      <c r="D90" s="170">
        <v>260368</v>
      </c>
      <c r="E90" s="159">
        <f t="shared" si="7"/>
        <v>253.76998050682261</v>
      </c>
    </row>
    <row r="91" spans="1:5" x14ac:dyDescent="0.3">
      <c r="A91" s="156" t="s">
        <v>97</v>
      </c>
      <c r="B91" s="170">
        <v>12738</v>
      </c>
      <c r="C91" s="171">
        <v>26002</v>
      </c>
      <c r="D91" s="170">
        <v>2780243</v>
      </c>
      <c r="E91" s="159">
        <f t="shared" si="7"/>
        <v>218.26369916784424</v>
      </c>
    </row>
    <row r="92" spans="1:5" x14ac:dyDescent="0.3">
      <c r="A92" s="185" t="s">
        <v>58</v>
      </c>
      <c r="B92" s="170">
        <v>3496</v>
      </c>
      <c r="C92" s="171">
        <v>7569</v>
      </c>
      <c r="D92" s="170">
        <v>795809</v>
      </c>
      <c r="E92" s="159">
        <f t="shared" si="7"/>
        <v>227.63415331807781</v>
      </c>
    </row>
    <row r="93" spans="1:5" ht="19.5" thickBot="1" x14ac:dyDescent="0.35">
      <c r="A93" s="156" t="s">
        <v>59</v>
      </c>
      <c r="B93" s="173">
        <v>5201</v>
      </c>
      <c r="C93" s="171">
        <v>10950</v>
      </c>
      <c r="D93" s="170">
        <v>1157047</v>
      </c>
      <c r="E93" s="159">
        <f t="shared" si="7"/>
        <v>222.4662564891367</v>
      </c>
    </row>
    <row r="94" spans="1:5" ht="19.5" thickBot="1" x14ac:dyDescent="0.35">
      <c r="A94" s="135" t="s">
        <v>91</v>
      </c>
      <c r="B94" s="141">
        <v>42215</v>
      </c>
      <c r="C94" s="142">
        <v>89225</v>
      </c>
      <c r="D94" s="142">
        <v>9444697</v>
      </c>
      <c r="E94" s="139">
        <f>D94/B94</f>
        <v>223.72846144735283</v>
      </c>
    </row>
    <row r="95" spans="1:5" ht="19.5" thickBot="1" x14ac:dyDescent="0.35">
      <c r="A95" s="147"/>
      <c r="B95" s="148"/>
      <c r="C95" s="148"/>
      <c r="D95" s="148"/>
      <c r="E95" s="149"/>
    </row>
    <row r="96" spans="1:5" ht="19.5" thickBot="1" x14ac:dyDescent="0.35">
      <c r="A96" s="140" t="s">
        <v>8</v>
      </c>
      <c r="B96" s="177"/>
      <c r="C96" s="177"/>
      <c r="D96" s="177"/>
      <c r="E96" s="178"/>
    </row>
    <row r="97" spans="1:5" x14ac:dyDescent="0.3">
      <c r="A97" s="186" t="s">
        <v>73</v>
      </c>
      <c r="B97" s="180">
        <v>4133</v>
      </c>
      <c r="C97" s="181">
        <v>10085</v>
      </c>
      <c r="D97" s="182">
        <v>1064834</v>
      </c>
      <c r="E97" s="159">
        <f>D97/B97</f>
        <v>257.64190660537139</v>
      </c>
    </row>
    <row r="98" spans="1:5" x14ac:dyDescent="0.3">
      <c r="A98" s="187" t="s">
        <v>60</v>
      </c>
      <c r="B98" s="170">
        <v>4520</v>
      </c>
      <c r="C98" s="171">
        <v>9496</v>
      </c>
      <c r="D98" s="170">
        <v>1003158</v>
      </c>
      <c r="E98" s="159">
        <f t="shared" ref="E98:E107" si="8">D98/B98</f>
        <v>221.93761061946901</v>
      </c>
    </row>
    <row r="99" spans="1:5" x14ac:dyDescent="0.3">
      <c r="A99" s="187" t="s">
        <v>61</v>
      </c>
      <c r="B99" s="170">
        <v>6266</v>
      </c>
      <c r="C99" s="171">
        <v>13800</v>
      </c>
      <c r="D99" s="170">
        <v>1457240</v>
      </c>
      <c r="E99" s="159">
        <f>D99/B99</f>
        <v>232.56303862112992</v>
      </c>
    </row>
    <row r="100" spans="1:5" x14ac:dyDescent="0.3">
      <c r="A100" s="156" t="s">
        <v>62</v>
      </c>
      <c r="B100" s="170">
        <v>3712</v>
      </c>
      <c r="C100" s="171">
        <v>8574</v>
      </c>
      <c r="D100" s="170">
        <v>899209</v>
      </c>
      <c r="E100" s="159">
        <f t="shared" si="8"/>
        <v>242.24380387931035</v>
      </c>
    </row>
    <row r="101" spans="1:5" x14ac:dyDescent="0.3">
      <c r="A101" s="156" t="s">
        <v>63</v>
      </c>
      <c r="B101" s="170">
        <v>3140</v>
      </c>
      <c r="C101" s="171">
        <v>7836</v>
      </c>
      <c r="D101" s="170">
        <v>822405</v>
      </c>
      <c r="E101" s="159">
        <f t="shared" si="8"/>
        <v>261.91242038216558</v>
      </c>
    </row>
    <row r="102" spans="1:5" x14ac:dyDescent="0.3">
      <c r="A102" s="156" t="s">
        <v>64</v>
      </c>
      <c r="B102" s="170">
        <v>6815</v>
      </c>
      <c r="C102" s="171">
        <v>16010</v>
      </c>
      <c r="D102" s="170">
        <v>1666775</v>
      </c>
      <c r="E102" s="159">
        <f t="shared" si="8"/>
        <v>244.57446808510639</v>
      </c>
    </row>
    <row r="103" spans="1:5" x14ac:dyDescent="0.3">
      <c r="A103" s="156" t="s">
        <v>65</v>
      </c>
      <c r="B103" s="170">
        <v>4867</v>
      </c>
      <c r="C103" s="171">
        <v>11652</v>
      </c>
      <c r="D103" s="170">
        <v>1209751</v>
      </c>
      <c r="E103" s="159">
        <f t="shared" si="8"/>
        <v>248.56194781179371</v>
      </c>
    </row>
    <row r="104" spans="1:5" x14ac:dyDescent="0.3">
      <c r="A104" s="156" t="s">
        <v>66</v>
      </c>
      <c r="B104" s="170">
        <v>3962</v>
      </c>
      <c r="C104" s="171">
        <v>9746</v>
      </c>
      <c r="D104" s="170">
        <v>1014933</v>
      </c>
      <c r="E104" s="159">
        <f t="shared" si="8"/>
        <v>256.16683493185258</v>
      </c>
    </row>
    <row r="105" spans="1:5" x14ac:dyDescent="0.3">
      <c r="A105" s="156" t="s">
        <v>119</v>
      </c>
      <c r="B105" s="170">
        <v>25658</v>
      </c>
      <c r="C105" s="171">
        <v>58557</v>
      </c>
      <c r="D105" s="170">
        <v>6181075</v>
      </c>
      <c r="E105" s="159">
        <f t="shared" si="8"/>
        <v>240.90244757970223</v>
      </c>
    </row>
    <row r="106" spans="1:5" x14ac:dyDescent="0.3">
      <c r="A106" s="156" t="s">
        <v>67</v>
      </c>
      <c r="B106" s="170">
        <v>4567</v>
      </c>
      <c r="C106" s="171">
        <v>10962</v>
      </c>
      <c r="D106" s="170">
        <v>1149800</v>
      </c>
      <c r="E106" s="159">
        <f t="shared" si="8"/>
        <v>251.7626450624042</v>
      </c>
    </row>
    <row r="107" spans="1:5" ht="19.5" thickBot="1" x14ac:dyDescent="0.35">
      <c r="A107" s="156" t="s">
        <v>68</v>
      </c>
      <c r="B107" s="173">
        <v>6741</v>
      </c>
      <c r="C107" s="171">
        <v>15019</v>
      </c>
      <c r="D107" s="170">
        <v>1568381</v>
      </c>
      <c r="E107" s="159">
        <f t="shared" si="8"/>
        <v>232.66295801809821</v>
      </c>
    </row>
    <row r="108" spans="1:5" ht="19.5" thickBot="1" x14ac:dyDescent="0.35">
      <c r="A108" s="135" t="s">
        <v>91</v>
      </c>
      <c r="B108" s="141">
        <v>74381</v>
      </c>
      <c r="C108" s="141">
        <v>171737</v>
      </c>
      <c r="D108" s="141">
        <v>18037561</v>
      </c>
      <c r="E108" s="179">
        <f>D108/B108</f>
        <v>242.50226536346648</v>
      </c>
    </row>
    <row r="109" spans="1:5" ht="19.5" thickBot="1" x14ac:dyDescent="0.35">
      <c r="A109" s="147"/>
      <c r="B109" s="148"/>
      <c r="C109" s="148"/>
      <c r="D109" s="148"/>
      <c r="E109" s="149"/>
    </row>
    <row r="110" spans="1:5" ht="19.5" thickBot="1" x14ac:dyDescent="0.35">
      <c r="A110" s="135" t="s">
        <v>9</v>
      </c>
      <c r="B110" s="142"/>
      <c r="C110" s="142"/>
      <c r="D110" s="142"/>
      <c r="E110" s="142"/>
    </row>
    <row r="111" spans="1:5" x14ac:dyDescent="0.3">
      <c r="A111" s="151" t="s">
        <v>99</v>
      </c>
      <c r="B111" s="180">
        <v>1239</v>
      </c>
      <c r="C111" s="181">
        <v>3025</v>
      </c>
      <c r="D111" s="182">
        <v>319142</v>
      </c>
      <c r="E111" s="159">
        <f>D111/B111</f>
        <v>257.58030669895078</v>
      </c>
    </row>
    <row r="112" spans="1:5" x14ac:dyDescent="0.3">
      <c r="A112" s="156" t="s">
        <v>100</v>
      </c>
      <c r="B112" s="170">
        <v>8830</v>
      </c>
      <c r="C112" s="171">
        <v>18587</v>
      </c>
      <c r="D112" s="170">
        <v>1975562</v>
      </c>
      <c r="E112" s="159">
        <f>D112/B112</f>
        <v>223.73295583238959</v>
      </c>
    </row>
    <row r="113" spans="1:5" x14ac:dyDescent="0.3">
      <c r="A113" s="156" t="s">
        <v>101</v>
      </c>
      <c r="B113" s="170">
        <v>27421</v>
      </c>
      <c r="C113" s="171">
        <v>59387</v>
      </c>
      <c r="D113" s="170">
        <v>6325630</v>
      </c>
      <c r="E113" s="159">
        <f>D113/B113</f>
        <v>230.68560592246817</v>
      </c>
    </row>
    <row r="114" spans="1:5" ht="19.5" thickBot="1" x14ac:dyDescent="0.35">
      <c r="A114" s="185" t="s">
        <v>102</v>
      </c>
      <c r="B114" s="173">
        <v>10193</v>
      </c>
      <c r="C114" s="171">
        <v>21066</v>
      </c>
      <c r="D114" s="170">
        <v>2272005</v>
      </c>
      <c r="E114" s="159">
        <f>D114/B114</f>
        <v>222.8985578338075</v>
      </c>
    </row>
    <row r="115" spans="1:5" ht="19.5" thickBot="1" x14ac:dyDescent="0.35">
      <c r="A115" s="135" t="s">
        <v>91</v>
      </c>
      <c r="B115" s="141">
        <v>47683</v>
      </c>
      <c r="C115" s="141">
        <v>102065</v>
      </c>
      <c r="D115" s="142">
        <v>10892339</v>
      </c>
      <c r="E115" s="139">
        <f>D115/B115</f>
        <v>228.43233437493447</v>
      </c>
    </row>
    <row r="116" spans="1:5" ht="19.5" thickBot="1" x14ac:dyDescent="0.35">
      <c r="A116" s="147"/>
      <c r="B116" s="148"/>
      <c r="C116" s="148"/>
      <c r="D116" s="148"/>
      <c r="E116" s="149"/>
    </row>
    <row r="117" spans="1:5" ht="19.5" thickBot="1" x14ac:dyDescent="0.35">
      <c r="A117" s="134" t="s">
        <v>74</v>
      </c>
      <c r="B117" s="142">
        <v>501261</v>
      </c>
      <c r="C117" s="142">
        <v>1089238</v>
      </c>
      <c r="D117" s="142">
        <v>115173540</v>
      </c>
      <c r="E117" s="178">
        <f>SUM(E8:E114)</f>
        <v>20532.689979354156</v>
      </c>
    </row>
  </sheetData>
  <mergeCells count="5">
    <mergeCell ref="A5:E5"/>
    <mergeCell ref="A1:E1"/>
    <mergeCell ref="A2:E2"/>
    <mergeCell ref="A3:E3"/>
    <mergeCell ref="A4:E4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0"/>
  <sheetViews>
    <sheetView zoomScale="75" workbookViewId="0">
      <selection activeCell="H16" sqref="H16"/>
    </sheetView>
  </sheetViews>
  <sheetFormatPr defaultRowHeight="18.75" x14ac:dyDescent="0.3"/>
  <cols>
    <col min="1" max="1" width="23.42578125" style="56" customWidth="1"/>
    <col min="2" max="5" width="15.7109375" style="18" customWidth="1"/>
    <col min="6" max="14" width="9.140625" style="18"/>
    <col min="15" max="16384" width="9.140625" style="1"/>
  </cols>
  <sheetData>
    <row r="1" spans="1:5" x14ac:dyDescent="0.3">
      <c r="A1" s="356" t="s">
        <v>10</v>
      </c>
      <c r="B1" s="356"/>
      <c r="C1" s="356"/>
      <c r="D1" s="356"/>
      <c r="E1" s="356"/>
    </row>
    <row r="2" spans="1:5" x14ac:dyDescent="0.3">
      <c r="A2" s="356" t="s">
        <v>71</v>
      </c>
      <c r="B2" s="356"/>
      <c r="C2" s="356"/>
      <c r="D2" s="356"/>
      <c r="E2" s="356"/>
    </row>
    <row r="3" spans="1:5" x14ac:dyDescent="0.3">
      <c r="A3" s="357" t="s">
        <v>112</v>
      </c>
      <c r="B3" s="357"/>
      <c r="C3" s="357"/>
      <c r="D3" s="357"/>
      <c r="E3" s="357"/>
    </row>
    <row r="4" spans="1:5" x14ac:dyDescent="0.3">
      <c r="A4" s="356" t="s">
        <v>134</v>
      </c>
      <c r="B4" s="356"/>
      <c r="C4" s="356"/>
      <c r="D4" s="356"/>
      <c r="E4" s="356"/>
    </row>
    <row r="5" spans="1:5" ht="19.5" thickBot="1" x14ac:dyDescent="0.35">
      <c r="A5" s="354"/>
      <c r="B5" s="355"/>
      <c r="C5" s="355"/>
      <c r="D5" s="355"/>
      <c r="E5" s="355"/>
    </row>
    <row r="6" spans="1:5" ht="57" thickBot="1" x14ac:dyDescent="0.35">
      <c r="A6" s="19"/>
      <c r="B6" s="20" t="s">
        <v>75</v>
      </c>
      <c r="C6" s="21" t="s">
        <v>76</v>
      </c>
      <c r="D6" s="21" t="s">
        <v>77</v>
      </c>
      <c r="E6" s="21" t="s">
        <v>78</v>
      </c>
    </row>
    <row r="7" spans="1:5" ht="21.75" customHeight="1" thickBot="1" x14ac:dyDescent="0.35">
      <c r="A7" s="22" t="s">
        <v>0</v>
      </c>
      <c r="B7" s="23"/>
      <c r="C7" s="23"/>
      <c r="D7" s="23"/>
      <c r="E7" s="24"/>
    </row>
    <row r="8" spans="1:5" x14ac:dyDescent="0.3">
      <c r="A8" s="25" t="s">
        <v>11</v>
      </c>
      <c r="B8" s="15">
        <v>6054</v>
      </c>
      <c r="C8" s="13">
        <v>13804</v>
      </c>
      <c r="D8" s="14">
        <v>1576165</v>
      </c>
      <c r="E8" s="26">
        <f>D8/B8</f>
        <v>260.35100759828214</v>
      </c>
    </row>
    <row r="9" spans="1:5" x14ac:dyDescent="0.3">
      <c r="A9" s="27" t="s">
        <v>210</v>
      </c>
      <c r="B9" s="3">
        <v>10127</v>
      </c>
      <c r="C9" s="13">
        <v>21046</v>
      </c>
      <c r="D9" s="3">
        <v>2471132</v>
      </c>
      <c r="E9" s="28">
        <f t="shared" ref="E9:E15" si="0">D9/B9</f>
        <v>244.01421941344918</v>
      </c>
    </row>
    <row r="10" spans="1:5" x14ac:dyDescent="0.3">
      <c r="A10" s="27" t="s">
        <v>12</v>
      </c>
      <c r="B10" s="3">
        <v>6873</v>
      </c>
      <c r="C10" s="13">
        <v>14573</v>
      </c>
      <c r="D10" s="3">
        <v>1683079</v>
      </c>
      <c r="E10" s="28">
        <f t="shared" si="0"/>
        <v>244.8827295213153</v>
      </c>
    </row>
    <row r="11" spans="1:5" x14ac:dyDescent="0.3">
      <c r="A11" s="27" t="s">
        <v>13</v>
      </c>
      <c r="B11" s="3">
        <v>1724</v>
      </c>
      <c r="C11" s="13">
        <v>3815</v>
      </c>
      <c r="D11" s="3">
        <v>445958</v>
      </c>
      <c r="E11" s="28">
        <f t="shared" si="0"/>
        <v>258.67633410672852</v>
      </c>
    </row>
    <row r="12" spans="1:5" x14ac:dyDescent="0.3">
      <c r="A12" s="27" t="s">
        <v>14</v>
      </c>
      <c r="B12" s="3">
        <v>7119</v>
      </c>
      <c r="C12" s="13">
        <v>16089</v>
      </c>
      <c r="D12" s="3">
        <v>1871019</v>
      </c>
      <c r="E12" s="28">
        <f t="shared" si="0"/>
        <v>262.82048040455118</v>
      </c>
    </row>
    <row r="13" spans="1:5" x14ac:dyDescent="0.3">
      <c r="A13" s="27" t="s">
        <v>15</v>
      </c>
      <c r="B13" s="3">
        <v>2497</v>
      </c>
      <c r="C13" s="13">
        <v>5081</v>
      </c>
      <c r="D13" s="3">
        <v>592460</v>
      </c>
      <c r="E13" s="28">
        <f t="shared" si="0"/>
        <v>237.26872246696036</v>
      </c>
    </row>
    <row r="14" spans="1:5" ht="19.5" thickBot="1" x14ac:dyDescent="0.35">
      <c r="A14" s="29" t="s">
        <v>209</v>
      </c>
      <c r="B14" s="4">
        <v>8768</v>
      </c>
      <c r="C14" s="13">
        <v>18032</v>
      </c>
      <c r="D14" s="11">
        <v>2116280</v>
      </c>
      <c r="E14" s="31">
        <f t="shared" si="0"/>
        <v>241.3640510948905</v>
      </c>
    </row>
    <row r="15" spans="1:5" ht="19.5" thickBot="1" x14ac:dyDescent="0.35">
      <c r="A15" s="32" t="s">
        <v>85</v>
      </c>
      <c r="B15" s="33">
        <f>SUM(B8:B14)</f>
        <v>43162</v>
      </c>
      <c r="C15" s="33">
        <v>92440</v>
      </c>
      <c r="D15" s="33">
        <f>SUM(D8:D14)</f>
        <v>10756093</v>
      </c>
      <c r="E15" s="34">
        <f t="shared" si="0"/>
        <v>249.20284046151707</v>
      </c>
    </row>
    <row r="16" spans="1:5" ht="19.5" thickBot="1" x14ac:dyDescent="0.35">
      <c r="A16" s="35"/>
      <c r="B16" s="36"/>
      <c r="C16" s="36"/>
      <c r="D16" s="36"/>
      <c r="E16" s="36"/>
    </row>
    <row r="17" spans="1:14" ht="19.5" thickBot="1" x14ac:dyDescent="0.35">
      <c r="A17" s="37" t="s">
        <v>1</v>
      </c>
      <c r="B17" s="38"/>
      <c r="C17" s="38"/>
      <c r="D17" s="38"/>
      <c r="E17" s="39"/>
    </row>
    <row r="18" spans="1:14" s="2" customFormat="1" x14ac:dyDescent="0.3">
      <c r="A18" s="353" t="s">
        <v>1</v>
      </c>
      <c r="B18" s="15">
        <v>17630</v>
      </c>
      <c r="C18" s="15">
        <v>35238</v>
      </c>
      <c r="D18" s="15">
        <v>4182233</v>
      </c>
      <c r="E18" s="28">
        <f t="shared" ref="E18:E29" si="1">D18/B18</f>
        <v>237.22251843448666</v>
      </c>
      <c r="F18" s="42"/>
      <c r="G18" s="42"/>
      <c r="H18" s="42"/>
      <c r="I18" s="42"/>
      <c r="J18" s="42"/>
      <c r="K18" s="42"/>
      <c r="L18" s="42"/>
      <c r="M18" s="42"/>
      <c r="N18" s="42"/>
    </row>
    <row r="19" spans="1:14" x14ac:dyDescent="0.3">
      <c r="A19" s="25" t="s">
        <v>16</v>
      </c>
      <c r="B19" s="8">
        <v>4876</v>
      </c>
      <c r="C19" s="14">
        <v>10219</v>
      </c>
      <c r="D19" s="8">
        <v>1202545</v>
      </c>
      <c r="E19" s="28">
        <f t="shared" si="1"/>
        <v>246.62530762920426</v>
      </c>
    </row>
    <row r="20" spans="1:14" x14ac:dyDescent="0.3">
      <c r="A20" s="27" t="s">
        <v>17</v>
      </c>
      <c r="B20" s="9">
        <v>6167</v>
      </c>
      <c r="C20" s="14">
        <v>13030</v>
      </c>
      <c r="D20" s="9">
        <v>1510868</v>
      </c>
      <c r="E20" s="28">
        <f t="shared" si="1"/>
        <v>244.99237879033566</v>
      </c>
    </row>
    <row r="21" spans="1:14" x14ac:dyDescent="0.3">
      <c r="A21" s="27" t="s">
        <v>18</v>
      </c>
      <c r="B21" s="9">
        <v>3990</v>
      </c>
      <c r="C21" s="14">
        <v>8854</v>
      </c>
      <c r="D21" s="9">
        <v>1024184</v>
      </c>
      <c r="E21" s="28">
        <f t="shared" si="1"/>
        <v>256.68771929824561</v>
      </c>
    </row>
    <row r="22" spans="1:14" x14ac:dyDescent="0.3">
      <c r="A22" s="27" t="s">
        <v>19</v>
      </c>
      <c r="B22" s="9">
        <v>2561</v>
      </c>
      <c r="C22" s="14">
        <v>5651</v>
      </c>
      <c r="D22" s="9">
        <v>656182</v>
      </c>
      <c r="E22" s="28">
        <f t="shared" si="1"/>
        <v>256.22100741897697</v>
      </c>
    </row>
    <row r="23" spans="1:14" x14ac:dyDescent="0.3">
      <c r="A23" s="27" t="s">
        <v>20</v>
      </c>
      <c r="B23" s="9">
        <v>6910</v>
      </c>
      <c r="C23" s="14">
        <v>14713</v>
      </c>
      <c r="D23" s="9">
        <v>1713764</v>
      </c>
      <c r="E23" s="28">
        <f t="shared" si="1"/>
        <v>248.01215629522432</v>
      </c>
    </row>
    <row r="24" spans="1:14" x14ac:dyDescent="0.3">
      <c r="A24" s="27" t="s">
        <v>21</v>
      </c>
      <c r="B24" s="9">
        <v>6300</v>
      </c>
      <c r="C24" s="14">
        <v>14254</v>
      </c>
      <c r="D24" s="9">
        <v>1661918</v>
      </c>
      <c r="E24" s="28">
        <f t="shared" si="1"/>
        <v>263.79650793650796</v>
      </c>
    </row>
    <row r="25" spans="1:14" x14ac:dyDescent="0.3">
      <c r="A25" s="27" t="s">
        <v>69</v>
      </c>
      <c r="B25" s="9">
        <v>8186</v>
      </c>
      <c r="C25" s="14">
        <v>16795</v>
      </c>
      <c r="D25" s="9">
        <v>1971280</v>
      </c>
      <c r="E25" s="28">
        <f t="shared" si="1"/>
        <v>240.81114097239188</v>
      </c>
    </row>
    <row r="26" spans="1:14" x14ac:dyDescent="0.3">
      <c r="A26" s="27" t="s">
        <v>22</v>
      </c>
      <c r="B26" s="9">
        <v>5335</v>
      </c>
      <c r="C26" s="14">
        <v>12798</v>
      </c>
      <c r="D26" s="9">
        <v>1463109</v>
      </c>
      <c r="E26" s="28">
        <f t="shared" si="1"/>
        <v>274.2472352389878</v>
      </c>
    </row>
    <row r="27" spans="1:14" x14ac:dyDescent="0.3">
      <c r="A27" s="27" t="s">
        <v>23</v>
      </c>
      <c r="B27" s="9">
        <v>4516</v>
      </c>
      <c r="C27" s="13">
        <v>10013</v>
      </c>
      <c r="D27" s="9">
        <v>1147455</v>
      </c>
      <c r="E27" s="28">
        <f t="shared" si="1"/>
        <v>254.08658104517272</v>
      </c>
    </row>
    <row r="28" spans="1:14" ht="19.5" thickBot="1" x14ac:dyDescent="0.35">
      <c r="A28" s="43" t="s">
        <v>213</v>
      </c>
      <c r="B28" s="281">
        <v>6408</v>
      </c>
      <c r="C28" s="5">
        <v>14550</v>
      </c>
      <c r="D28" s="282">
        <v>1697263</v>
      </c>
      <c r="E28" s="31">
        <f t="shared" si="1"/>
        <v>264.86626092384518</v>
      </c>
    </row>
    <row r="29" spans="1:14" ht="19.5" thickBot="1" x14ac:dyDescent="0.35">
      <c r="A29" s="32" t="s">
        <v>88</v>
      </c>
      <c r="B29" s="44">
        <f>SUM(B18:B28)</f>
        <v>72879</v>
      </c>
      <c r="C29" s="44">
        <v>156115</v>
      </c>
      <c r="D29" s="44">
        <f>SUM(D18:D28)</f>
        <v>18230801</v>
      </c>
      <c r="E29" s="34">
        <f t="shared" si="1"/>
        <v>250.15163490168635</v>
      </c>
    </row>
    <row r="30" spans="1:14" ht="19.5" thickBot="1" x14ac:dyDescent="0.35">
      <c r="A30" s="35"/>
      <c r="B30" s="45"/>
      <c r="C30" s="45"/>
      <c r="D30" s="45"/>
      <c r="E30" s="36"/>
    </row>
    <row r="31" spans="1:14" ht="19.5" thickBot="1" x14ac:dyDescent="0.35">
      <c r="A31" s="22" t="s">
        <v>2</v>
      </c>
      <c r="B31" s="46"/>
      <c r="C31" s="46"/>
      <c r="D31" s="46"/>
      <c r="E31" s="47"/>
    </row>
    <row r="32" spans="1:14" x14ac:dyDescent="0.3">
      <c r="A32" s="25" t="s">
        <v>206</v>
      </c>
      <c r="B32" s="17">
        <v>21372</v>
      </c>
      <c r="C32" s="7">
        <v>45159</v>
      </c>
      <c r="D32" s="8">
        <v>5254906</v>
      </c>
      <c r="E32" s="28">
        <f t="shared" ref="E32:E41" si="2">D32/B32</f>
        <v>245.87806475762679</v>
      </c>
    </row>
    <row r="33" spans="1:5" x14ac:dyDescent="0.3">
      <c r="A33" s="27" t="s">
        <v>25</v>
      </c>
      <c r="B33" s="9">
        <v>3879</v>
      </c>
      <c r="C33" s="7">
        <v>8553</v>
      </c>
      <c r="D33" s="9">
        <v>1000501</v>
      </c>
      <c r="E33" s="28">
        <f t="shared" si="2"/>
        <v>257.92755864913636</v>
      </c>
    </row>
    <row r="34" spans="1:5" x14ac:dyDescent="0.3">
      <c r="A34" s="27" t="s">
        <v>26</v>
      </c>
      <c r="B34" s="9">
        <v>6450</v>
      </c>
      <c r="C34" s="7">
        <v>14558</v>
      </c>
      <c r="D34" s="9">
        <v>1674596</v>
      </c>
      <c r="E34" s="28">
        <f t="shared" si="2"/>
        <v>259.62728682170541</v>
      </c>
    </row>
    <row r="35" spans="1:5" x14ac:dyDescent="0.3">
      <c r="A35" s="27" t="s">
        <v>27</v>
      </c>
      <c r="B35" s="9">
        <v>4110</v>
      </c>
      <c r="C35" s="7">
        <v>8884</v>
      </c>
      <c r="D35" s="9">
        <v>1016100</v>
      </c>
      <c r="E35" s="28">
        <f t="shared" si="2"/>
        <v>247.22627737226279</v>
      </c>
    </row>
    <row r="36" spans="1:5" x14ac:dyDescent="0.3">
      <c r="A36" s="27" t="s">
        <v>28</v>
      </c>
      <c r="B36" s="9">
        <v>4861</v>
      </c>
      <c r="C36" s="7">
        <v>10588</v>
      </c>
      <c r="D36" s="9">
        <v>1210570</v>
      </c>
      <c r="E36" s="28">
        <f t="shared" si="2"/>
        <v>249.03723513680313</v>
      </c>
    </row>
    <row r="37" spans="1:5" x14ac:dyDescent="0.3">
      <c r="A37" s="27" t="s">
        <v>29</v>
      </c>
      <c r="B37" s="9">
        <v>7682</v>
      </c>
      <c r="C37" s="7">
        <v>17430</v>
      </c>
      <c r="D37" s="9">
        <v>2001745</v>
      </c>
      <c r="E37" s="28">
        <f t="shared" si="2"/>
        <v>260.5760218693049</v>
      </c>
    </row>
    <row r="38" spans="1:5" x14ac:dyDescent="0.3">
      <c r="A38" s="27" t="s">
        <v>212</v>
      </c>
      <c r="B38" s="9">
        <v>9438</v>
      </c>
      <c r="C38" s="7">
        <v>20443</v>
      </c>
      <c r="D38" s="9">
        <v>2354264</v>
      </c>
      <c r="E38" s="28">
        <f t="shared" si="2"/>
        <v>249.44522144522145</v>
      </c>
    </row>
    <row r="39" spans="1:5" x14ac:dyDescent="0.3">
      <c r="A39" s="27" t="s">
        <v>30</v>
      </c>
      <c r="B39" s="9">
        <v>5616</v>
      </c>
      <c r="C39" s="7">
        <v>12377</v>
      </c>
      <c r="D39" s="9">
        <v>1432358</v>
      </c>
      <c r="E39" s="28">
        <f t="shared" si="2"/>
        <v>255.04950142450141</v>
      </c>
    </row>
    <row r="40" spans="1:5" ht="19.5" thickBot="1" x14ac:dyDescent="0.35">
      <c r="A40" s="43" t="s">
        <v>211</v>
      </c>
      <c r="B40" s="10">
        <v>9993</v>
      </c>
      <c r="C40" s="7">
        <v>21208</v>
      </c>
      <c r="D40" s="12">
        <v>2473617</v>
      </c>
      <c r="E40" s="31">
        <f t="shared" si="2"/>
        <v>247.5349744821375</v>
      </c>
    </row>
    <row r="41" spans="1:5" ht="19.5" thickBot="1" x14ac:dyDescent="0.35">
      <c r="A41" s="32" t="s">
        <v>91</v>
      </c>
      <c r="B41" s="44">
        <f>SUM(B32:B40)</f>
        <v>73401</v>
      </c>
      <c r="C41" s="44">
        <v>159200</v>
      </c>
      <c r="D41" s="44">
        <f>SUM(D32:D40)</f>
        <v>18418657</v>
      </c>
      <c r="E41" s="34">
        <f t="shared" si="2"/>
        <v>250.93196277979865</v>
      </c>
    </row>
    <row r="42" spans="1:5" ht="19.5" thickBot="1" x14ac:dyDescent="0.35">
      <c r="A42" s="48"/>
      <c r="B42" s="49"/>
      <c r="C42" s="49"/>
      <c r="D42" s="49"/>
      <c r="E42" s="50"/>
    </row>
    <row r="43" spans="1:5" ht="19.5" thickBot="1" x14ac:dyDescent="0.35">
      <c r="A43" s="22" t="s">
        <v>3</v>
      </c>
      <c r="B43" s="46"/>
      <c r="C43" s="46"/>
      <c r="D43" s="46"/>
      <c r="E43" s="47"/>
    </row>
    <row r="44" spans="1:5" x14ac:dyDescent="0.3">
      <c r="A44" s="25" t="s">
        <v>31</v>
      </c>
      <c r="B44" s="17">
        <v>3797</v>
      </c>
      <c r="C44" s="7">
        <v>7996</v>
      </c>
      <c r="D44" s="8">
        <v>932195</v>
      </c>
      <c r="E44" s="28">
        <f t="shared" ref="E44:E51" si="3">D44/B44</f>
        <v>245.5082960231762</v>
      </c>
    </row>
    <row r="45" spans="1:5" x14ac:dyDescent="0.3">
      <c r="A45" s="27" t="s">
        <v>32</v>
      </c>
      <c r="B45" s="9">
        <v>6795</v>
      </c>
      <c r="C45" s="7">
        <v>15892</v>
      </c>
      <c r="D45" s="9">
        <v>1833491</v>
      </c>
      <c r="E45" s="28">
        <f t="shared" si="3"/>
        <v>269.82943340691685</v>
      </c>
    </row>
    <row r="46" spans="1:5" x14ac:dyDescent="0.3">
      <c r="A46" s="27" t="s">
        <v>203</v>
      </c>
      <c r="B46" s="9">
        <v>17128</v>
      </c>
      <c r="C46" s="7">
        <v>35087</v>
      </c>
      <c r="D46" s="9">
        <v>4059970</v>
      </c>
      <c r="E46" s="28">
        <f t="shared" si="3"/>
        <v>237.03701541335823</v>
      </c>
    </row>
    <row r="47" spans="1:5" x14ac:dyDescent="0.3">
      <c r="A47" s="27" t="s">
        <v>33</v>
      </c>
      <c r="B47" s="9">
        <v>5354</v>
      </c>
      <c r="C47" s="7">
        <v>11721</v>
      </c>
      <c r="D47" s="9">
        <v>1348931</v>
      </c>
      <c r="E47" s="28">
        <f t="shared" si="3"/>
        <v>251.94826298094881</v>
      </c>
    </row>
    <row r="48" spans="1:5" x14ac:dyDescent="0.3">
      <c r="A48" s="27" t="s">
        <v>34</v>
      </c>
      <c r="B48" s="9">
        <v>4394</v>
      </c>
      <c r="C48" s="7">
        <v>9271</v>
      </c>
      <c r="D48" s="9">
        <v>1086270</v>
      </c>
      <c r="E48" s="28">
        <f t="shared" si="3"/>
        <v>247.2166590805644</v>
      </c>
    </row>
    <row r="49" spans="1:5" x14ac:dyDescent="0.3">
      <c r="A49" s="27" t="s">
        <v>35</v>
      </c>
      <c r="B49" s="9">
        <v>4207</v>
      </c>
      <c r="C49" s="7">
        <v>8438</v>
      </c>
      <c r="D49" s="9">
        <v>985705</v>
      </c>
      <c r="E49" s="28">
        <f t="shared" si="3"/>
        <v>234.30116472545757</v>
      </c>
    </row>
    <row r="50" spans="1:5" ht="19.5" thickBot="1" x14ac:dyDescent="0.35">
      <c r="A50" s="27" t="s">
        <v>36</v>
      </c>
      <c r="B50" s="10">
        <v>6237</v>
      </c>
      <c r="C50" s="7">
        <v>12960</v>
      </c>
      <c r="D50" s="9">
        <v>1499292</v>
      </c>
      <c r="E50" s="28">
        <f t="shared" si="3"/>
        <v>240.38672438672438</v>
      </c>
    </row>
    <row r="51" spans="1:5" ht="19.5" thickBot="1" x14ac:dyDescent="0.35">
      <c r="A51" s="32" t="s">
        <v>91</v>
      </c>
      <c r="B51" s="44">
        <f>SUM(B44:B50)</f>
        <v>47912</v>
      </c>
      <c r="C51" s="44">
        <v>101365</v>
      </c>
      <c r="D51" s="44">
        <f>SUM(D44:D50)</f>
        <v>11745854</v>
      </c>
      <c r="E51" s="34">
        <f t="shared" si="3"/>
        <v>245.15474202704959</v>
      </c>
    </row>
    <row r="52" spans="1:5" ht="19.5" thickBot="1" x14ac:dyDescent="0.35">
      <c r="A52" s="48"/>
      <c r="B52" s="49"/>
      <c r="C52" s="49"/>
      <c r="D52" s="49"/>
      <c r="E52" s="50"/>
    </row>
    <row r="53" spans="1:5" ht="19.5" thickBot="1" x14ac:dyDescent="0.35">
      <c r="A53" s="22" t="s">
        <v>4</v>
      </c>
      <c r="B53" s="46"/>
      <c r="C53" s="46"/>
      <c r="D53" s="46"/>
      <c r="E53" s="47"/>
    </row>
    <row r="54" spans="1:5" x14ac:dyDescent="0.3">
      <c r="A54" s="25" t="s">
        <v>37</v>
      </c>
      <c r="B54" s="17">
        <v>6526</v>
      </c>
      <c r="C54" s="7">
        <v>14281</v>
      </c>
      <c r="D54" s="8">
        <v>1650221</v>
      </c>
      <c r="E54" s="28">
        <f t="shared" ref="E54:E60" si="4">D54/B54</f>
        <v>252.8686791296353</v>
      </c>
    </row>
    <row r="55" spans="1:5" x14ac:dyDescent="0.3">
      <c r="A55" s="27" t="s">
        <v>202</v>
      </c>
      <c r="B55" s="9">
        <v>14920</v>
      </c>
      <c r="C55" s="7">
        <v>31362</v>
      </c>
      <c r="D55" s="9">
        <v>3632324</v>
      </c>
      <c r="E55" s="28">
        <f t="shared" si="4"/>
        <v>243.45335120643432</v>
      </c>
    </row>
    <row r="56" spans="1:5" x14ac:dyDescent="0.3">
      <c r="A56" s="27" t="s">
        <v>201</v>
      </c>
      <c r="B56" s="9">
        <v>4296</v>
      </c>
      <c r="C56" s="7">
        <v>10097</v>
      </c>
      <c r="D56" s="9">
        <v>1174003</v>
      </c>
      <c r="E56" s="28">
        <f t="shared" si="4"/>
        <v>273.278165735568</v>
      </c>
    </row>
    <row r="57" spans="1:5" x14ac:dyDescent="0.3">
      <c r="A57" s="27" t="s">
        <v>38</v>
      </c>
      <c r="B57" s="9">
        <v>3084</v>
      </c>
      <c r="C57" s="7">
        <v>6648</v>
      </c>
      <c r="D57" s="9">
        <v>769003</v>
      </c>
      <c r="E57" s="28">
        <f t="shared" si="4"/>
        <v>249.35246433203631</v>
      </c>
    </row>
    <row r="58" spans="1:5" x14ac:dyDescent="0.3">
      <c r="A58" s="27" t="s">
        <v>200</v>
      </c>
      <c r="B58" s="9">
        <v>7399</v>
      </c>
      <c r="C58" s="7">
        <v>15860</v>
      </c>
      <c r="D58" s="9">
        <v>1830854</v>
      </c>
      <c r="E58" s="28">
        <f t="shared" si="4"/>
        <v>247.44614137045548</v>
      </c>
    </row>
    <row r="59" spans="1:5" ht="19.5" thickBot="1" x14ac:dyDescent="0.35">
      <c r="A59" s="27" t="s">
        <v>199</v>
      </c>
      <c r="B59" s="10">
        <v>6718</v>
      </c>
      <c r="C59" s="7">
        <v>14056</v>
      </c>
      <c r="D59" s="9">
        <v>1631689</v>
      </c>
      <c r="E59" s="28">
        <f t="shared" si="4"/>
        <v>242.8831497469485</v>
      </c>
    </row>
    <row r="60" spans="1:5" ht="19.5" thickBot="1" x14ac:dyDescent="0.35">
      <c r="A60" s="32" t="s">
        <v>91</v>
      </c>
      <c r="B60" s="44">
        <f>SUM(B54:B59)</f>
        <v>42943</v>
      </c>
      <c r="C60" s="44">
        <v>92304</v>
      </c>
      <c r="D60" s="44">
        <f>SUM(D54:D59)</f>
        <v>10688094</v>
      </c>
      <c r="E60" s="34">
        <f t="shared" si="4"/>
        <v>248.89024986610158</v>
      </c>
    </row>
    <row r="61" spans="1:5" ht="19.5" thickBot="1" x14ac:dyDescent="0.35">
      <c r="A61" s="48"/>
      <c r="B61" s="49"/>
      <c r="C61" s="49"/>
      <c r="D61" s="49"/>
      <c r="E61" s="50"/>
    </row>
    <row r="62" spans="1:5" ht="19.5" thickBot="1" x14ac:dyDescent="0.35">
      <c r="A62" s="22" t="s">
        <v>5</v>
      </c>
      <c r="B62" s="46"/>
      <c r="C62" s="46"/>
      <c r="D62" s="46"/>
      <c r="E62" s="47"/>
    </row>
    <row r="63" spans="1:5" x14ac:dyDescent="0.3">
      <c r="A63" s="25" t="s">
        <v>39</v>
      </c>
      <c r="B63" s="17">
        <v>3308</v>
      </c>
      <c r="C63" s="7">
        <v>7232</v>
      </c>
      <c r="D63" s="8">
        <v>835710</v>
      </c>
      <c r="E63" s="28">
        <f t="shared" ref="E63:E69" si="5">D63/B63</f>
        <v>252.63301088270859</v>
      </c>
    </row>
    <row r="64" spans="1:5" x14ac:dyDescent="0.3">
      <c r="A64" s="27" t="s">
        <v>40</v>
      </c>
      <c r="B64" s="9">
        <v>5446</v>
      </c>
      <c r="C64" s="7">
        <v>10703</v>
      </c>
      <c r="D64" s="9">
        <v>1230158</v>
      </c>
      <c r="E64" s="28">
        <f t="shared" si="5"/>
        <v>225.88284979801691</v>
      </c>
    </row>
    <row r="65" spans="1:5" x14ac:dyDescent="0.3">
      <c r="A65" s="27" t="s">
        <v>5</v>
      </c>
      <c r="B65" s="9">
        <v>6826</v>
      </c>
      <c r="C65" s="7">
        <v>14503</v>
      </c>
      <c r="D65" s="9">
        <v>1680710</v>
      </c>
      <c r="E65" s="28">
        <f t="shared" si="5"/>
        <v>246.22179900380897</v>
      </c>
    </row>
    <row r="66" spans="1:5" x14ac:dyDescent="0.3">
      <c r="A66" s="27" t="s">
        <v>41</v>
      </c>
      <c r="B66" s="9">
        <v>3332</v>
      </c>
      <c r="C66" s="7">
        <v>6912</v>
      </c>
      <c r="D66" s="9">
        <v>808957</v>
      </c>
      <c r="E66" s="28">
        <f t="shared" si="5"/>
        <v>242.78421368547419</v>
      </c>
    </row>
    <row r="67" spans="1:5" x14ac:dyDescent="0.3">
      <c r="A67" s="27" t="s">
        <v>42</v>
      </c>
      <c r="B67" s="9">
        <v>5027</v>
      </c>
      <c r="C67" s="7">
        <v>10581</v>
      </c>
      <c r="D67" s="9">
        <v>1227966</v>
      </c>
      <c r="E67" s="28">
        <f t="shared" si="5"/>
        <v>244.274119753332</v>
      </c>
    </row>
    <row r="68" spans="1:5" ht="19.5" thickBot="1" x14ac:dyDescent="0.35">
      <c r="A68" s="29" t="s">
        <v>43</v>
      </c>
      <c r="B68" s="10">
        <v>3303</v>
      </c>
      <c r="C68" s="7">
        <v>7451</v>
      </c>
      <c r="D68" s="10">
        <v>845040</v>
      </c>
      <c r="E68" s="28">
        <f t="shared" si="5"/>
        <v>255.84014532243415</v>
      </c>
    </row>
    <row r="69" spans="1:5" ht="19.5" thickBot="1" x14ac:dyDescent="0.35">
      <c r="A69" s="32" t="s">
        <v>91</v>
      </c>
      <c r="B69" s="44">
        <f>SUM(B63:B68)</f>
        <v>27242</v>
      </c>
      <c r="C69" s="44">
        <v>57382</v>
      </c>
      <c r="D69" s="44">
        <f>SUM(D63:D68)</f>
        <v>6628541</v>
      </c>
      <c r="E69" s="34">
        <f t="shared" si="5"/>
        <v>243.320644592908</v>
      </c>
    </row>
    <row r="70" spans="1:5" ht="19.5" thickBot="1" x14ac:dyDescent="0.35">
      <c r="A70" s="48"/>
      <c r="B70" s="49"/>
      <c r="C70" s="49"/>
      <c r="D70" s="49"/>
      <c r="E70" s="50"/>
    </row>
    <row r="71" spans="1:5" ht="19.5" thickBot="1" x14ac:dyDescent="0.35">
      <c r="A71" s="22" t="s">
        <v>6</v>
      </c>
      <c r="B71" s="46"/>
      <c r="C71" s="46"/>
      <c r="D71" s="46"/>
      <c r="E71" s="47"/>
    </row>
    <row r="72" spans="1:5" x14ac:dyDescent="0.3">
      <c r="A72" s="25" t="s">
        <v>44</v>
      </c>
      <c r="B72" s="17">
        <v>1838</v>
      </c>
      <c r="C72" s="7">
        <v>3874</v>
      </c>
      <c r="D72" s="8">
        <v>443455</v>
      </c>
      <c r="E72" s="28">
        <f t="shared" ref="E72:E82" si="6">D72/B72</f>
        <v>241.27040261153428</v>
      </c>
    </row>
    <row r="73" spans="1:5" x14ac:dyDescent="0.3">
      <c r="A73" s="27" t="s">
        <v>70</v>
      </c>
      <c r="B73" s="9">
        <v>113</v>
      </c>
      <c r="C73" s="7">
        <v>240</v>
      </c>
      <c r="D73" s="9">
        <v>26237</v>
      </c>
      <c r="E73" s="28">
        <f t="shared" si="6"/>
        <v>232.18584070796462</v>
      </c>
    </row>
    <row r="74" spans="1:5" x14ac:dyDescent="0.3">
      <c r="A74" s="27" t="s">
        <v>45</v>
      </c>
      <c r="B74" s="9">
        <v>5622</v>
      </c>
      <c r="C74" s="7">
        <v>11841</v>
      </c>
      <c r="D74" s="9">
        <v>1381909</v>
      </c>
      <c r="E74" s="28">
        <f t="shared" si="6"/>
        <v>245.80380647456423</v>
      </c>
    </row>
    <row r="75" spans="1:5" x14ac:dyDescent="0.3">
      <c r="A75" s="27" t="s">
        <v>6</v>
      </c>
      <c r="B75" s="9">
        <v>9293</v>
      </c>
      <c r="C75" s="7">
        <v>18728</v>
      </c>
      <c r="D75" s="9">
        <v>2185903</v>
      </c>
      <c r="E75" s="28">
        <f t="shared" si="6"/>
        <v>235.22038093188422</v>
      </c>
    </row>
    <row r="76" spans="1:5" x14ac:dyDescent="0.3">
      <c r="A76" s="27" t="s">
        <v>198</v>
      </c>
      <c r="B76" s="9">
        <v>6972</v>
      </c>
      <c r="C76" s="7">
        <v>14884</v>
      </c>
      <c r="D76" s="9">
        <v>1741631</v>
      </c>
      <c r="E76" s="28">
        <f t="shared" si="6"/>
        <v>249.80364314400458</v>
      </c>
    </row>
    <row r="77" spans="1:5" x14ac:dyDescent="0.3">
      <c r="A77" s="27" t="s">
        <v>47</v>
      </c>
      <c r="B77" s="9">
        <v>5760</v>
      </c>
      <c r="C77" s="7">
        <v>11976</v>
      </c>
      <c r="D77" s="9">
        <v>1404359</v>
      </c>
      <c r="E77" s="28">
        <f t="shared" si="6"/>
        <v>243.81232638888889</v>
      </c>
    </row>
    <row r="78" spans="1:5" x14ac:dyDescent="0.3">
      <c r="A78" s="27" t="s">
        <v>48</v>
      </c>
      <c r="B78" s="9">
        <v>2402</v>
      </c>
      <c r="C78" s="7">
        <v>4992</v>
      </c>
      <c r="D78" s="9">
        <v>576211</v>
      </c>
      <c r="E78" s="28">
        <f t="shared" si="6"/>
        <v>239.88800999167361</v>
      </c>
    </row>
    <row r="79" spans="1:5" x14ac:dyDescent="0.3">
      <c r="A79" s="27" t="s">
        <v>49</v>
      </c>
      <c r="B79" s="9">
        <v>4296</v>
      </c>
      <c r="C79" s="7">
        <v>8959</v>
      </c>
      <c r="D79" s="9">
        <v>1042297</v>
      </c>
      <c r="E79" s="28">
        <f t="shared" si="6"/>
        <v>242.62034450651768</v>
      </c>
    </row>
    <row r="80" spans="1:5" x14ac:dyDescent="0.3">
      <c r="A80" s="27" t="s">
        <v>50</v>
      </c>
      <c r="B80" s="9">
        <v>1711</v>
      </c>
      <c r="C80" s="7">
        <v>3531</v>
      </c>
      <c r="D80" s="9">
        <v>413355</v>
      </c>
      <c r="E80" s="28">
        <f t="shared" si="6"/>
        <v>241.58679135008768</v>
      </c>
    </row>
    <row r="81" spans="1:5" ht="19.5" thickBot="1" x14ac:dyDescent="0.35">
      <c r="A81" s="29" t="s">
        <v>51</v>
      </c>
      <c r="B81" s="10">
        <v>7701</v>
      </c>
      <c r="C81" s="7">
        <v>16032</v>
      </c>
      <c r="D81" s="10">
        <v>1861773</v>
      </c>
      <c r="E81" s="28">
        <f t="shared" si="6"/>
        <v>241.75730424620178</v>
      </c>
    </row>
    <row r="82" spans="1:5" ht="19.5" thickBot="1" x14ac:dyDescent="0.35">
      <c r="A82" s="32" t="s">
        <v>91</v>
      </c>
      <c r="B82" s="44">
        <f>SUM(B72:B81)</f>
        <v>45708</v>
      </c>
      <c r="C82" s="44">
        <v>95057</v>
      </c>
      <c r="D82" s="44">
        <f>SUM(D72:D81)</f>
        <v>11077130</v>
      </c>
      <c r="E82" s="34">
        <f t="shared" si="6"/>
        <v>242.3455412619235</v>
      </c>
    </row>
    <row r="83" spans="1:5" ht="19.5" thickBot="1" x14ac:dyDescent="0.35">
      <c r="A83" s="48"/>
      <c r="B83" s="49"/>
      <c r="C83" s="49"/>
      <c r="D83" s="49"/>
      <c r="E83" s="50"/>
    </row>
    <row r="84" spans="1:5" ht="19.5" thickBot="1" x14ac:dyDescent="0.35">
      <c r="A84" s="22" t="s">
        <v>7</v>
      </c>
      <c r="B84" s="46"/>
      <c r="C84" s="46"/>
      <c r="D84" s="46"/>
      <c r="E84" s="47"/>
    </row>
    <row r="85" spans="1:5" x14ac:dyDescent="0.3">
      <c r="A85" s="25" t="s">
        <v>52</v>
      </c>
      <c r="B85" s="17">
        <v>4620</v>
      </c>
      <c r="C85" s="7">
        <v>9586</v>
      </c>
      <c r="D85" s="8">
        <v>1111189</v>
      </c>
      <c r="E85" s="28">
        <f t="shared" ref="E85:E92" si="7">D85/B85</f>
        <v>240.51709956709956</v>
      </c>
    </row>
    <row r="86" spans="1:5" x14ac:dyDescent="0.3">
      <c r="A86" s="27" t="s">
        <v>53</v>
      </c>
      <c r="B86" s="9">
        <v>6154</v>
      </c>
      <c r="C86" s="7">
        <v>13229</v>
      </c>
      <c r="D86" s="9">
        <v>1530857</v>
      </c>
      <c r="E86" s="28">
        <f t="shared" si="7"/>
        <v>248.75804354891127</v>
      </c>
    </row>
    <row r="87" spans="1:5" x14ac:dyDescent="0.3">
      <c r="A87" s="27" t="s">
        <v>54</v>
      </c>
      <c r="B87" s="9">
        <v>3651</v>
      </c>
      <c r="C87" s="7">
        <v>8116</v>
      </c>
      <c r="D87" s="9">
        <v>936092</v>
      </c>
      <c r="E87" s="28">
        <f t="shared" si="7"/>
        <v>256.3933168994796</v>
      </c>
    </row>
    <row r="88" spans="1:5" x14ac:dyDescent="0.3">
      <c r="A88" s="27" t="s">
        <v>55</v>
      </c>
      <c r="B88" s="9">
        <v>1906</v>
      </c>
      <c r="C88" s="7">
        <v>3677</v>
      </c>
      <c r="D88" s="9">
        <v>425608</v>
      </c>
      <c r="E88" s="28">
        <f t="shared" si="7"/>
        <v>223.29905561385101</v>
      </c>
    </row>
    <row r="89" spans="1:5" x14ac:dyDescent="0.3">
      <c r="A89" s="27" t="s">
        <v>56</v>
      </c>
      <c r="B89" s="9">
        <v>4135</v>
      </c>
      <c r="C89" s="7">
        <v>8973</v>
      </c>
      <c r="D89" s="9">
        <v>1034888</v>
      </c>
      <c r="E89" s="28">
        <f t="shared" si="7"/>
        <v>250.27521160822249</v>
      </c>
    </row>
    <row r="90" spans="1:5" x14ac:dyDescent="0.3">
      <c r="A90" s="27" t="s">
        <v>57</v>
      </c>
      <c r="B90" s="9">
        <v>995</v>
      </c>
      <c r="C90" s="7">
        <v>2442</v>
      </c>
      <c r="D90" s="9">
        <v>280262</v>
      </c>
      <c r="E90" s="28">
        <f t="shared" si="7"/>
        <v>281.67035175879397</v>
      </c>
    </row>
    <row r="91" spans="1:5" x14ac:dyDescent="0.3">
      <c r="A91" s="27" t="s">
        <v>7</v>
      </c>
      <c r="B91" s="9">
        <v>13094</v>
      </c>
      <c r="C91" s="7">
        <v>26326</v>
      </c>
      <c r="D91" s="9">
        <v>3097320</v>
      </c>
      <c r="E91" s="28">
        <f t="shared" si="7"/>
        <v>236.54498243470292</v>
      </c>
    </row>
    <row r="92" spans="1:5" x14ac:dyDescent="0.3">
      <c r="A92" s="51" t="s">
        <v>58</v>
      </c>
      <c r="B92" s="9">
        <v>3560</v>
      </c>
      <c r="C92" s="7">
        <v>7726</v>
      </c>
      <c r="D92" s="9">
        <v>884559</v>
      </c>
      <c r="E92" s="28">
        <f t="shared" si="7"/>
        <v>248.47162921348314</v>
      </c>
    </row>
    <row r="93" spans="1:5" ht="19.5" thickBot="1" x14ac:dyDescent="0.35">
      <c r="A93" s="27" t="s">
        <v>59</v>
      </c>
      <c r="B93" s="10">
        <v>5460</v>
      </c>
      <c r="C93" s="7">
        <v>11414</v>
      </c>
      <c r="D93" s="9">
        <v>1323403</v>
      </c>
      <c r="E93" s="28">
        <f>D93/B93</f>
        <v>242.38150183150182</v>
      </c>
    </row>
    <row r="94" spans="1:5" ht="19.5" thickBot="1" x14ac:dyDescent="0.35">
      <c r="A94" s="32" t="s">
        <v>91</v>
      </c>
      <c r="B94" s="44">
        <f>SUM(B85:B93)</f>
        <v>43575</v>
      </c>
      <c r="C94" s="44">
        <v>91489</v>
      </c>
      <c r="D94" s="44">
        <f>SUM(D85:D93)</f>
        <v>10624178</v>
      </c>
      <c r="E94" s="34">
        <f>D94/B94</f>
        <v>243.81360872059668</v>
      </c>
    </row>
    <row r="95" spans="1:5" ht="19.5" thickBot="1" x14ac:dyDescent="0.35">
      <c r="A95" s="48"/>
      <c r="B95" s="49"/>
      <c r="C95" s="49"/>
      <c r="D95" s="49"/>
      <c r="E95" s="50"/>
    </row>
    <row r="96" spans="1:5" ht="19.5" thickBot="1" x14ac:dyDescent="0.35">
      <c r="A96" s="37" t="s">
        <v>8</v>
      </c>
      <c r="B96" s="46"/>
      <c r="C96" s="46"/>
      <c r="D96" s="46"/>
      <c r="E96" s="47"/>
    </row>
    <row r="97" spans="1:5" x14ac:dyDescent="0.3">
      <c r="A97" s="52" t="s">
        <v>73</v>
      </c>
      <c r="B97" s="17">
        <f>3351+788</f>
        <v>4139</v>
      </c>
      <c r="C97" s="7">
        <v>10062</v>
      </c>
      <c r="D97" s="8">
        <f>946511+218308</f>
        <v>1164819</v>
      </c>
      <c r="E97" s="28">
        <f t="shared" ref="E97:E108" si="8">D97/B97</f>
        <v>281.42522348393334</v>
      </c>
    </row>
    <row r="98" spans="1:5" x14ac:dyDescent="0.3">
      <c r="A98" s="53" t="s">
        <v>60</v>
      </c>
      <c r="B98" s="9">
        <v>4690</v>
      </c>
      <c r="C98" s="7">
        <v>9831</v>
      </c>
      <c r="D98" s="9">
        <v>1134094</v>
      </c>
      <c r="E98" s="28">
        <f t="shared" si="8"/>
        <v>241.81108742004264</v>
      </c>
    </row>
    <row r="99" spans="1:5" x14ac:dyDescent="0.3">
      <c r="A99" s="53" t="s">
        <v>61</v>
      </c>
      <c r="B99" s="9">
        <v>6572</v>
      </c>
      <c r="C99" s="7">
        <v>14437</v>
      </c>
      <c r="D99" s="9">
        <v>1673257</v>
      </c>
      <c r="E99" s="28">
        <f t="shared" si="8"/>
        <v>254.60392574558733</v>
      </c>
    </row>
    <row r="100" spans="1:5" x14ac:dyDescent="0.3">
      <c r="A100" s="27" t="s">
        <v>62</v>
      </c>
      <c r="B100" s="9">
        <v>3857</v>
      </c>
      <c r="C100" s="7">
        <v>8748</v>
      </c>
      <c r="D100" s="9">
        <v>1011792</v>
      </c>
      <c r="E100" s="28">
        <f t="shared" si="8"/>
        <v>262.3261602281566</v>
      </c>
    </row>
    <row r="101" spans="1:5" x14ac:dyDescent="0.3">
      <c r="A101" s="27" t="s">
        <v>63</v>
      </c>
      <c r="B101" s="9">
        <v>3177</v>
      </c>
      <c r="C101" s="7">
        <v>7864</v>
      </c>
      <c r="D101" s="9">
        <v>910816</v>
      </c>
      <c r="E101" s="28">
        <f t="shared" si="8"/>
        <v>286.69058860560278</v>
      </c>
    </row>
    <row r="102" spans="1:5" x14ac:dyDescent="0.3">
      <c r="A102" s="27" t="s">
        <v>64</v>
      </c>
      <c r="B102" s="9">
        <v>7106</v>
      </c>
      <c r="C102" s="7">
        <v>16544</v>
      </c>
      <c r="D102" s="9">
        <v>1893134</v>
      </c>
      <c r="E102" s="28">
        <f t="shared" si="8"/>
        <v>266.41345341964535</v>
      </c>
    </row>
    <row r="103" spans="1:5" x14ac:dyDescent="0.3">
      <c r="A103" s="27" t="s">
        <v>65</v>
      </c>
      <c r="B103" s="9">
        <v>4994</v>
      </c>
      <c r="C103" s="7">
        <v>11858</v>
      </c>
      <c r="D103" s="9">
        <v>1354369</v>
      </c>
      <c r="E103" s="28">
        <f t="shared" si="8"/>
        <v>271.1992390869043</v>
      </c>
    </row>
    <row r="104" spans="1:5" x14ac:dyDescent="0.3">
      <c r="A104" s="27" t="s">
        <v>66</v>
      </c>
      <c r="B104" s="9">
        <v>4047</v>
      </c>
      <c r="C104" s="7">
        <v>9840</v>
      </c>
      <c r="D104" s="9">
        <v>1117322</v>
      </c>
      <c r="E104" s="28">
        <f t="shared" si="8"/>
        <v>276.08648381517173</v>
      </c>
    </row>
    <row r="105" spans="1:5" x14ac:dyDescent="0.3">
      <c r="A105" s="27" t="s">
        <v>194</v>
      </c>
      <c r="B105" s="9">
        <v>26594</v>
      </c>
      <c r="C105" s="7">
        <v>59918</v>
      </c>
      <c r="D105" s="9">
        <v>6963426</v>
      </c>
      <c r="E105" s="28">
        <f t="shared" si="8"/>
        <v>261.84199443483493</v>
      </c>
    </row>
    <row r="106" spans="1:5" x14ac:dyDescent="0.3">
      <c r="A106" s="27" t="s">
        <v>67</v>
      </c>
      <c r="B106" s="9">
        <v>4665</v>
      </c>
      <c r="C106" s="7">
        <v>10998</v>
      </c>
      <c r="D106" s="9">
        <v>1268799</v>
      </c>
      <c r="E106" s="28">
        <f t="shared" si="8"/>
        <v>271.98263665594857</v>
      </c>
    </row>
    <row r="107" spans="1:5" ht="19.5" thickBot="1" x14ac:dyDescent="0.35">
      <c r="A107" s="27" t="s">
        <v>68</v>
      </c>
      <c r="B107" s="10">
        <v>6911</v>
      </c>
      <c r="C107" s="7">
        <v>15210</v>
      </c>
      <c r="D107" s="9">
        <v>1747687</v>
      </c>
      <c r="E107" s="28">
        <f t="shared" si="8"/>
        <v>252.88482129937779</v>
      </c>
    </row>
    <row r="108" spans="1:5" ht="19.5" thickBot="1" x14ac:dyDescent="0.35">
      <c r="A108" s="32" t="s">
        <v>91</v>
      </c>
      <c r="B108" s="44">
        <f>SUM(B97:B107)</f>
        <v>76752</v>
      </c>
      <c r="C108" s="44">
        <v>175310</v>
      </c>
      <c r="D108" s="44">
        <f>SUM(D97:D107)</f>
        <v>20239515</v>
      </c>
      <c r="E108" s="34">
        <f t="shared" si="8"/>
        <v>263.70016416510322</v>
      </c>
    </row>
    <row r="109" spans="1:5" ht="19.5" thickBot="1" x14ac:dyDescent="0.35">
      <c r="A109" s="48"/>
      <c r="B109" s="49"/>
      <c r="C109" s="49"/>
      <c r="D109" s="49"/>
      <c r="E109" s="50"/>
    </row>
    <row r="110" spans="1:5" ht="19.5" thickBot="1" x14ac:dyDescent="0.35">
      <c r="A110" s="22" t="s">
        <v>9</v>
      </c>
      <c r="B110" s="46"/>
      <c r="C110" s="46"/>
      <c r="D110" s="46"/>
      <c r="E110" s="47"/>
    </row>
    <row r="111" spans="1:5" x14ac:dyDescent="0.3">
      <c r="A111" s="25" t="s">
        <v>99</v>
      </c>
      <c r="B111" s="17">
        <v>1219</v>
      </c>
      <c r="C111" s="7">
        <v>2886</v>
      </c>
      <c r="D111" s="8">
        <v>336285</v>
      </c>
      <c r="E111" s="28">
        <f>D111/B111</f>
        <v>275.86956521739131</v>
      </c>
    </row>
    <row r="112" spans="1:5" x14ac:dyDescent="0.3">
      <c r="A112" s="27" t="s">
        <v>193</v>
      </c>
      <c r="B112" s="9">
        <v>9249</v>
      </c>
      <c r="C112" s="7">
        <v>19127</v>
      </c>
      <c r="D112" s="9">
        <v>2235394</v>
      </c>
      <c r="E112" s="28">
        <f>D112/B112</f>
        <v>241.69034490215159</v>
      </c>
    </row>
    <row r="113" spans="1:5" x14ac:dyDescent="0.3">
      <c r="A113" s="27" t="s">
        <v>195</v>
      </c>
      <c r="B113" s="9">
        <v>28829</v>
      </c>
      <c r="C113" s="7">
        <v>61293</v>
      </c>
      <c r="D113" s="9">
        <v>7182554</v>
      </c>
      <c r="E113" s="28">
        <f>D113/B113</f>
        <v>249.14336258628464</v>
      </c>
    </row>
    <row r="114" spans="1:5" ht="19.5" thickBot="1" x14ac:dyDescent="0.35">
      <c r="A114" s="51" t="s">
        <v>196</v>
      </c>
      <c r="B114" s="10">
        <v>10654</v>
      </c>
      <c r="C114" s="7">
        <v>21515</v>
      </c>
      <c r="D114" s="9">
        <v>2542219</v>
      </c>
      <c r="E114" s="28">
        <f>D114/B114</f>
        <v>238.61638821100055</v>
      </c>
    </row>
    <row r="115" spans="1:5" ht="19.5" thickBot="1" x14ac:dyDescent="0.35">
      <c r="A115" s="32" t="s">
        <v>91</v>
      </c>
      <c r="B115" s="44">
        <f>SUM(B111:B114)</f>
        <v>49951</v>
      </c>
      <c r="C115" s="44">
        <f>SUM(C111:C114)</f>
        <v>104821</v>
      </c>
      <c r="D115" s="44">
        <f>SUM(D111:D114)</f>
        <v>12296452</v>
      </c>
      <c r="E115" s="34">
        <f>D115/B115</f>
        <v>246.17028688114351</v>
      </c>
    </row>
    <row r="116" spans="1:5" ht="19.5" thickBot="1" x14ac:dyDescent="0.35">
      <c r="A116" s="48"/>
      <c r="B116" s="49"/>
      <c r="C116" s="49"/>
      <c r="D116" s="49"/>
      <c r="E116" s="50"/>
    </row>
    <row r="117" spans="1:5" ht="19.5" thickBot="1" x14ac:dyDescent="0.35">
      <c r="A117" s="58" t="s">
        <v>74</v>
      </c>
      <c r="B117" s="55">
        <f>B15+B29+B41+B51+B60+B69+B82+B94+B108+B115</f>
        <v>523525</v>
      </c>
      <c r="C117" s="55">
        <f>C15+C29+C41+C51+C60+C69+C82+C94+C108+C115</f>
        <v>1125483</v>
      </c>
      <c r="D117" s="55">
        <f>D15+D29+D41+D51+D60+D69+D82+D94+D108+D115</f>
        <v>130705315</v>
      </c>
      <c r="E117" s="47">
        <f>SUM(E8:E114)</f>
        <v>22324.750853250349</v>
      </c>
    </row>
    <row r="119" spans="1:5" hidden="1" x14ac:dyDescent="0.3">
      <c r="B119" s="272">
        <f>(B117/'Junio 08'!B117)^(1/2)-1</f>
        <v>1.8935265971566917E-3</v>
      </c>
    </row>
    <row r="120" spans="1:5" hidden="1" x14ac:dyDescent="0.3"/>
  </sheetData>
  <mergeCells count="5">
    <mergeCell ref="A5:E5"/>
    <mergeCell ref="A1:E1"/>
    <mergeCell ref="A2:E2"/>
    <mergeCell ref="A3:E3"/>
    <mergeCell ref="A4:E4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20"/>
  <sheetViews>
    <sheetView zoomScale="7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I121" sqref="I121"/>
    </sheetView>
  </sheetViews>
  <sheetFormatPr defaultRowHeight="18.75" x14ac:dyDescent="0.3"/>
  <cols>
    <col min="1" max="1" width="19" style="56" bestFit="1" customWidth="1"/>
    <col min="2" max="5" width="15.7109375" style="18" customWidth="1"/>
    <col min="6" max="6" width="9.140625" style="18"/>
    <col min="7" max="7" width="2.85546875" style="18" customWidth="1"/>
    <col min="8" max="8" width="14.28515625" style="18" bestFit="1" customWidth="1"/>
    <col min="9" max="9" width="9.140625" style="18"/>
    <col min="10" max="10" width="9.28515625" style="18" bestFit="1" customWidth="1"/>
    <col min="11" max="14" width="9.140625" style="18"/>
    <col min="15" max="16384" width="9.140625" style="1"/>
  </cols>
  <sheetData>
    <row r="1" spans="1:5" x14ac:dyDescent="0.3">
      <c r="A1" s="356" t="s">
        <v>10</v>
      </c>
      <c r="B1" s="356"/>
      <c r="C1" s="356"/>
      <c r="D1" s="356"/>
      <c r="E1" s="356"/>
    </row>
    <row r="2" spans="1:5" x14ac:dyDescent="0.3">
      <c r="A2" s="356" t="s">
        <v>71</v>
      </c>
      <c r="B2" s="356"/>
      <c r="C2" s="356"/>
      <c r="D2" s="356"/>
      <c r="E2" s="356"/>
    </row>
    <row r="3" spans="1:5" x14ac:dyDescent="0.3">
      <c r="A3" s="357" t="s">
        <v>112</v>
      </c>
      <c r="B3" s="357"/>
      <c r="C3" s="357"/>
      <c r="D3" s="357"/>
      <c r="E3" s="357"/>
    </row>
    <row r="4" spans="1:5" x14ac:dyDescent="0.3">
      <c r="A4" s="356" t="s">
        <v>135</v>
      </c>
      <c r="B4" s="356"/>
      <c r="C4" s="356"/>
      <c r="D4" s="356"/>
      <c r="E4" s="356"/>
    </row>
    <row r="5" spans="1:5" ht="19.5" thickBot="1" x14ac:dyDescent="0.35">
      <c r="A5" s="354"/>
      <c r="B5" s="355"/>
      <c r="C5" s="355"/>
      <c r="D5" s="355"/>
      <c r="E5" s="355"/>
    </row>
    <row r="6" spans="1:5" ht="57" thickBot="1" x14ac:dyDescent="0.35">
      <c r="A6" s="19"/>
      <c r="B6" s="20" t="s">
        <v>75</v>
      </c>
      <c r="C6" s="21" t="s">
        <v>76</v>
      </c>
      <c r="D6" s="21" t="s">
        <v>77</v>
      </c>
      <c r="E6" s="21" t="s">
        <v>78</v>
      </c>
    </row>
    <row r="7" spans="1:5" ht="21.75" customHeight="1" thickBot="1" x14ac:dyDescent="0.35">
      <c r="A7" s="22" t="s">
        <v>0</v>
      </c>
      <c r="B7" s="23"/>
      <c r="C7" s="23"/>
      <c r="D7" s="23"/>
      <c r="E7" s="24"/>
    </row>
    <row r="8" spans="1:5" x14ac:dyDescent="0.3">
      <c r="A8" s="25" t="s">
        <v>11</v>
      </c>
      <c r="B8" s="15">
        <v>6081</v>
      </c>
      <c r="C8" s="13">
        <v>13840</v>
      </c>
      <c r="D8" s="14">
        <v>1548513</v>
      </c>
      <c r="E8" s="26">
        <f>D8/B8</f>
        <v>254.64775530340404</v>
      </c>
    </row>
    <row r="9" spans="1:5" x14ac:dyDescent="0.3">
      <c r="A9" s="27" t="s">
        <v>210</v>
      </c>
      <c r="B9" s="3">
        <v>10164</v>
      </c>
      <c r="C9" s="13">
        <v>21108</v>
      </c>
      <c r="D9" s="3">
        <v>2427687</v>
      </c>
      <c r="E9" s="28">
        <f>D9/B9</f>
        <v>238.85153482880756</v>
      </c>
    </row>
    <row r="10" spans="1:5" x14ac:dyDescent="0.3">
      <c r="A10" s="27" t="s">
        <v>12</v>
      </c>
      <c r="B10" s="3">
        <v>6908</v>
      </c>
      <c r="C10" s="13">
        <v>14628</v>
      </c>
      <c r="D10" s="3">
        <v>1652353</v>
      </c>
      <c r="E10" s="28">
        <f t="shared" ref="E10:E15" si="0">D10/B10</f>
        <v>239.19412275622466</v>
      </c>
    </row>
    <row r="11" spans="1:5" x14ac:dyDescent="0.3">
      <c r="A11" s="27" t="s">
        <v>13</v>
      </c>
      <c r="B11" s="3">
        <v>1739</v>
      </c>
      <c r="C11" s="13">
        <v>3847</v>
      </c>
      <c r="D11" s="3">
        <v>441148</v>
      </c>
      <c r="E11" s="28">
        <f t="shared" si="0"/>
        <v>253.6791259344451</v>
      </c>
    </row>
    <row r="12" spans="1:5" x14ac:dyDescent="0.3">
      <c r="A12" s="27" t="s">
        <v>14</v>
      </c>
      <c r="B12" s="3">
        <v>7142</v>
      </c>
      <c r="C12" s="13">
        <v>16138</v>
      </c>
      <c r="D12" s="3">
        <v>1837440</v>
      </c>
      <c r="E12" s="28">
        <f t="shared" si="0"/>
        <v>257.27247269672358</v>
      </c>
    </row>
    <row r="13" spans="1:5" x14ac:dyDescent="0.3">
      <c r="A13" s="27" t="s">
        <v>15</v>
      </c>
      <c r="B13" s="3">
        <v>2519</v>
      </c>
      <c r="C13" s="13">
        <v>5105</v>
      </c>
      <c r="D13" s="3">
        <v>582100</v>
      </c>
      <c r="E13" s="28">
        <f t="shared" si="0"/>
        <v>231.08376339817389</v>
      </c>
    </row>
    <row r="14" spans="1:5" ht="19.5" thickBot="1" x14ac:dyDescent="0.35">
      <c r="A14" s="29" t="s">
        <v>209</v>
      </c>
      <c r="B14" s="4">
        <v>8806</v>
      </c>
      <c r="C14" s="13">
        <v>18116</v>
      </c>
      <c r="D14" s="11">
        <v>2084830</v>
      </c>
      <c r="E14" s="31">
        <f t="shared" si="0"/>
        <v>236.75107880990234</v>
      </c>
    </row>
    <row r="15" spans="1:5" ht="19.5" thickBot="1" x14ac:dyDescent="0.35">
      <c r="A15" s="32" t="s">
        <v>85</v>
      </c>
      <c r="B15" s="33">
        <f>SUM(B8:B14)</f>
        <v>43359</v>
      </c>
      <c r="C15" s="33">
        <f>SUM(C8:C14)</f>
        <v>92782</v>
      </c>
      <c r="D15" s="33">
        <f>SUM(D8:D14)</f>
        <v>10574071</v>
      </c>
      <c r="E15" s="34">
        <f t="shared" si="0"/>
        <v>243.87257547452663</v>
      </c>
    </row>
    <row r="16" spans="1:5" ht="19.5" thickBot="1" x14ac:dyDescent="0.35">
      <c r="A16" s="35"/>
      <c r="B16" s="36"/>
      <c r="C16" s="36"/>
      <c r="D16" s="36"/>
      <c r="E16" s="36"/>
    </row>
    <row r="17" spans="1:14" ht="19.5" thickBot="1" x14ac:dyDescent="0.35">
      <c r="A17" s="19" t="s">
        <v>1</v>
      </c>
      <c r="B17" s="299"/>
      <c r="C17" s="299"/>
      <c r="D17" s="299"/>
      <c r="E17" s="300"/>
    </row>
    <row r="18" spans="1:14" s="2" customFormat="1" x14ac:dyDescent="0.3">
      <c r="A18" s="306" t="s">
        <v>208</v>
      </c>
      <c r="B18" s="296">
        <v>17725</v>
      </c>
      <c r="C18" s="15">
        <v>35400</v>
      </c>
      <c r="D18" s="307">
        <v>4113606</v>
      </c>
      <c r="E18" s="308">
        <f t="shared" ref="E18:E29" si="1">D18/B18</f>
        <v>232.07932299012694</v>
      </c>
      <c r="F18" s="42"/>
      <c r="G18" s="42"/>
      <c r="H18" s="42"/>
      <c r="I18" s="42"/>
      <c r="J18" s="42"/>
      <c r="K18" s="42"/>
      <c r="L18" s="42"/>
      <c r="M18" s="42"/>
      <c r="N18" s="42"/>
    </row>
    <row r="19" spans="1:14" x14ac:dyDescent="0.3">
      <c r="A19" s="309" t="s">
        <v>16</v>
      </c>
      <c r="B19" s="297">
        <v>4899</v>
      </c>
      <c r="C19" s="3">
        <v>35400</v>
      </c>
      <c r="D19" s="7">
        <v>1185498</v>
      </c>
      <c r="E19" s="310">
        <f t="shared" si="1"/>
        <v>241.98775260257196</v>
      </c>
    </row>
    <row r="20" spans="1:14" x14ac:dyDescent="0.3">
      <c r="A20" s="27" t="s">
        <v>17</v>
      </c>
      <c r="B20" s="297">
        <v>6202</v>
      </c>
      <c r="C20" s="3">
        <v>13112</v>
      </c>
      <c r="D20" s="298">
        <v>1488669</v>
      </c>
      <c r="E20" s="310">
        <f t="shared" si="1"/>
        <v>240.03047404063204</v>
      </c>
    </row>
    <row r="21" spans="1:14" x14ac:dyDescent="0.3">
      <c r="A21" s="27" t="s">
        <v>18</v>
      </c>
      <c r="B21" s="297">
        <v>3998</v>
      </c>
      <c r="C21" s="3">
        <v>8885</v>
      </c>
      <c r="D21" s="298">
        <v>1007635</v>
      </c>
      <c r="E21" s="310">
        <f t="shared" si="1"/>
        <v>252.03476738369184</v>
      </c>
    </row>
    <row r="22" spans="1:14" x14ac:dyDescent="0.3">
      <c r="A22" s="27" t="s">
        <v>19</v>
      </c>
      <c r="B22" s="297">
        <v>2598</v>
      </c>
      <c r="C22" s="3">
        <v>5742</v>
      </c>
      <c r="D22" s="298">
        <v>651983</v>
      </c>
      <c r="E22" s="310">
        <f t="shared" si="1"/>
        <v>250.95573518090839</v>
      </c>
    </row>
    <row r="23" spans="1:14" x14ac:dyDescent="0.3">
      <c r="A23" s="27" t="s">
        <v>20</v>
      </c>
      <c r="B23" s="297">
        <v>6934</v>
      </c>
      <c r="C23" s="3">
        <v>14722</v>
      </c>
      <c r="D23" s="298">
        <v>1681042</v>
      </c>
      <c r="E23" s="310">
        <f t="shared" si="1"/>
        <v>242.43466974329391</v>
      </c>
    </row>
    <row r="24" spans="1:14" x14ac:dyDescent="0.3">
      <c r="A24" s="27" t="s">
        <v>21</v>
      </c>
      <c r="B24" s="297">
        <v>6341</v>
      </c>
      <c r="C24" s="3">
        <v>14300</v>
      </c>
      <c r="D24" s="298">
        <v>1634928</v>
      </c>
      <c r="E24" s="310">
        <f t="shared" si="1"/>
        <v>257.83441097618675</v>
      </c>
    </row>
    <row r="25" spans="1:14" x14ac:dyDescent="0.3">
      <c r="A25" s="27" t="s">
        <v>69</v>
      </c>
      <c r="B25" s="297">
        <v>8218</v>
      </c>
      <c r="C25" s="3">
        <v>16820</v>
      </c>
      <c r="D25" s="298">
        <v>1933552</v>
      </c>
      <c r="E25" s="310">
        <f t="shared" si="1"/>
        <v>235.28255049890484</v>
      </c>
    </row>
    <row r="26" spans="1:14" x14ac:dyDescent="0.3">
      <c r="A26" s="27" t="s">
        <v>22</v>
      </c>
      <c r="B26" s="297">
        <v>5369</v>
      </c>
      <c r="C26" s="3">
        <v>12847</v>
      </c>
      <c r="D26" s="298">
        <v>1438971</v>
      </c>
      <c r="E26" s="310">
        <f t="shared" si="1"/>
        <v>268.01471409945987</v>
      </c>
    </row>
    <row r="27" spans="1:14" x14ac:dyDescent="0.3">
      <c r="A27" s="27" t="s">
        <v>23</v>
      </c>
      <c r="B27" s="297">
        <v>4528</v>
      </c>
      <c r="C27" s="3">
        <v>10037</v>
      </c>
      <c r="D27" s="298">
        <v>1126692</v>
      </c>
      <c r="E27" s="310">
        <f t="shared" si="1"/>
        <v>248.82773851590105</v>
      </c>
    </row>
    <row r="28" spans="1:14" ht="19.5" thickBot="1" x14ac:dyDescent="0.35">
      <c r="A28" s="29" t="s">
        <v>160</v>
      </c>
      <c r="B28" s="311">
        <v>6412</v>
      </c>
      <c r="C28" s="4">
        <v>14514</v>
      </c>
      <c r="D28" s="312">
        <v>1660513</v>
      </c>
      <c r="E28" s="313">
        <f>D28/B28</f>
        <v>258.96958827199001</v>
      </c>
    </row>
    <row r="29" spans="1:14" ht="19.5" thickBot="1" x14ac:dyDescent="0.35">
      <c r="A29" s="301" t="s">
        <v>88</v>
      </c>
      <c r="B29" s="302">
        <f>SUM(B18:B28)</f>
        <v>73224</v>
      </c>
      <c r="C29" s="303">
        <v>181779</v>
      </c>
      <c r="D29" s="304">
        <f>SUM(D18:D28)</f>
        <v>17923089</v>
      </c>
      <c r="E29" s="305">
        <f t="shared" si="1"/>
        <v>244.77068993772534</v>
      </c>
    </row>
    <row r="30" spans="1:14" ht="19.5" thickBot="1" x14ac:dyDescent="0.35">
      <c r="A30" s="35"/>
      <c r="B30" s="45"/>
      <c r="C30" s="45"/>
      <c r="D30" s="45"/>
      <c r="E30" s="36"/>
    </row>
    <row r="31" spans="1:14" ht="19.5" thickBot="1" x14ac:dyDescent="0.35">
      <c r="A31" s="22" t="s">
        <v>2</v>
      </c>
      <c r="B31" s="46"/>
      <c r="C31" s="46"/>
      <c r="D31" s="46"/>
      <c r="E31" s="47"/>
    </row>
    <row r="32" spans="1:14" x14ac:dyDescent="0.3">
      <c r="A32" s="25" t="s">
        <v>24</v>
      </c>
      <c r="B32" s="17">
        <v>21454</v>
      </c>
      <c r="C32" s="7">
        <v>45328</v>
      </c>
      <c r="D32" s="8">
        <v>5156262</v>
      </c>
      <c r="E32" s="28">
        <f t="shared" ref="E32:E41" si="2">D32/B32</f>
        <v>240.34035611074859</v>
      </c>
    </row>
    <row r="33" spans="1:5" x14ac:dyDescent="0.3">
      <c r="A33" s="27" t="s">
        <v>25</v>
      </c>
      <c r="B33" s="9">
        <v>3936</v>
      </c>
      <c r="C33" s="7">
        <v>8649</v>
      </c>
      <c r="D33" s="9">
        <v>991776</v>
      </c>
      <c r="E33" s="28">
        <f t="shared" si="2"/>
        <v>251.97560975609755</v>
      </c>
    </row>
    <row r="34" spans="1:5" x14ac:dyDescent="0.3">
      <c r="A34" s="27" t="s">
        <v>26</v>
      </c>
      <c r="B34" s="9">
        <v>6470</v>
      </c>
      <c r="C34" s="7">
        <v>14572</v>
      </c>
      <c r="D34" s="9">
        <v>1640730</v>
      </c>
      <c r="E34" s="28">
        <f t="shared" si="2"/>
        <v>253.59041731066461</v>
      </c>
    </row>
    <row r="35" spans="1:5" x14ac:dyDescent="0.3">
      <c r="A35" s="27" t="s">
        <v>27</v>
      </c>
      <c r="B35" s="9">
        <v>4120</v>
      </c>
      <c r="C35" s="7">
        <v>8867</v>
      </c>
      <c r="D35" s="9">
        <v>996105</v>
      </c>
      <c r="E35" s="28">
        <f t="shared" si="2"/>
        <v>241.77305825242718</v>
      </c>
    </row>
    <row r="36" spans="1:5" x14ac:dyDescent="0.3">
      <c r="A36" s="27" t="s">
        <v>28</v>
      </c>
      <c r="B36" s="9">
        <v>4903</v>
      </c>
      <c r="C36" s="7">
        <v>10662</v>
      </c>
      <c r="D36" s="9">
        <v>1192025</v>
      </c>
      <c r="E36" s="28">
        <f t="shared" si="2"/>
        <v>243.12155822965531</v>
      </c>
    </row>
    <row r="37" spans="1:5" x14ac:dyDescent="0.3">
      <c r="A37" s="27" t="s">
        <v>29</v>
      </c>
      <c r="B37" s="9">
        <v>7720</v>
      </c>
      <c r="C37" s="7">
        <v>17480</v>
      </c>
      <c r="D37" s="9">
        <v>1964419</v>
      </c>
      <c r="E37" s="28">
        <f t="shared" si="2"/>
        <v>254.45841968911918</v>
      </c>
    </row>
    <row r="38" spans="1:5" x14ac:dyDescent="0.3">
      <c r="A38" s="27" t="s">
        <v>161</v>
      </c>
      <c r="B38" s="9">
        <v>9465</v>
      </c>
      <c r="C38" s="7">
        <v>23144</v>
      </c>
      <c r="D38" s="9">
        <v>2308634</v>
      </c>
      <c r="E38" s="28">
        <f>D38/B38</f>
        <v>243.91273111463286</v>
      </c>
    </row>
    <row r="39" spans="1:5" x14ac:dyDescent="0.3">
      <c r="A39" s="27" t="s">
        <v>30</v>
      </c>
      <c r="B39" s="9">
        <v>5621</v>
      </c>
      <c r="C39" s="7">
        <v>12407</v>
      </c>
      <c r="D39" s="9">
        <v>1404805</v>
      </c>
      <c r="E39" s="28">
        <f t="shared" si="2"/>
        <v>249.92083259206547</v>
      </c>
    </row>
    <row r="40" spans="1:5" ht="19.5" thickBot="1" x14ac:dyDescent="0.35">
      <c r="A40" s="43" t="s">
        <v>162</v>
      </c>
      <c r="B40" s="9">
        <v>10052</v>
      </c>
      <c r="C40" s="7">
        <v>21308</v>
      </c>
      <c r="D40" s="12">
        <v>2428769</v>
      </c>
      <c r="E40" s="31">
        <f>D40/B40</f>
        <v>241.62047353760445</v>
      </c>
    </row>
    <row r="41" spans="1:5" ht="19.5" thickBot="1" x14ac:dyDescent="0.35">
      <c r="A41" s="32" t="s">
        <v>91</v>
      </c>
      <c r="B41" s="44">
        <f>SUM(B32:B40)</f>
        <v>73741</v>
      </c>
      <c r="C41" s="44">
        <f t="shared" ref="C41:D41" si="3">SUM(C32:C40)</f>
        <v>162417</v>
      </c>
      <c r="D41" s="44">
        <f t="shared" si="3"/>
        <v>18083525</v>
      </c>
      <c r="E41" s="34">
        <f t="shared" si="2"/>
        <v>245.23026538831857</v>
      </c>
    </row>
    <row r="42" spans="1:5" ht="19.5" thickBot="1" x14ac:dyDescent="0.35">
      <c r="A42" s="48"/>
      <c r="B42" s="49"/>
      <c r="C42" s="49"/>
      <c r="D42" s="49"/>
      <c r="E42" s="50"/>
    </row>
    <row r="43" spans="1:5" ht="19.5" thickBot="1" x14ac:dyDescent="0.35">
      <c r="A43" s="22" t="s">
        <v>3</v>
      </c>
      <c r="B43" s="46"/>
      <c r="C43" s="46"/>
      <c r="D43" s="46"/>
      <c r="E43" s="47"/>
    </row>
    <row r="44" spans="1:5" x14ac:dyDescent="0.3">
      <c r="A44" s="25" t="s">
        <v>31</v>
      </c>
      <c r="B44" s="17">
        <v>3826</v>
      </c>
      <c r="C44" s="7">
        <v>8080</v>
      </c>
      <c r="D44" s="8">
        <v>924709</v>
      </c>
      <c r="E44" s="28">
        <f t="shared" ref="E44:E51" si="4">D44/B44</f>
        <v>241.69079979090435</v>
      </c>
    </row>
    <row r="45" spans="1:5" x14ac:dyDescent="0.3">
      <c r="A45" s="27" t="s">
        <v>32</v>
      </c>
      <c r="B45" s="9">
        <v>6817</v>
      </c>
      <c r="C45" s="7">
        <v>15946</v>
      </c>
      <c r="D45" s="9">
        <v>1802221</v>
      </c>
      <c r="E45" s="28">
        <f t="shared" si="4"/>
        <v>264.37157107231923</v>
      </c>
    </row>
    <row r="46" spans="1:5" x14ac:dyDescent="0.3">
      <c r="A46" s="27" t="s">
        <v>92</v>
      </c>
      <c r="B46" s="9">
        <v>17294</v>
      </c>
      <c r="C46" s="7">
        <v>35383</v>
      </c>
      <c r="D46" s="9">
        <v>4008577</v>
      </c>
      <c r="E46" s="28">
        <f t="shared" si="4"/>
        <v>231.79004278940673</v>
      </c>
    </row>
    <row r="47" spans="1:5" x14ac:dyDescent="0.3">
      <c r="A47" s="27" t="s">
        <v>33</v>
      </c>
      <c r="B47" s="9">
        <v>5357</v>
      </c>
      <c r="C47" s="7">
        <v>11659</v>
      </c>
      <c r="D47" s="9">
        <v>1316185</v>
      </c>
      <c r="E47" s="28">
        <f t="shared" si="4"/>
        <v>245.69441851782713</v>
      </c>
    </row>
    <row r="48" spans="1:5" x14ac:dyDescent="0.3">
      <c r="A48" s="27" t="s">
        <v>34</v>
      </c>
      <c r="B48" s="9">
        <v>4387</v>
      </c>
      <c r="C48" s="7">
        <v>9254</v>
      </c>
      <c r="D48" s="9">
        <v>1062686</v>
      </c>
      <c r="E48" s="28">
        <f t="shared" si="4"/>
        <v>242.23524048324595</v>
      </c>
    </row>
    <row r="49" spans="1:5" x14ac:dyDescent="0.3">
      <c r="A49" s="27" t="s">
        <v>35</v>
      </c>
      <c r="B49" s="9">
        <v>4231</v>
      </c>
      <c r="C49" s="7">
        <v>8484</v>
      </c>
      <c r="D49" s="9">
        <v>971098</v>
      </c>
      <c r="E49" s="28">
        <f t="shared" si="4"/>
        <v>229.51973528716616</v>
      </c>
    </row>
    <row r="50" spans="1:5" ht="19.5" thickBot="1" x14ac:dyDescent="0.35">
      <c r="A50" s="27" t="s">
        <v>36</v>
      </c>
      <c r="B50" s="10">
        <v>6279</v>
      </c>
      <c r="C50" s="7">
        <v>13008</v>
      </c>
      <c r="D50" s="9">
        <v>1475685</v>
      </c>
      <c r="E50" s="28">
        <f t="shared" si="4"/>
        <v>235.01911132345916</v>
      </c>
    </row>
    <row r="51" spans="1:5" ht="19.5" thickBot="1" x14ac:dyDescent="0.35">
      <c r="A51" s="32" t="s">
        <v>91</v>
      </c>
      <c r="B51" s="44">
        <f>SUM(B44:B50)</f>
        <v>48191</v>
      </c>
      <c r="C51" s="44">
        <f t="shared" ref="C51:D51" si="5">SUM(C44:C50)</f>
        <v>101814</v>
      </c>
      <c r="D51" s="44">
        <f t="shared" si="5"/>
        <v>11561161</v>
      </c>
      <c r="E51" s="34">
        <f t="shared" si="4"/>
        <v>239.90290718183894</v>
      </c>
    </row>
    <row r="52" spans="1:5" ht="19.5" thickBot="1" x14ac:dyDescent="0.35">
      <c r="A52" s="48"/>
      <c r="B52" s="49"/>
      <c r="C52" s="49"/>
      <c r="D52" s="49"/>
      <c r="E52" s="50"/>
    </row>
    <row r="53" spans="1:5" ht="19.5" thickBot="1" x14ac:dyDescent="0.35">
      <c r="A53" s="22" t="s">
        <v>4</v>
      </c>
      <c r="B53" s="46"/>
      <c r="C53" s="46"/>
      <c r="D53" s="46"/>
      <c r="E53" s="47"/>
    </row>
    <row r="54" spans="1:5" x14ac:dyDescent="0.3">
      <c r="A54" s="25" t="s">
        <v>37</v>
      </c>
      <c r="B54" s="17">
        <v>6576</v>
      </c>
      <c r="C54" s="7">
        <v>14434</v>
      </c>
      <c r="D54" s="8">
        <v>1622574</v>
      </c>
      <c r="E54" s="28">
        <f t="shared" ref="E54:E60" si="6">D54/B54</f>
        <v>246.74178832116789</v>
      </c>
    </row>
    <row r="55" spans="1:5" x14ac:dyDescent="0.3">
      <c r="A55" s="27" t="s">
        <v>163</v>
      </c>
      <c r="B55" s="9">
        <v>15093</v>
      </c>
      <c r="C55" s="7">
        <v>31663</v>
      </c>
      <c r="D55" s="9">
        <v>3590644</v>
      </c>
      <c r="E55" s="28">
        <f>D55/B55</f>
        <v>237.90127873848803</v>
      </c>
    </row>
    <row r="56" spans="1:5" x14ac:dyDescent="0.3">
      <c r="A56" s="27" t="s">
        <v>94</v>
      </c>
      <c r="B56" s="9">
        <v>4310</v>
      </c>
      <c r="C56" s="7">
        <v>10112</v>
      </c>
      <c r="D56" s="9">
        <v>1153256</v>
      </c>
      <c r="E56" s="28">
        <f t="shared" si="6"/>
        <v>267.57679814385153</v>
      </c>
    </row>
    <row r="57" spans="1:5" x14ac:dyDescent="0.3">
      <c r="A57" s="27" t="s">
        <v>38</v>
      </c>
      <c r="B57" s="9">
        <v>3115</v>
      </c>
      <c r="C57" s="7">
        <v>6713</v>
      </c>
      <c r="D57" s="9">
        <v>760549</v>
      </c>
      <c r="E57" s="28">
        <f t="shared" si="6"/>
        <v>244.15698234349921</v>
      </c>
    </row>
    <row r="58" spans="1:5" x14ac:dyDescent="0.3">
      <c r="A58" s="27" t="s">
        <v>164</v>
      </c>
      <c r="B58" s="9">
        <v>7442</v>
      </c>
      <c r="C58" s="7">
        <v>15946</v>
      </c>
      <c r="D58" s="9">
        <v>1803019</v>
      </c>
      <c r="E58" s="28">
        <f>D58/B58</f>
        <v>242.27613544746035</v>
      </c>
    </row>
    <row r="59" spans="1:5" ht="19.5" thickBot="1" x14ac:dyDescent="0.35">
      <c r="A59" s="27" t="s">
        <v>165</v>
      </c>
      <c r="B59" s="9">
        <v>6760</v>
      </c>
      <c r="C59" s="7">
        <v>14111</v>
      </c>
      <c r="D59" s="9">
        <v>1603189</v>
      </c>
      <c r="E59" s="28">
        <f>D59/B59</f>
        <v>237.15813609467455</v>
      </c>
    </row>
    <row r="60" spans="1:5" ht="19.5" thickBot="1" x14ac:dyDescent="0.35">
      <c r="A60" s="32" t="s">
        <v>91</v>
      </c>
      <c r="B60" s="44">
        <f>SUM(B54:B59)</f>
        <v>43296</v>
      </c>
      <c r="C60" s="44">
        <f t="shared" ref="C60:D60" si="7">SUM(C54:C59)</f>
        <v>92979</v>
      </c>
      <c r="D60" s="44">
        <f t="shared" si="7"/>
        <v>10533231</v>
      </c>
      <c r="E60" s="34">
        <f t="shared" si="6"/>
        <v>243.28416019955654</v>
      </c>
    </row>
    <row r="61" spans="1:5" ht="19.5" thickBot="1" x14ac:dyDescent="0.35">
      <c r="A61" s="48"/>
      <c r="B61" s="49"/>
      <c r="C61" s="49"/>
      <c r="D61" s="49"/>
      <c r="E61" s="50"/>
    </row>
    <row r="62" spans="1:5" ht="19.5" thickBot="1" x14ac:dyDescent="0.35">
      <c r="A62" s="22" t="s">
        <v>5</v>
      </c>
      <c r="B62" s="46"/>
      <c r="C62" s="46"/>
      <c r="D62" s="46"/>
      <c r="E62" s="47"/>
    </row>
    <row r="63" spans="1:5" x14ac:dyDescent="0.3">
      <c r="A63" s="25" t="s">
        <v>39</v>
      </c>
      <c r="B63" s="17">
        <v>3332</v>
      </c>
      <c r="C63" s="7">
        <v>7298</v>
      </c>
      <c r="D63" s="8">
        <v>824538</v>
      </c>
      <c r="E63" s="28">
        <f t="shared" ref="E63:E69" si="8">D63/B63</f>
        <v>247.46038415366147</v>
      </c>
    </row>
    <row r="64" spans="1:5" x14ac:dyDescent="0.3">
      <c r="A64" s="27" t="s">
        <v>40</v>
      </c>
      <c r="B64" s="9">
        <v>5490</v>
      </c>
      <c r="C64" s="7">
        <v>10824</v>
      </c>
      <c r="D64" s="9">
        <v>1216523</v>
      </c>
      <c r="E64" s="28">
        <f t="shared" si="8"/>
        <v>221.5888888888889</v>
      </c>
    </row>
    <row r="65" spans="1:5" x14ac:dyDescent="0.3">
      <c r="A65" s="27" t="s">
        <v>5</v>
      </c>
      <c r="B65" s="9">
        <v>6882</v>
      </c>
      <c r="C65" s="7">
        <v>14574</v>
      </c>
      <c r="D65" s="9">
        <v>1655289</v>
      </c>
      <c r="E65" s="28">
        <f t="shared" si="8"/>
        <v>240.52441150828247</v>
      </c>
    </row>
    <row r="66" spans="1:5" x14ac:dyDescent="0.3">
      <c r="A66" s="27" t="s">
        <v>41</v>
      </c>
      <c r="B66" s="9">
        <v>3356</v>
      </c>
      <c r="C66" s="7">
        <v>6941</v>
      </c>
      <c r="D66" s="9">
        <v>795115</v>
      </c>
      <c r="E66" s="28">
        <f t="shared" si="8"/>
        <v>236.92342073897498</v>
      </c>
    </row>
    <row r="67" spans="1:5" x14ac:dyDescent="0.3">
      <c r="A67" s="27" t="s">
        <v>42</v>
      </c>
      <c r="B67" s="9">
        <v>5019</v>
      </c>
      <c r="C67" s="7">
        <v>10590</v>
      </c>
      <c r="D67" s="9">
        <v>1204278</v>
      </c>
      <c r="E67" s="28">
        <f t="shared" si="8"/>
        <v>239.94381350866706</v>
      </c>
    </row>
    <row r="68" spans="1:5" ht="19.5" thickBot="1" x14ac:dyDescent="0.35">
      <c r="A68" s="29" t="s">
        <v>43</v>
      </c>
      <c r="B68" s="10">
        <v>3319</v>
      </c>
      <c r="C68" s="7">
        <v>7476</v>
      </c>
      <c r="D68" s="10">
        <v>829320</v>
      </c>
      <c r="E68" s="28">
        <f t="shared" si="8"/>
        <v>249.87044290448929</v>
      </c>
    </row>
    <row r="69" spans="1:5" ht="19.5" thickBot="1" x14ac:dyDescent="0.35">
      <c r="A69" s="32" t="s">
        <v>91</v>
      </c>
      <c r="B69" s="44">
        <f>SUM(B63:B68)</f>
        <v>27398</v>
      </c>
      <c r="C69" s="44">
        <f t="shared" ref="C69:D69" si="9">SUM(C63:C68)</f>
        <v>57703</v>
      </c>
      <c r="D69" s="44">
        <f t="shared" si="9"/>
        <v>6525063</v>
      </c>
      <c r="E69" s="34">
        <f t="shared" si="8"/>
        <v>238.15836922403096</v>
      </c>
    </row>
    <row r="70" spans="1:5" ht="19.5" thickBot="1" x14ac:dyDescent="0.35">
      <c r="A70" s="48"/>
      <c r="B70" s="49"/>
      <c r="C70" s="49"/>
      <c r="D70" s="49"/>
      <c r="E70" s="50"/>
    </row>
    <row r="71" spans="1:5" ht="19.5" thickBot="1" x14ac:dyDescent="0.35">
      <c r="A71" s="22" t="s">
        <v>6</v>
      </c>
      <c r="B71" s="46"/>
      <c r="C71" s="46"/>
      <c r="D71" s="46"/>
      <c r="E71" s="47"/>
    </row>
    <row r="72" spans="1:5" x14ac:dyDescent="0.3">
      <c r="A72" s="25" t="s">
        <v>44</v>
      </c>
      <c r="B72" s="17">
        <v>1826</v>
      </c>
      <c r="C72" s="7">
        <v>3851</v>
      </c>
      <c r="D72" s="8">
        <v>433590</v>
      </c>
      <c r="E72" s="28">
        <f t="shared" ref="E72:E82" si="10">D72/B72</f>
        <v>237.45345016429354</v>
      </c>
    </row>
    <row r="73" spans="1:5" x14ac:dyDescent="0.3">
      <c r="A73" s="27" t="s">
        <v>70</v>
      </c>
      <c r="B73" s="9">
        <v>113</v>
      </c>
      <c r="C73" s="7">
        <v>242</v>
      </c>
      <c r="D73" s="9">
        <v>25962</v>
      </c>
      <c r="E73" s="28">
        <f t="shared" si="10"/>
        <v>229.75221238938053</v>
      </c>
    </row>
    <row r="74" spans="1:5" x14ac:dyDescent="0.3">
      <c r="A74" s="27" t="s">
        <v>45</v>
      </c>
      <c r="B74" s="9">
        <v>5665</v>
      </c>
      <c r="C74" s="7">
        <v>11947</v>
      </c>
      <c r="D74" s="9">
        <v>1360917</v>
      </c>
      <c r="E74" s="28">
        <f t="shared" si="10"/>
        <v>240.23248014121802</v>
      </c>
    </row>
    <row r="75" spans="1:5" x14ac:dyDescent="0.3">
      <c r="A75" s="27" t="s">
        <v>6</v>
      </c>
      <c r="B75" s="9">
        <v>9304</v>
      </c>
      <c r="C75" s="7">
        <v>18727</v>
      </c>
      <c r="D75" s="9">
        <v>2139700</v>
      </c>
      <c r="E75" s="28">
        <f t="shared" si="10"/>
        <v>229.97635425623389</v>
      </c>
    </row>
    <row r="76" spans="1:5" x14ac:dyDescent="0.3">
      <c r="A76" s="27" t="s">
        <v>198</v>
      </c>
      <c r="B76" s="9">
        <v>6985</v>
      </c>
      <c r="C76" s="7">
        <v>14943</v>
      </c>
      <c r="D76" s="9">
        <v>1708561</v>
      </c>
      <c r="E76" s="28">
        <f t="shared" si="10"/>
        <v>244.60429491768073</v>
      </c>
    </row>
    <row r="77" spans="1:5" x14ac:dyDescent="0.3">
      <c r="A77" s="27" t="s">
        <v>47</v>
      </c>
      <c r="B77" s="9">
        <v>5810</v>
      </c>
      <c r="C77" s="7">
        <v>12041</v>
      </c>
      <c r="D77" s="9">
        <v>1381561</v>
      </c>
      <c r="E77" s="28">
        <f t="shared" si="10"/>
        <v>237.79018932874354</v>
      </c>
    </row>
    <row r="78" spans="1:5" x14ac:dyDescent="0.3">
      <c r="A78" s="27" t="s">
        <v>48</v>
      </c>
      <c r="B78" s="9">
        <v>2406</v>
      </c>
      <c r="C78" s="7">
        <v>4975</v>
      </c>
      <c r="D78" s="9">
        <v>563708</v>
      </c>
      <c r="E78" s="28">
        <f t="shared" si="10"/>
        <v>234.29260182876143</v>
      </c>
    </row>
    <row r="79" spans="1:5" x14ac:dyDescent="0.3">
      <c r="A79" s="27" t="s">
        <v>49</v>
      </c>
      <c r="B79" s="9">
        <v>4261</v>
      </c>
      <c r="C79" s="7">
        <v>8875</v>
      </c>
      <c r="D79" s="9">
        <v>1014993</v>
      </c>
      <c r="E79" s="28">
        <f t="shared" si="10"/>
        <v>238.20535085660643</v>
      </c>
    </row>
    <row r="80" spans="1:5" x14ac:dyDescent="0.3">
      <c r="A80" s="27" t="s">
        <v>50</v>
      </c>
      <c r="B80" s="9">
        <v>1719</v>
      </c>
      <c r="C80" s="7">
        <v>3546</v>
      </c>
      <c r="D80" s="9">
        <v>406626</v>
      </c>
      <c r="E80" s="28">
        <f t="shared" si="10"/>
        <v>236.54799301919721</v>
      </c>
    </row>
    <row r="81" spans="1:5" ht="19.5" thickBot="1" x14ac:dyDescent="0.35">
      <c r="A81" s="29" t="s">
        <v>51</v>
      </c>
      <c r="B81" s="10">
        <v>7709</v>
      </c>
      <c r="C81" s="7">
        <v>16012</v>
      </c>
      <c r="D81" s="10">
        <v>1819261</v>
      </c>
      <c r="E81" s="28">
        <f t="shared" si="10"/>
        <v>235.99182773381762</v>
      </c>
    </row>
    <row r="82" spans="1:5" ht="19.5" thickBot="1" x14ac:dyDescent="0.35">
      <c r="A82" s="32" t="s">
        <v>91</v>
      </c>
      <c r="B82" s="44">
        <f>SUM(B72:B81)</f>
        <v>45798</v>
      </c>
      <c r="C82" s="44">
        <f t="shared" ref="C82:D82" si="11">SUM(C72:C81)</f>
        <v>95159</v>
      </c>
      <c r="D82" s="44">
        <f t="shared" si="11"/>
        <v>10854879</v>
      </c>
      <c r="E82" s="34">
        <f t="shared" si="10"/>
        <v>237.01644176601599</v>
      </c>
    </row>
    <row r="83" spans="1:5" ht="19.5" thickBot="1" x14ac:dyDescent="0.35">
      <c r="A83" s="48"/>
      <c r="B83" s="49"/>
      <c r="C83" s="49"/>
      <c r="D83" s="49"/>
      <c r="E83" s="50"/>
    </row>
    <row r="84" spans="1:5" ht="19.5" thickBot="1" x14ac:dyDescent="0.35">
      <c r="A84" s="22" t="s">
        <v>7</v>
      </c>
      <c r="B84" s="46"/>
      <c r="C84" s="46"/>
      <c r="D84" s="46"/>
      <c r="E84" s="47"/>
    </row>
    <row r="85" spans="1:5" x14ac:dyDescent="0.3">
      <c r="A85" s="25" t="s">
        <v>52</v>
      </c>
      <c r="B85" s="17">
        <v>4598</v>
      </c>
      <c r="C85" s="7">
        <v>9550</v>
      </c>
      <c r="D85" s="8">
        <v>1082740</v>
      </c>
      <c r="E85" s="28">
        <f t="shared" ref="E85:E92" si="12">D85/B85</f>
        <v>235.48064375815571</v>
      </c>
    </row>
    <row r="86" spans="1:5" x14ac:dyDescent="0.3">
      <c r="A86" s="27" t="s">
        <v>53</v>
      </c>
      <c r="B86" s="9">
        <v>6178</v>
      </c>
      <c r="C86" s="7">
        <v>13267</v>
      </c>
      <c r="D86" s="9">
        <v>1501488</v>
      </c>
      <c r="E86" s="28">
        <f t="shared" si="12"/>
        <v>243.03787633538363</v>
      </c>
    </row>
    <row r="87" spans="1:5" x14ac:dyDescent="0.3">
      <c r="A87" s="27" t="s">
        <v>54</v>
      </c>
      <c r="B87" s="9">
        <v>3657</v>
      </c>
      <c r="C87" s="7">
        <v>8110</v>
      </c>
      <c r="D87" s="9">
        <v>915002</v>
      </c>
      <c r="E87" s="28">
        <f t="shared" si="12"/>
        <v>250.20563303254033</v>
      </c>
    </row>
    <row r="88" spans="1:5" x14ac:dyDescent="0.3">
      <c r="A88" s="27" t="s">
        <v>55</v>
      </c>
      <c r="B88" s="9">
        <v>1909</v>
      </c>
      <c r="C88" s="7">
        <v>3668</v>
      </c>
      <c r="D88" s="9">
        <v>416198</v>
      </c>
      <c r="E88" s="28">
        <f t="shared" si="12"/>
        <v>218.0188580408591</v>
      </c>
    </row>
    <row r="89" spans="1:5" x14ac:dyDescent="0.3">
      <c r="A89" s="27" t="s">
        <v>56</v>
      </c>
      <c r="B89" s="9">
        <v>4136</v>
      </c>
      <c r="C89" s="7">
        <v>8946</v>
      </c>
      <c r="D89" s="9">
        <v>1012361</v>
      </c>
      <c r="E89" s="28">
        <f t="shared" si="12"/>
        <v>244.76813346228241</v>
      </c>
    </row>
    <row r="90" spans="1:5" x14ac:dyDescent="0.3">
      <c r="A90" s="27" t="s">
        <v>57</v>
      </c>
      <c r="B90" s="9">
        <v>994</v>
      </c>
      <c r="C90" s="7">
        <v>2429</v>
      </c>
      <c r="D90" s="9">
        <v>274119</v>
      </c>
      <c r="E90" s="28">
        <f t="shared" si="12"/>
        <v>275.77364185110662</v>
      </c>
    </row>
    <row r="91" spans="1:5" x14ac:dyDescent="0.3">
      <c r="A91" s="27" t="s">
        <v>166</v>
      </c>
      <c r="B91" s="9">
        <v>13116</v>
      </c>
      <c r="C91" s="7">
        <v>26326</v>
      </c>
      <c r="D91" s="9">
        <v>3031285</v>
      </c>
      <c r="E91" s="28">
        <f>D91/B91</f>
        <v>231.11352546508081</v>
      </c>
    </row>
    <row r="92" spans="1:5" x14ac:dyDescent="0.3">
      <c r="A92" s="51" t="s">
        <v>58</v>
      </c>
      <c r="B92" s="9">
        <v>3554</v>
      </c>
      <c r="C92" s="7">
        <v>7733</v>
      </c>
      <c r="D92" s="9">
        <v>867187</v>
      </c>
      <c r="E92" s="28">
        <f t="shared" si="12"/>
        <v>244.00309510410804</v>
      </c>
    </row>
    <row r="93" spans="1:5" ht="19.5" thickBot="1" x14ac:dyDescent="0.35">
      <c r="A93" s="27" t="s">
        <v>59</v>
      </c>
      <c r="B93" s="10">
        <v>5448</v>
      </c>
      <c r="C93" s="7">
        <v>11344</v>
      </c>
      <c r="D93" s="9">
        <v>1290206</v>
      </c>
      <c r="E93" s="28">
        <f>D93/B93</f>
        <v>236.821953010279</v>
      </c>
    </row>
    <row r="94" spans="1:5" ht="19.5" thickBot="1" x14ac:dyDescent="0.35">
      <c r="A94" s="32" t="s">
        <v>91</v>
      </c>
      <c r="B94" s="44">
        <f>SUM(B85:B93)</f>
        <v>43590</v>
      </c>
      <c r="C94" s="44">
        <f t="shared" ref="C94:D94" si="13">SUM(C85:C93)</f>
        <v>91373</v>
      </c>
      <c r="D94" s="44">
        <f t="shared" si="13"/>
        <v>10390586</v>
      </c>
      <c r="E94" s="34">
        <f>D94/B94</f>
        <v>238.37086487726543</v>
      </c>
    </row>
    <row r="95" spans="1:5" ht="19.5" thickBot="1" x14ac:dyDescent="0.35">
      <c r="A95" s="48"/>
      <c r="B95" s="49"/>
      <c r="C95" s="49"/>
      <c r="D95" s="49"/>
      <c r="E95" s="50"/>
    </row>
    <row r="96" spans="1:5" ht="19.5" thickBot="1" x14ac:dyDescent="0.35">
      <c r="A96" s="37" t="s">
        <v>8</v>
      </c>
      <c r="B96" s="46"/>
      <c r="C96" s="46"/>
      <c r="D96" s="46"/>
      <c r="E96" s="47"/>
    </row>
    <row r="97" spans="1:5" x14ac:dyDescent="0.3">
      <c r="A97" s="52" t="s">
        <v>167</v>
      </c>
      <c r="B97" s="17">
        <f>3364+786</f>
        <v>4150</v>
      </c>
      <c r="C97" s="7">
        <v>8194</v>
      </c>
      <c r="D97" s="8">
        <v>926585</v>
      </c>
      <c r="E97" s="28">
        <f t="shared" ref="E97:E109" si="14">D97/B97</f>
        <v>223.27349397590362</v>
      </c>
    </row>
    <row r="98" spans="1:5" x14ac:dyDescent="0.3">
      <c r="A98" s="53" t="s">
        <v>60</v>
      </c>
      <c r="B98" s="9">
        <v>4731</v>
      </c>
      <c r="C98" s="7">
        <v>9902</v>
      </c>
      <c r="D98" s="9">
        <v>1117248</v>
      </c>
      <c r="E98" s="28">
        <f t="shared" si="14"/>
        <v>236.15472415979707</v>
      </c>
    </row>
    <row r="99" spans="1:5" x14ac:dyDescent="0.3">
      <c r="A99" s="53" t="s">
        <v>169</v>
      </c>
      <c r="B99" s="9">
        <v>786</v>
      </c>
      <c r="C99" s="7">
        <v>1851</v>
      </c>
      <c r="D99" s="9">
        <v>213500</v>
      </c>
      <c r="E99" s="28">
        <f>D99/B99</f>
        <v>271.62849872773535</v>
      </c>
    </row>
    <row r="100" spans="1:5" x14ac:dyDescent="0.3">
      <c r="A100" s="53" t="s">
        <v>61</v>
      </c>
      <c r="B100" s="9">
        <v>6598</v>
      </c>
      <c r="C100" s="7">
        <v>14479</v>
      </c>
      <c r="D100" s="9">
        <v>1645447</v>
      </c>
      <c r="E100" s="28">
        <f t="shared" si="14"/>
        <v>249.38572294634739</v>
      </c>
    </row>
    <row r="101" spans="1:5" x14ac:dyDescent="0.3">
      <c r="A101" s="27" t="s">
        <v>62</v>
      </c>
      <c r="B101" s="9">
        <v>3860</v>
      </c>
      <c r="C101" s="7">
        <v>8753</v>
      </c>
      <c r="D101" s="9">
        <v>991617</v>
      </c>
      <c r="E101" s="28">
        <f t="shared" si="14"/>
        <v>256.89559585492231</v>
      </c>
    </row>
    <row r="102" spans="1:5" x14ac:dyDescent="0.3">
      <c r="A102" s="27" t="s">
        <v>63</v>
      </c>
      <c r="B102" s="9">
        <v>3177</v>
      </c>
      <c r="C102" s="7">
        <v>7874</v>
      </c>
      <c r="D102" s="9">
        <v>893229</v>
      </c>
      <c r="E102" s="28">
        <f t="shared" si="14"/>
        <v>281.15486307837585</v>
      </c>
    </row>
    <row r="103" spans="1:5" x14ac:dyDescent="0.3">
      <c r="A103" s="27" t="s">
        <v>64</v>
      </c>
      <c r="B103" s="9">
        <v>7122</v>
      </c>
      <c r="C103" s="7">
        <v>16492</v>
      </c>
      <c r="D103" s="9">
        <v>1847926</v>
      </c>
      <c r="E103" s="28">
        <f t="shared" si="14"/>
        <v>259.46728447065431</v>
      </c>
    </row>
    <row r="104" spans="1:5" x14ac:dyDescent="0.3">
      <c r="A104" s="27" t="s">
        <v>65</v>
      </c>
      <c r="B104" s="9">
        <v>5020</v>
      </c>
      <c r="C104" s="7">
        <v>11918</v>
      </c>
      <c r="D104" s="9">
        <v>1333460</v>
      </c>
      <c r="E104" s="28">
        <f t="shared" si="14"/>
        <v>265.62948207171314</v>
      </c>
    </row>
    <row r="105" spans="1:5" x14ac:dyDescent="0.3">
      <c r="A105" s="27" t="s">
        <v>66</v>
      </c>
      <c r="B105" s="9">
        <v>4060</v>
      </c>
      <c r="C105" s="7">
        <v>9828</v>
      </c>
      <c r="D105" s="9">
        <v>1093098</v>
      </c>
      <c r="E105" s="28">
        <f t="shared" si="14"/>
        <v>269.23596059113299</v>
      </c>
    </row>
    <row r="106" spans="1:5" x14ac:dyDescent="0.3">
      <c r="A106" s="27" t="s">
        <v>168</v>
      </c>
      <c r="B106" s="9">
        <v>26667</v>
      </c>
      <c r="C106" s="7">
        <v>60025</v>
      </c>
      <c r="D106" s="9">
        <v>6832891</v>
      </c>
      <c r="E106" s="28">
        <f t="shared" si="14"/>
        <v>256.23020962237973</v>
      </c>
    </row>
    <row r="107" spans="1:5" x14ac:dyDescent="0.3">
      <c r="A107" s="27" t="s">
        <v>67</v>
      </c>
      <c r="B107" s="9">
        <v>4667</v>
      </c>
      <c r="C107" s="7">
        <v>64997</v>
      </c>
      <c r="D107" s="9">
        <v>1240967</v>
      </c>
      <c r="E107" s="28">
        <f t="shared" si="14"/>
        <v>265.90250696378831</v>
      </c>
    </row>
    <row r="108" spans="1:5" ht="19.5" thickBot="1" x14ac:dyDescent="0.35">
      <c r="A108" s="27" t="s">
        <v>68</v>
      </c>
      <c r="B108" s="10">
        <v>6971</v>
      </c>
      <c r="C108" s="7">
        <v>15349</v>
      </c>
      <c r="D108" s="9">
        <v>1729745</v>
      </c>
      <c r="E108" s="28">
        <f t="shared" si="14"/>
        <v>248.13441400086072</v>
      </c>
    </row>
    <row r="109" spans="1:5" ht="19.5" thickBot="1" x14ac:dyDescent="0.35">
      <c r="A109" s="32" t="s">
        <v>91</v>
      </c>
      <c r="B109" s="44">
        <f>SUM(B97:B108)</f>
        <v>77809</v>
      </c>
      <c r="C109" s="44">
        <f t="shared" ref="C109:D109" si="15">SUM(C97:C108)</f>
        <v>229662</v>
      </c>
      <c r="D109" s="44">
        <f t="shared" si="15"/>
        <v>19865713</v>
      </c>
      <c r="E109" s="34">
        <f t="shared" si="14"/>
        <v>255.31381973807657</v>
      </c>
    </row>
    <row r="110" spans="1:5" ht="19.5" thickBot="1" x14ac:dyDescent="0.35">
      <c r="A110" s="48"/>
      <c r="B110" s="49"/>
      <c r="C110" s="49"/>
      <c r="D110" s="49"/>
      <c r="E110" s="50"/>
    </row>
    <row r="111" spans="1:5" ht="19.5" thickBot="1" x14ac:dyDescent="0.35">
      <c r="A111" s="22" t="s">
        <v>9</v>
      </c>
      <c r="B111" s="46"/>
      <c r="C111" s="46"/>
      <c r="D111" s="46"/>
      <c r="E111" s="47"/>
    </row>
    <row r="112" spans="1:5" x14ac:dyDescent="0.3">
      <c r="A112" s="25" t="s">
        <v>99</v>
      </c>
      <c r="B112" s="17">
        <v>1230</v>
      </c>
      <c r="C112" s="7">
        <v>2922</v>
      </c>
      <c r="D112" s="8">
        <v>332182</v>
      </c>
      <c r="E112" s="28">
        <f t="shared" ref="E112:E116" si="16">D112/B112</f>
        <v>270.06666666666666</v>
      </c>
    </row>
    <row r="113" spans="1:8" x14ac:dyDescent="0.3">
      <c r="A113" s="27" t="s">
        <v>157</v>
      </c>
      <c r="B113" s="9">
        <v>9251</v>
      </c>
      <c r="C113" s="7">
        <v>19110</v>
      </c>
      <c r="D113" s="9">
        <v>2185813</v>
      </c>
      <c r="E113" s="28">
        <f t="shared" si="16"/>
        <v>236.27856447951572</v>
      </c>
    </row>
    <row r="114" spans="1:8" x14ac:dyDescent="0.3">
      <c r="A114" s="27" t="s">
        <v>158</v>
      </c>
      <c r="B114" s="9">
        <v>29028</v>
      </c>
      <c r="C114" s="7">
        <v>61676</v>
      </c>
      <c r="D114" s="9">
        <v>6081501</v>
      </c>
      <c r="E114" s="28">
        <f t="shared" si="16"/>
        <v>209.50465068210005</v>
      </c>
    </row>
    <row r="115" spans="1:8" ht="19.5" thickBot="1" x14ac:dyDescent="0.35">
      <c r="A115" s="51" t="s">
        <v>159</v>
      </c>
      <c r="B115" s="9">
        <v>10698</v>
      </c>
      <c r="C115" s="7">
        <v>21591</v>
      </c>
      <c r="D115" s="9">
        <v>2498513</v>
      </c>
      <c r="E115" s="28">
        <f t="shared" si="16"/>
        <v>233.54954197046177</v>
      </c>
    </row>
    <row r="116" spans="1:8" ht="19.5" thickBot="1" x14ac:dyDescent="0.35">
      <c r="A116" s="32" t="s">
        <v>91</v>
      </c>
      <c r="B116" s="44">
        <f>SUM(B112:B115)</f>
        <v>50207</v>
      </c>
      <c r="C116" s="44">
        <f>SUM(C112:C115)</f>
        <v>105299</v>
      </c>
      <c r="D116" s="44">
        <f>SUM(D112:D115)</f>
        <v>11098009</v>
      </c>
      <c r="E116" s="34">
        <f t="shared" si="16"/>
        <v>221.04505347859859</v>
      </c>
    </row>
    <row r="117" spans="1:8" ht="19.5" thickBot="1" x14ac:dyDescent="0.35">
      <c r="A117" s="48"/>
      <c r="B117" s="49"/>
      <c r="C117" s="49"/>
      <c r="D117" s="49"/>
      <c r="E117" s="50"/>
    </row>
    <row r="118" spans="1:8" ht="19.5" thickBot="1" x14ac:dyDescent="0.35">
      <c r="A118" s="58" t="s">
        <v>74</v>
      </c>
      <c r="B118" s="55">
        <f>B15+B29+B41+B51+B60+B69+B82+B94+B109+B116</f>
        <v>526613</v>
      </c>
      <c r="C118" s="55">
        <f>C15+C29+C41+C51+C60+C69+C82+C94+C109+C116</f>
        <v>1210967</v>
      </c>
      <c r="D118" s="55">
        <f>D15+D29+D41+D51+D60+D69+D82+D94+D109+D116</f>
        <v>127409327</v>
      </c>
      <c r="E118" s="47">
        <f>SUM(E8:E115)</f>
        <v>22025.570823426238</v>
      </c>
      <c r="H118" s="295"/>
    </row>
    <row r="120" spans="1:8" x14ac:dyDescent="0.3">
      <c r="B120" s="272"/>
    </row>
  </sheetData>
  <mergeCells count="5">
    <mergeCell ref="A5:E5"/>
    <mergeCell ref="A1:E1"/>
    <mergeCell ref="A2:E2"/>
    <mergeCell ref="A3:E3"/>
    <mergeCell ref="A4:E4"/>
  </mergeCells>
  <phoneticPr fontId="0" type="noConversion"/>
  <pageMargins left="0.75" right="0.75" top="1" bottom="1" header="0.5" footer="0.5"/>
  <pageSetup orientation="portrait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8"/>
  <sheetViews>
    <sheetView zoomScale="80" zoomScaleNormal="8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K6" sqref="K6"/>
    </sheetView>
  </sheetViews>
  <sheetFormatPr defaultRowHeight="18.75" x14ac:dyDescent="0.3"/>
  <cols>
    <col min="1" max="1" width="23.42578125" style="56" customWidth="1"/>
    <col min="2" max="5" width="15.7109375" style="18" customWidth="1"/>
    <col min="6" max="6" width="9.140625" style="18"/>
    <col min="7" max="7" width="5.85546875" style="18" customWidth="1"/>
    <col min="8" max="14" width="9.140625" style="18"/>
    <col min="15" max="16384" width="9.140625" style="1"/>
  </cols>
  <sheetData>
    <row r="1" spans="1:14" x14ac:dyDescent="0.3">
      <c r="A1" s="356" t="s">
        <v>10</v>
      </c>
      <c r="B1" s="356"/>
      <c r="C1" s="356"/>
      <c r="D1" s="356"/>
      <c r="E1" s="356"/>
      <c r="H1" s="1"/>
      <c r="I1" s="1"/>
      <c r="J1" s="1"/>
      <c r="K1" s="1"/>
      <c r="L1" s="1"/>
      <c r="M1" s="1"/>
      <c r="N1" s="1"/>
    </row>
    <row r="2" spans="1:14" x14ac:dyDescent="0.3">
      <c r="A2" s="356" t="s">
        <v>71</v>
      </c>
      <c r="B2" s="356"/>
      <c r="C2" s="356"/>
      <c r="D2" s="356"/>
      <c r="E2" s="356"/>
      <c r="H2" s="1"/>
      <c r="I2" s="1"/>
      <c r="J2" s="1"/>
      <c r="K2" s="1"/>
      <c r="L2" s="1"/>
      <c r="M2" s="1"/>
      <c r="N2" s="1"/>
    </row>
    <row r="3" spans="1:14" x14ac:dyDescent="0.3">
      <c r="A3" s="357" t="s">
        <v>112</v>
      </c>
      <c r="B3" s="357"/>
      <c r="C3" s="357"/>
      <c r="D3" s="357"/>
      <c r="E3" s="357"/>
      <c r="H3" s="1"/>
      <c r="I3" s="1"/>
      <c r="J3" s="1"/>
      <c r="K3" s="1"/>
      <c r="L3" s="1"/>
      <c r="M3" s="1"/>
      <c r="N3" s="1"/>
    </row>
    <row r="4" spans="1:14" x14ac:dyDescent="0.3">
      <c r="A4" s="356" t="s">
        <v>136</v>
      </c>
      <c r="B4" s="356"/>
      <c r="C4" s="356"/>
      <c r="D4" s="356"/>
      <c r="E4" s="356"/>
      <c r="H4" s="1"/>
      <c r="I4" s="1"/>
      <c r="J4" s="1"/>
      <c r="K4" s="1"/>
      <c r="L4" s="1"/>
      <c r="M4" s="1"/>
      <c r="N4" s="1"/>
    </row>
    <row r="5" spans="1:14" ht="19.5" thickBot="1" x14ac:dyDescent="0.35">
      <c r="A5" s="354"/>
      <c r="B5" s="355"/>
      <c r="C5" s="355"/>
      <c r="D5" s="355"/>
      <c r="E5" s="355"/>
      <c r="H5" s="1"/>
      <c r="I5" s="1"/>
      <c r="J5" s="1"/>
      <c r="K5" s="1"/>
      <c r="L5" s="1"/>
      <c r="M5" s="1"/>
      <c r="N5" s="1"/>
    </row>
    <row r="6" spans="1:14" ht="57" thickBot="1" x14ac:dyDescent="0.35">
      <c r="A6" s="19"/>
      <c r="B6" s="20" t="s">
        <v>75</v>
      </c>
      <c r="C6" s="21" t="s">
        <v>76</v>
      </c>
      <c r="D6" s="21" t="s">
        <v>77</v>
      </c>
      <c r="E6" s="21" t="s">
        <v>78</v>
      </c>
      <c r="H6" s="1"/>
      <c r="I6" s="1"/>
      <c r="J6" s="1"/>
      <c r="K6" s="1"/>
      <c r="L6" s="1"/>
      <c r="M6" s="1"/>
      <c r="N6" s="1"/>
    </row>
    <row r="7" spans="1:14" ht="21.75" customHeight="1" thickBot="1" x14ac:dyDescent="0.35">
      <c r="A7" s="22" t="s">
        <v>0</v>
      </c>
      <c r="B7" s="23"/>
      <c r="C7" s="23"/>
      <c r="D7" s="23"/>
      <c r="E7" s="24"/>
      <c r="H7" s="1"/>
      <c r="I7" s="1"/>
      <c r="J7" s="1"/>
      <c r="K7" s="1"/>
      <c r="L7" s="1"/>
      <c r="M7" s="1"/>
      <c r="N7" s="1"/>
    </row>
    <row r="8" spans="1:14" x14ac:dyDescent="0.3">
      <c r="A8" s="25" t="s">
        <v>11</v>
      </c>
      <c r="B8" s="15">
        <v>6107</v>
      </c>
      <c r="C8" s="13">
        <v>13808</v>
      </c>
      <c r="D8" s="14">
        <v>1789740</v>
      </c>
      <c r="E8" s="26">
        <f>D8/B8</f>
        <v>293.06369739643031</v>
      </c>
      <c r="H8" s="1"/>
      <c r="I8" s="1"/>
      <c r="J8" s="1"/>
      <c r="K8" s="1"/>
      <c r="L8" s="1"/>
      <c r="M8" s="1"/>
      <c r="N8" s="1"/>
    </row>
    <row r="9" spans="1:14" x14ac:dyDescent="0.3">
      <c r="A9" s="27" t="s">
        <v>210</v>
      </c>
      <c r="B9" s="3">
        <v>10215</v>
      </c>
      <c r="C9" s="13">
        <v>21184</v>
      </c>
      <c r="D9" s="3">
        <v>2818939</v>
      </c>
      <c r="E9" s="28">
        <f>D9/B9</f>
        <v>275.96074400391581</v>
      </c>
      <c r="H9" s="1"/>
      <c r="I9" s="1"/>
      <c r="J9" s="1"/>
      <c r="K9" s="1"/>
      <c r="L9" s="1"/>
      <c r="M9" s="1"/>
      <c r="N9" s="1"/>
    </row>
    <row r="10" spans="1:14" x14ac:dyDescent="0.3">
      <c r="A10" s="27" t="s">
        <v>12</v>
      </c>
      <c r="B10" s="3">
        <v>6939</v>
      </c>
      <c r="C10" s="13">
        <v>14677</v>
      </c>
      <c r="D10" s="3">
        <v>1917741</v>
      </c>
      <c r="E10" s="28">
        <f t="shared" ref="E10:E15" si="0">D10/B10</f>
        <v>276.37137916126244</v>
      </c>
      <c r="H10" s="1"/>
      <c r="I10" s="1"/>
      <c r="J10" s="1"/>
      <c r="K10" s="1"/>
      <c r="L10" s="1"/>
      <c r="M10" s="1"/>
      <c r="N10" s="1"/>
    </row>
    <row r="11" spans="1:14" x14ac:dyDescent="0.3">
      <c r="A11" s="27" t="s">
        <v>13</v>
      </c>
      <c r="B11" s="3">
        <v>1730</v>
      </c>
      <c r="C11" s="13">
        <v>3835</v>
      </c>
      <c r="D11" s="3">
        <v>509583</v>
      </c>
      <c r="E11" s="28">
        <f t="shared" si="0"/>
        <v>294.55664739884395</v>
      </c>
      <c r="H11" s="1"/>
      <c r="I11" s="1"/>
      <c r="J11" s="1"/>
      <c r="K11" s="1"/>
      <c r="L11" s="1"/>
      <c r="M11" s="1"/>
      <c r="N11" s="1"/>
    </row>
    <row r="12" spans="1:14" x14ac:dyDescent="0.3">
      <c r="A12" s="27" t="s">
        <v>14</v>
      </c>
      <c r="B12" s="3">
        <v>7155</v>
      </c>
      <c r="C12" s="13">
        <v>16116</v>
      </c>
      <c r="D12" s="3">
        <v>2126623</v>
      </c>
      <c r="E12" s="28">
        <f t="shared" si="0"/>
        <v>297.22194269741442</v>
      </c>
      <c r="H12" s="1"/>
      <c r="I12" s="1"/>
      <c r="J12" s="1"/>
      <c r="K12" s="1"/>
      <c r="L12" s="1"/>
      <c r="M12" s="1"/>
      <c r="N12" s="1"/>
    </row>
    <row r="13" spans="1:14" x14ac:dyDescent="0.3">
      <c r="A13" s="27" t="s">
        <v>15</v>
      </c>
      <c r="B13" s="3">
        <v>2521</v>
      </c>
      <c r="C13" s="13">
        <v>5117</v>
      </c>
      <c r="D13" s="3">
        <v>675217</v>
      </c>
      <c r="E13" s="28">
        <f t="shared" si="0"/>
        <v>267.83696945656487</v>
      </c>
      <c r="H13" s="1"/>
      <c r="I13" s="1"/>
      <c r="J13" s="1"/>
      <c r="K13" s="1"/>
      <c r="L13" s="1"/>
      <c r="M13" s="1"/>
      <c r="N13" s="1"/>
    </row>
    <row r="14" spans="1:14" ht="19.5" thickBot="1" x14ac:dyDescent="0.35">
      <c r="A14" s="29" t="s">
        <v>209</v>
      </c>
      <c r="B14" s="4">
        <v>8793</v>
      </c>
      <c r="C14" s="13">
        <v>18052</v>
      </c>
      <c r="D14" s="11">
        <v>2406047</v>
      </c>
      <c r="E14" s="31">
        <f t="shared" si="0"/>
        <v>273.63209371090642</v>
      </c>
      <c r="H14" s="1"/>
      <c r="I14" s="1"/>
      <c r="J14" s="1"/>
      <c r="K14" s="1"/>
      <c r="L14" s="1"/>
      <c r="M14" s="1"/>
      <c r="N14" s="1"/>
    </row>
    <row r="15" spans="1:14" ht="19.5" thickBot="1" x14ac:dyDescent="0.35">
      <c r="A15" s="32" t="s">
        <v>85</v>
      </c>
      <c r="B15" s="33">
        <f>SUM(B8:B14)</f>
        <v>43460</v>
      </c>
      <c r="C15" s="33">
        <f t="shared" ref="C15:D15" si="1">SUM(C8:C14)</f>
        <v>92789</v>
      </c>
      <c r="D15" s="33">
        <f t="shared" si="1"/>
        <v>12243890</v>
      </c>
      <c r="E15" s="34">
        <f t="shared" si="0"/>
        <v>281.72779567418314</v>
      </c>
      <c r="H15" s="1"/>
      <c r="I15" s="1"/>
      <c r="J15" s="1"/>
      <c r="K15" s="1"/>
      <c r="L15" s="1"/>
      <c r="M15" s="1"/>
      <c r="N15" s="1"/>
    </row>
    <row r="16" spans="1:14" ht="19.5" thickBot="1" x14ac:dyDescent="0.35">
      <c r="A16" s="35"/>
      <c r="B16" s="36"/>
      <c r="C16" s="36"/>
      <c r="D16" s="36"/>
      <c r="E16" s="36"/>
    </row>
    <row r="17" spans="1:14" ht="19.5" thickBot="1" x14ac:dyDescent="0.35">
      <c r="A17" s="37" t="s">
        <v>1</v>
      </c>
      <c r="B17" s="38"/>
      <c r="C17" s="38"/>
      <c r="D17" s="38"/>
      <c r="E17" s="39"/>
    </row>
    <row r="18" spans="1:14" s="2" customFormat="1" x14ac:dyDescent="0.3">
      <c r="A18" s="40" t="s">
        <v>208</v>
      </c>
      <c r="B18" s="15">
        <v>17826</v>
      </c>
      <c r="C18" s="16">
        <v>35477</v>
      </c>
      <c r="D18" s="6">
        <v>4775210</v>
      </c>
      <c r="E18" s="28">
        <f>D18/B18</f>
        <v>267.87894087288231</v>
      </c>
      <c r="F18" s="42"/>
      <c r="G18" s="42"/>
      <c r="H18" s="42"/>
      <c r="I18" s="42"/>
      <c r="J18" s="42"/>
      <c r="K18" s="42"/>
      <c r="L18" s="42"/>
      <c r="M18" s="42"/>
      <c r="N18" s="42"/>
    </row>
    <row r="19" spans="1:14" x14ac:dyDescent="0.3">
      <c r="A19" s="284" t="s">
        <v>16</v>
      </c>
      <c r="B19" s="8">
        <v>4918</v>
      </c>
      <c r="C19" s="3">
        <v>10285</v>
      </c>
      <c r="D19" s="9">
        <v>1370030</v>
      </c>
      <c r="E19" s="28">
        <f t="shared" ref="E19:E27" si="2">D19/B19</f>
        <v>278.57462383082554</v>
      </c>
    </row>
    <row r="20" spans="1:14" x14ac:dyDescent="0.3">
      <c r="A20" s="27" t="s">
        <v>17</v>
      </c>
      <c r="B20" s="9">
        <v>6219</v>
      </c>
      <c r="C20" s="3">
        <v>13096</v>
      </c>
      <c r="D20" s="9">
        <v>1723557</v>
      </c>
      <c r="E20" s="28">
        <f t="shared" si="2"/>
        <v>277.1437530149542</v>
      </c>
    </row>
    <row r="21" spans="1:14" x14ac:dyDescent="0.3">
      <c r="A21" s="27" t="s">
        <v>18</v>
      </c>
      <c r="B21" s="9">
        <v>3997</v>
      </c>
      <c r="C21" s="3">
        <v>8885</v>
      </c>
      <c r="D21" s="9">
        <v>1166217</v>
      </c>
      <c r="E21" s="28">
        <f t="shared" si="2"/>
        <v>291.77307980985739</v>
      </c>
    </row>
    <row r="22" spans="1:14" x14ac:dyDescent="0.3">
      <c r="A22" s="27" t="s">
        <v>19</v>
      </c>
      <c r="B22" s="9">
        <v>2596</v>
      </c>
      <c r="C22" s="3">
        <v>5730</v>
      </c>
      <c r="D22" s="9">
        <v>752621</v>
      </c>
      <c r="E22" s="28">
        <f t="shared" si="2"/>
        <v>289.91563944530049</v>
      </c>
    </row>
    <row r="23" spans="1:14" x14ac:dyDescent="0.3">
      <c r="A23" s="27" t="s">
        <v>20</v>
      </c>
      <c r="B23" s="9">
        <v>6959</v>
      </c>
      <c r="C23" s="3">
        <v>14747</v>
      </c>
      <c r="D23" s="9">
        <v>1950501</v>
      </c>
      <c r="E23" s="28">
        <f t="shared" si="2"/>
        <v>280.28466733726111</v>
      </c>
    </row>
    <row r="24" spans="1:14" x14ac:dyDescent="0.3">
      <c r="A24" s="27" t="s">
        <v>21</v>
      </c>
      <c r="B24" s="9">
        <v>6339</v>
      </c>
      <c r="C24" s="3">
        <v>14233</v>
      </c>
      <c r="D24" s="9">
        <v>1884757</v>
      </c>
      <c r="E24" s="28">
        <f t="shared" si="2"/>
        <v>297.32718094336644</v>
      </c>
    </row>
    <row r="25" spans="1:14" x14ac:dyDescent="0.3">
      <c r="A25" s="27" t="s">
        <v>69</v>
      </c>
      <c r="B25" s="9">
        <v>8247</v>
      </c>
      <c r="C25" s="3">
        <v>16897</v>
      </c>
      <c r="D25" s="9">
        <v>2249542</v>
      </c>
      <c r="E25" s="28">
        <f t="shared" si="2"/>
        <v>272.77094701103431</v>
      </c>
    </row>
    <row r="26" spans="1:14" x14ac:dyDescent="0.3">
      <c r="A26" s="27" t="s">
        <v>22</v>
      </c>
      <c r="B26" s="9">
        <v>5383</v>
      </c>
      <c r="C26" s="3">
        <v>12845</v>
      </c>
      <c r="D26" s="9">
        <v>1666827</v>
      </c>
      <c r="E26" s="28">
        <f t="shared" si="2"/>
        <v>309.64647965818318</v>
      </c>
    </row>
    <row r="27" spans="1:14" x14ac:dyDescent="0.3">
      <c r="A27" s="27" t="s">
        <v>23</v>
      </c>
      <c r="B27" s="9">
        <v>4533</v>
      </c>
      <c r="C27" s="3">
        <v>10054</v>
      </c>
      <c r="D27" s="9">
        <v>1306163</v>
      </c>
      <c r="E27" s="28">
        <f t="shared" si="2"/>
        <v>288.14537833664241</v>
      </c>
    </row>
    <row r="28" spans="1:14" ht="19.5" thickBot="1" x14ac:dyDescent="0.35">
      <c r="A28" s="43" t="s">
        <v>207</v>
      </c>
      <c r="B28" s="9">
        <v>6426</v>
      </c>
      <c r="C28" s="14">
        <v>14505</v>
      </c>
      <c r="D28" s="12">
        <v>1923692</v>
      </c>
      <c r="E28" s="31">
        <f>D28/B28</f>
        <v>299.36072206660441</v>
      </c>
    </row>
    <row r="29" spans="1:14" ht="19.5" thickBot="1" x14ac:dyDescent="0.35">
      <c r="A29" s="32" t="s">
        <v>88</v>
      </c>
      <c r="B29" s="44">
        <f>SUM(B18:B28)</f>
        <v>73443</v>
      </c>
      <c r="C29" s="44">
        <f t="shared" ref="C29:D29" si="3">SUM(C18:C28)</f>
        <v>156754</v>
      </c>
      <c r="D29" s="44">
        <f t="shared" si="3"/>
        <v>20769117</v>
      </c>
      <c r="E29" s="44">
        <f>SUM(E18:E28)</f>
        <v>3152.8214123269117</v>
      </c>
    </row>
    <row r="30" spans="1:14" ht="19.5" thickBot="1" x14ac:dyDescent="0.35">
      <c r="A30" s="35"/>
      <c r="B30" s="45"/>
      <c r="C30" s="45"/>
      <c r="D30" s="45"/>
      <c r="E30" s="36"/>
      <c r="H30" s="1"/>
      <c r="I30" s="1"/>
      <c r="J30" s="1"/>
      <c r="K30" s="1"/>
      <c r="L30" s="1"/>
      <c r="M30" s="1"/>
      <c r="N30" s="1"/>
    </row>
    <row r="31" spans="1:14" ht="19.5" thickBot="1" x14ac:dyDescent="0.35">
      <c r="A31" s="22" t="s">
        <v>2</v>
      </c>
      <c r="B31" s="46"/>
      <c r="C31" s="46"/>
      <c r="D31" s="46"/>
      <c r="E31" s="47"/>
      <c r="H31" s="1"/>
      <c r="I31" s="1"/>
      <c r="J31" s="1"/>
      <c r="K31" s="1"/>
      <c r="L31" s="1"/>
      <c r="M31" s="1"/>
      <c r="N31" s="1"/>
    </row>
    <row r="32" spans="1:14" x14ac:dyDescent="0.3">
      <c r="A32" s="25" t="s">
        <v>206</v>
      </c>
      <c r="B32" s="17">
        <v>21701</v>
      </c>
      <c r="C32" s="7">
        <v>45784</v>
      </c>
      <c r="D32" s="8">
        <v>6038199</v>
      </c>
      <c r="E32" s="28">
        <f t="shared" ref="E32:E42" si="4">D32/B32</f>
        <v>278.24519607391363</v>
      </c>
      <c r="H32" s="1"/>
      <c r="I32" s="1"/>
      <c r="J32" s="1"/>
      <c r="K32" s="1"/>
      <c r="L32" s="1"/>
      <c r="M32" s="1"/>
      <c r="N32" s="1"/>
    </row>
    <row r="33" spans="1:14" x14ac:dyDescent="0.3">
      <c r="A33" s="27" t="s">
        <v>25</v>
      </c>
      <c r="B33" s="9">
        <v>3978</v>
      </c>
      <c r="C33" s="7">
        <v>8739</v>
      </c>
      <c r="D33" s="9">
        <v>1158187</v>
      </c>
      <c r="E33" s="28">
        <f t="shared" si="4"/>
        <v>291.14806435394672</v>
      </c>
      <c r="H33" s="1"/>
      <c r="I33" s="1"/>
      <c r="J33" s="1"/>
      <c r="K33" s="1"/>
      <c r="L33" s="1"/>
      <c r="M33" s="1"/>
      <c r="N33" s="1"/>
    </row>
    <row r="34" spans="1:14" x14ac:dyDescent="0.3">
      <c r="A34" s="27" t="s">
        <v>26</v>
      </c>
      <c r="B34" s="9">
        <v>6501</v>
      </c>
      <c r="C34" s="7">
        <v>14611</v>
      </c>
      <c r="D34" s="9">
        <v>1906698</v>
      </c>
      <c r="E34" s="28">
        <f t="shared" si="4"/>
        <v>293.29303184125519</v>
      </c>
      <c r="H34" s="1"/>
      <c r="I34" s="1"/>
      <c r="J34" s="1"/>
      <c r="K34" s="1"/>
      <c r="L34" s="1"/>
      <c r="M34" s="1"/>
      <c r="N34" s="1"/>
    </row>
    <row r="35" spans="1:14" x14ac:dyDescent="0.3">
      <c r="A35" s="27" t="s">
        <v>27</v>
      </c>
      <c r="B35" s="9">
        <v>4150</v>
      </c>
      <c r="C35" s="7">
        <v>8923</v>
      </c>
      <c r="D35" s="9">
        <v>1160948</v>
      </c>
      <c r="E35" s="28">
        <f t="shared" si="4"/>
        <v>279.74650602409639</v>
      </c>
      <c r="H35" s="1"/>
      <c r="I35" s="1"/>
      <c r="J35" s="1"/>
      <c r="K35" s="1"/>
      <c r="L35" s="1"/>
      <c r="M35" s="1"/>
      <c r="N35" s="1"/>
    </row>
    <row r="36" spans="1:14" x14ac:dyDescent="0.3">
      <c r="A36" s="27" t="s">
        <v>28</v>
      </c>
      <c r="B36" s="9">
        <v>4936</v>
      </c>
      <c r="C36" s="7">
        <v>10761</v>
      </c>
      <c r="D36" s="9">
        <v>1394061</v>
      </c>
      <c r="E36" s="28">
        <f t="shared" si="4"/>
        <v>282.42726904376013</v>
      </c>
      <c r="H36" s="1"/>
      <c r="I36" s="1"/>
      <c r="J36" s="1"/>
      <c r="K36" s="1"/>
      <c r="L36" s="1"/>
      <c r="M36" s="1"/>
      <c r="N36" s="1"/>
    </row>
    <row r="37" spans="1:14" x14ac:dyDescent="0.3">
      <c r="A37" s="27" t="s">
        <v>29</v>
      </c>
      <c r="B37" s="9">
        <v>7811</v>
      </c>
      <c r="C37" s="7">
        <v>17689</v>
      </c>
      <c r="D37" s="9">
        <v>2297079</v>
      </c>
      <c r="E37" s="28">
        <f t="shared" si="4"/>
        <v>294.08257585456408</v>
      </c>
      <c r="H37" s="1"/>
      <c r="I37" s="1"/>
      <c r="J37" s="1"/>
      <c r="K37" s="1"/>
      <c r="L37" s="1"/>
      <c r="M37" s="1"/>
      <c r="N37" s="1"/>
    </row>
    <row r="38" spans="1:14" x14ac:dyDescent="0.3">
      <c r="A38" s="27" t="s">
        <v>205</v>
      </c>
      <c r="B38" s="9">
        <v>5257</v>
      </c>
      <c r="C38" s="7">
        <v>11616</v>
      </c>
      <c r="D38" s="9">
        <v>1522979</v>
      </c>
      <c r="E38" s="28">
        <f>D38/B38</f>
        <v>289.70496480882633</v>
      </c>
      <c r="H38" s="1"/>
      <c r="I38" s="1"/>
      <c r="J38" s="1"/>
      <c r="K38" s="1"/>
      <c r="L38" s="1"/>
      <c r="M38" s="1"/>
      <c r="N38" s="1"/>
    </row>
    <row r="39" spans="1:14" x14ac:dyDescent="0.3">
      <c r="A39" s="27" t="s">
        <v>205</v>
      </c>
      <c r="B39" s="9">
        <v>4329</v>
      </c>
      <c r="C39" s="7">
        <v>9096</v>
      </c>
      <c r="D39" s="9">
        <v>1180723</v>
      </c>
      <c r="E39" s="28">
        <f t="shared" si="4"/>
        <v>272.74728574728573</v>
      </c>
      <c r="H39" s="1"/>
      <c r="I39" s="1"/>
      <c r="J39" s="1"/>
      <c r="K39" s="1"/>
      <c r="L39" s="1"/>
      <c r="M39" s="1"/>
      <c r="N39" s="1"/>
    </row>
    <row r="40" spans="1:14" x14ac:dyDescent="0.3">
      <c r="A40" s="27" t="s">
        <v>30</v>
      </c>
      <c r="B40" s="9">
        <v>5680</v>
      </c>
      <c r="C40" s="7">
        <v>12523</v>
      </c>
      <c r="D40" s="9">
        <v>1645148</v>
      </c>
      <c r="E40" s="28">
        <f t="shared" si="4"/>
        <v>289.63873239436617</v>
      </c>
      <c r="H40" s="1"/>
      <c r="I40" s="1"/>
      <c r="J40" s="1"/>
      <c r="K40" s="1"/>
      <c r="L40" s="1"/>
      <c r="M40" s="1"/>
      <c r="N40" s="1"/>
    </row>
    <row r="41" spans="1:14" ht="19.5" thickBot="1" x14ac:dyDescent="0.35">
      <c r="A41" s="43" t="s">
        <v>204</v>
      </c>
      <c r="B41" s="9">
        <v>10106</v>
      </c>
      <c r="C41" s="7">
        <v>21382</v>
      </c>
      <c r="D41" s="12">
        <v>2821916</v>
      </c>
      <c r="E41" s="31">
        <f>D41/B41</f>
        <v>279.23174351870176</v>
      </c>
      <c r="H41" s="1"/>
      <c r="I41" s="1"/>
      <c r="J41" s="1"/>
      <c r="K41" s="1"/>
      <c r="L41" s="1"/>
      <c r="M41" s="1"/>
      <c r="N41" s="1"/>
    </row>
    <row r="42" spans="1:14" ht="19.5" thickBot="1" x14ac:dyDescent="0.35">
      <c r="A42" s="32" t="s">
        <v>91</v>
      </c>
      <c r="B42" s="44">
        <f>SUM(B32:B41)</f>
        <v>74449</v>
      </c>
      <c r="C42" s="44">
        <f t="shared" ref="C42:D42" si="5">SUM(C32:C41)</f>
        <v>161124</v>
      </c>
      <c r="D42" s="44">
        <f t="shared" si="5"/>
        <v>21125938</v>
      </c>
      <c r="E42" s="34">
        <f t="shared" si="4"/>
        <v>283.76389206033662</v>
      </c>
      <c r="H42" s="1"/>
      <c r="I42" s="1"/>
      <c r="J42" s="1"/>
      <c r="K42" s="1"/>
      <c r="L42" s="1"/>
      <c r="M42" s="1"/>
      <c r="N42" s="1"/>
    </row>
    <row r="43" spans="1:14" ht="19.5" thickBot="1" x14ac:dyDescent="0.35">
      <c r="A43" s="48"/>
      <c r="B43" s="49"/>
      <c r="C43" s="49"/>
      <c r="D43" s="49"/>
      <c r="E43" s="50"/>
      <c r="H43" s="1"/>
      <c r="I43" s="1"/>
      <c r="J43" s="1"/>
      <c r="K43" s="1"/>
      <c r="L43" s="1"/>
      <c r="M43" s="1"/>
      <c r="N43" s="1"/>
    </row>
    <row r="44" spans="1:14" ht="19.5" thickBot="1" x14ac:dyDescent="0.35">
      <c r="A44" s="22" t="s">
        <v>3</v>
      </c>
      <c r="B44" s="46"/>
      <c r="C44" s="46"/>
      <c r="D44" s="46"/>
      <c r="E44" s="47"/>
      <c r="H44" s="1"/>
      <c r="I44" s="1"/>
      <c r="J44" s="1"/>
      <c r="K44" s="1"/>
      <c r="L44" s="1"/>
      <c r="M44" s="1"/>
      <c r="N44" s="1"/>
    </row>
    <row r="45" spans="1:14" x14ac:dyDescent="0.3">
      <c r="A45" s="25" t="s">
        <v>31</v>
      </c>
      <c r="B45" s="17">
        <v>3851</v>
      </c>
      <c r="C45" s="7">
        <v>8126</v>
      </c>
      <c r="D45" s="8">
        <v>1084615</v>
      </c>
      <c r="E45" s="28">
        <f t="shared" ref="E45:E52" si="6">D45/B45</f>
        <v>281.6450272656453</v>
      </c>
      <c r="H45" s="1"/>
      <c r="I45" s="1"/>
      <c r="J45" s="1"/>
      <c r="K45" s="1"/>
      <c r="L45" s="1"/>
      <c r="M45" s="1"/>
      <c r="N45" s="1"/>
    </row>
    <row r="46" spans="1:14" x14ac:dyDescent="0.3">
      <c r="A46" s="27" t="s">
        <v>32</v>
      </c>
      <c r="B46" s="9">
        <v>6825</v>
      </c>
      <c r="C46" s="7">
        <v>15941</v>
      </c>
      <c r="D46" s="9">
        <v>2088891</v>
      </c>
      <c r="E46" s="28">
        <f t="shared" si="6"/>
        <v>306.06461538461537</v>
      </c>
      <c r="H46" s="1"/>
      <c r="I46" s="1"/>
      <c r="J46" s="1"/>
      <c r="K46" s="1"/>
      <c r="L46" s="1"/>
      <c r="M46" s="1"/>
      <c r="N46" s="1"/>
    </row>
    <row r="47" spans="1:14" x14ac:dyDescent="0.3">
      <c r="A47" s="27" t="s">
        <v>203</v>
      </c>
      <c r="B47" s="9">
        <v>17418</v>
      </c>
      <c r="C47" s="7">
        <v>35617</v>
      </c>
      <c r="D47" s="9">
        <v>4678576</v>
      </c>
      <c r="E47" s="28">
        <f t="shared" si="6"/>
        <v>268.60581008152485</v>
      </c>
      <c r="H47" s="1"/>
      <c r="I47" s="1"/>
      <c r="J47" s="1"/>
      <c r="K47" s="1"/>
      <c r="L47" s="1"/>
      <c r="M47" s="1"/>
      <c r="N47" s="1"/>
    </row>
    <row r="48" spans="1:14" x14ac:dyDescent="0.3">
      <c r="A48" s="27" t="s">
        <v>33</v>
      </c>
      <c r="B48" s="9">
        <v>5367</v>
      </c>
      <c r="C48" s="7">
        <v>11641</v>
      </c>
      <c r="D48" s="9">
        <v>1522490</v>
      </c>
      <c r="E48" s="28">
        <f t="shared" si="6"/>
        <v>283.67616918203839</v>
      </c>
      <c r="H48" s="1"/>
      <c r="I48" s="1"/>
      <c r="J48" s="1"/>
      <c r="K48" s="1"/>
      <c r="L48" s="1"/>
      <c r="M48" s="1"/>
      <c r="N48" s="1"/>
    </row>
    <row r="49" spans="1:14" x14ac:dyDescent="0.3">
      <c r="A49" s="27" t="s">
        <v>34</v>
      </c>
      <c r="B49" s="9">
        <v>4423</v>
      </c>
      <c r="C49" s="7">
        <v>9321</v>
      </c>
      <c r="D49" s="9">
        <v>1241475</v>
      </c>
      <c r="E49" s="28">
        <f t="shared" si="6"/>
        <v>280.68618584671037</v>
      </c>
      <c r="H49" s="1"/>
      <c r="I49" s="1"/>
      <c r="J49" s="1"/>
      <c r="K49" s="1"/>
      <c r="L49" s="1"/>
      <c r="M49" s="1"/>
      <c r="N49" s="1"/>
    </row>
    <row r="50" spans="1:14" x14ac:dyDescent="0.3">
      <c r="A50" s="27" t="s">
        <v>35</v>
      </c>
      <c r="B50" s="9">
        <v>4224</v>
      </c>
      <c r="C50" s="7">
        <v>8446</v>
      </c>
      <c r="D50" s="9">
        <v>1123481</v>
      </c>
      <c r="E50" s="28">
        <f t="shared" si="6"/>
        <v>265.975615530303</v>
      </c>
      <c r="H50" s="1"/>
      <c r="I50" s="1"/>
      <c r="J50" s="1"/>
      <c r="K50" s="1"/>
      <c r="L50" s="1"/>
      <c r="M50" s="1"/>
      <c r="N50" s="1"/>
    </row>
    <row r="51" spans="1:14" ht="19.5" thickBot="1" x14ac:dyDescent="0.35">
      <c r="A51" s="27" t="s">
        <v>36</v>
      </c>
      <c r="B51" s="10">
        <v>6281</v>
      </c>
      <c r="C51" s="7">
        <v>12976</v>
      </c>
      <c r="D51" s="9">
        <v>1707632</v>
      </c>
      <c r="E51" s="28">
        <f t="shared" si="6"/>
        <v>271.87263174653719</v>
      </c>
      <c r="H51" s="1"/>
      <c r="I51" s="1"/>
      <c r="J51" s="1"/>
      <c r="K51" s="1"/>
      <c r="L51" s="1"/>
      <c r="M51" s="1"/>
      <c r="N51" s="1"/>
    </row>
    <row r="52" spans="1:14" ht="19.5" thickBot="1" x14ac:dyDescent="0.35">
      <c r="A52" s="32" t="s">
        <v>91</v>
      </c>
      <c r="B52" s="44">
        <f>SUM(B45:B51)</f>
        <v>48389</v>
      </c>
      <c r="C52" s="44">
        <f t="shared" ref="C52:D52" si="7">SUM(C45:C51)</f>
        <v>102068</v>
      </c>
      <c r="D52" s="44">
        <f t="shared" si="7"/>
        <v>13447160</v>
      </c>
      <c r="E52" s="34">
        <f t="shared" si="6"/>
        <v>277.89704271631985</v>
      </c>
      <c r="H52" s="1"/>
      <c r="I52" s="1"/>
      <c r="J52" s="1"/>
      <c r="K52" s="1"/>
      <c r="L52" s="1"/>
      <c r="M52" s="1"/>
      <c r="N52" s="1"/>
    </row>
    <row r="53" spans="1:14" ht="19.5" thickBot="1" x14ac:dyDescent="0.35">
      <c r="A53" s="48"/>
      <c r="B53" s="49"/>
      <c r="C53" s="49"/>
      <c r="D53" s="49"/>
      <c r="E53" s="50"/>
      <c r="H53" s="1"/>
      <c r="I53" s="1"/>
      <c r="J53" s="1"/>
      <c r="K53" s="1"/>
      <c r="L53" s="1"/>
      <c r="M53" s="1"/>
      <c r="N53" s="1"/>
    </row>
    <row r="54" spans="1:14" ht="19.5" thickBot="1" x14ac:dyDescent="0.35">
      <c r="A54" s="22" t="s">
        <v>4</v>
      </c>
      <c r="B54" s="46"/>
      <c r="C54" s="46"/>
      <c r="D54" s="46"/>
      <c r="E54" s="47"/>
      <c r="H54" s="1"/>
      <c r="I54" s="1"/>
      <c r="J54" s="1"/>
      <c r="K54" s="1"/>
      <c r="L54" s="1"/>
      <c r="M54" s="1"/>
      <c r="N54" s="1"/>
    </row>
    <row r="55" spans="1:14" x14ac:dyDescent="0.3">
      <c r="A55" s="25" t="s">
        <v>37</v>
      </c>
      <c r="B55" s="17">
        <v>6576</v>
      </c>
      <c r="C55" s="7">
        <v>14382</v>
      </c>
      <c r="D55" s="8">
        <v>1879112</v>
      </c>
      <c r="E55" s="28">
        <f t="shared" ref="E55:E61" si="8">D55/B55</f>
        <v>285.75304136253044</v>
      </c>
      <c r="H55" s="1"/>
      <c r="I55" s="1"/>
      <c r="J55" s="1"/>
      <c r="K55" s="1"/>
      <c r="L55" s="1"/>
      <c r="M55" s="1"/>
      <c r="N55" s="1"/>
    </row>
    <row r="56" spans="1:14" x14ac:dyDescent="0.3">
      <c r="A56" s="27" t="s">
        <v>202</v>
      </c>
      <c r="B56" s="9">
        <v>15229</v>
      </c>
      <c r="C56" s="7">
        <v>31886</v>
      </c>
      <c r="D56" s="9">
        <v>4189093</v>
      </c>
      <c r="E56" s="28">
        <f>D56/B56</f>
        <v>275.07341256812663</v>
      </c>
      <c r="H56" s="1"/>
      <c r="I56" s="1"/>
      <c r="J56" s="1"/>
      <c r="K56" s="1"/>
      <c r="L56" s="1"/>
      <c r="M56" s="1"/>
      <c r="N56" s="1"/>
    </row>
    <row r="57" spans="1:14" x14ac:dyDescent="0.3">
      <c r="A57" s="27" t="s">
        <v>201</v>
      </c>
      <c r="B57" s="9">
        <v>4334</v>
      </c>
      <c r="C57" s="7">
        <v>10128</v>
      </c>
      <c r="D57" s="9">
        <v>1336981</v>
      </c>
      <c r="E57" s="28">
        <f t="shared" si="8"/>
        <v>308.48661744347021</v>
      </c>
      <c r="H57" s="1"/>
      <c r="I57" s="1"/>
      <c r="J57" s="1"/>
      <c r="K57" s="1"/>
      <c r="L57" s="1"/>
      <c r="M57" s="1"/>
      <c r="N57" s="1"/>
    </row>
    <row r="58" spans="1:14" x14ac:dyDescent="0.3">
      <c r="A58" s="27" t="s">
        <v>38</v>
      </c>
      <c r="B58" s="9">
        <v>3149</v>
      </c>
      <c r="C58" s="7">
        <v>6755</v>
      </c>
      <c r="D58" s="9">
        <v>885640</v>
      </c>
      <c r="E58" s="28">
        <f t="shared" si="8"/>
        <v>281.24483963162908</v>
      </c>
      <c r="H58" s="1"/>
      <c r="I58" s="1"/>
      <c r="J58" s="1"/>
      <c r="K58" s="1"/>
      <c r="L58" s="1"/>
      <c r="M58" s="1"/>
      <c r="N58" s="1"/>
    </row>
    <row r="59" spans="1:14" x14ac:dyDescent="0.3">
      <c r="A59" s="27" t="s">
        <v>200</v>
      </c>
      <c r="B59" s="9">
        <v>7517</v>
      </c>
      <c r="C59" s="7">
        <v>16130</v>
      </c>
      <c r="D59" s="9">
        <v>2110135</v>
      </c>
      <c r="E59" s="28">
        <f>D59/B59</f>
        <v>280.71504589596913</v>
      </c>
      <c r="H59" s="1"/>
      <c r="I59" s="1"/>
      <c r="J59" s="1"/>
      <c r="K59" s="1"/>
      <c r="L59" s="1"/>
      <c r="M59" s="1"/>
      <c r="N59" s="1"/>
    </row>
    <row r="60" spans="1:14" ht="19.5" thickBot="1" x14ac:dyDescent="0.35">
      <c r="A60" s="27" t="s">
        <v>199</v>
      </c>
      <c r="B60" s="9">
        <v>6809</v>
      </c>
      <c r="C60" s="7">
        <v>14205</v>
      </c>
      <c r="D60" s="9">
        <v>1866986</v>
      </c>
      <c r="E60" s="28">
        <f>D60/B60</f>
        <v>274.19386106623585</v>
      </c>
      <c r="H60" s="1"/>
      <c r="I60" s="1"/>
      <c r="J60" s="1"/>
      <c r="K60" s="1"/>
      <c r="L60" s="1"/>
      <c r="M60" s="1"/>
      <c r="N60" s="1"/>
    </row>
    <row r="61" spans="1:14" ht="19.5" thickBot="1" x14ac:dyDescent="0.35">
      <c r="A61" s="32" t="s">
        <v>91</v>
      </c>
      <c r="B61" s="44">
        <f>SUM(B55:B60)</f>
        <v>43614</v>
      </c>
      <c r="C61" s="44">
        <f t="shared" ref="C61:D61" si="9">SUM(C55:C60)</f>
        <v>93486</v>
      </c>
      <c r="D61" s="44">
        <f t="shared" si="9"/>
        <v>12267947</v>
      </c>
      <c r="E61" s="34">
        <f t="shared" si="8"/>
        <v>281.284610446187</v>
      </c>
      <c r="H61" s="1"/>
      <c r="I61" s="1"/>
      <c r="J61" s="1"/>
      <c r="K61" s="1"/>
      <c r="L61" s="1"/>
      <c r="M61" s="1"/>
      <c r="N61" s="1"/>
    </row>
    <row r="62" spans="1:14" ht="19.5" thickBot="1" x14ac:dyDescent="0.35">
      <c r="A62" s="48"/>
      <c r="B62" s="49"/>
      <c r="C62" s="49"/>
      <c r="D62" s="49"/>
      <c r="E62" s="50"/>
      <c r="H62" s="1"/>
      <c r="I62" s="1"/>
      <c r="J62" s="1"/>
      <c r="K62" s="1"/>
      <c r="L62" s="1"/>
      <c r="M62" s="1"/>
      <c r="N62" s="1"/>
    </row>
    <row r="63" spans="1:14" ht="19.5" thickBot="1" x14ac:dyDescent="0.35">
      <c r="A63" s="22" t="s">
        <v>5</v>
      </c>
      <c r="B63" s="46"/>
      <c r="C63" s="46"/>
      <c r="D63" s="46"/>
      <c r="E63" s="47"/>
      <c r="H63" s="1"/>
      <c r="I63" s="1"/>
      <c r="J63" s="1"/>
      <c r="K63" s="1"/>
      <c r="L63" s="1"/>
      <c r="M63" s="1"/>
      <c r="N63" s="1"/>
    </row>
    <row r="64" spans="1:14" x14ac:dyDescent="0.3">
      <c r="A64" s="25" t="s">
        <v>39</v>
      </c>
      <c r="B64" s="17">
        <v>3339</v>
      </c>
      <c r="C64" s="7">
        <v>7294</v>
      </c>
      <c r="D64" s="8">
        <v>951441</v>
      </c>
      <c r="E64" s="28">
        <f t="shared" ref="E64:E70" si="10">D64/B64</f>
        <v>284.94788858939802</v>
      </c>
      <c r="H64" s="1"/>
      <c r="I64" s="1"/>
      <c r="J64" s="1"/>
      <c r="K64" s="1"/>
      <c r="L64" s="1"/>
      <c r="M64" s="1"/>
      <c r="N64" s="1"/>
    </row>
    <row r="65" spans="1:14" x14ac:dyDescent="0.3">
      <c r="A65" s="27" t="s">
        <v>40</v>
      </c>
      <c r="B65" s="9">
        <v>5490</v>
      </c>
      <c r="C65" s="7">
        <v>10841</v>
      </c>
      <c r="D65" s="9">
        <v>1410922</v>
      </c>
      <c r="E65" s="28">
        <f t="shared" si="10"/>
        <v>256.99854280510016</v>
      </c>
      <c r="H65" s="1"/>
      <c r="I65" s="1"/>
      <c r="J65" s="1"/>
      <c r="K65" s="1"/>
      <c r="L65" s="1"/>
      <c r="M65" s="1"/>
      <c r="N65" s="1"/>
    </row>
    <row r="66" spans="1:14" x14ac:dyDescent="0.3">
      <c r="A66" s="27" t="s">
        <v>5</v>
      </c>
      <c r="B66" s="9">
        <v>6918</v>
      </c>
      <c r="C66" s="7">
        <v>14620</v>
      </c>
      <c r="D66" s="9">
        <v>1922525</v>
      </c>
      <c r="E66" s="28">
        <f t="shared" si="10"/>
        <v>277.90185024573577</v>
      </c>
      <c r="H66" s="1"/>
      <c r="I66" s="1"/>
      <c r="J66" s="1"/>
      <c r="K66" s="1"/>
      <c r="L66" s="1"/>
      <c r="M66" s="1"/>
      <c r="N66" s="1"/>
    </row>
    <row r="67" spans="1:14" x14ac:dyDescent="0.3">
      <c r="A67" s="27" t="s">
        <v>41</v>
      </c>
      <c r="B67" s="9">
        <v>3343</v>
      </c>
      <c r="C67" s="7">
        <v>6888</v>
      </c>
      <c r="D67" s="9">
        <v>912023</v>
      </c>
      <c r="E67" s="28">
        <f t="shared" si="10"/>
        <v>272.81573437032603</v>
      </c>
      <c r="H67" s="1"/>
      <c r="I67" s="1"/>
      <c r="J67" s="1"/>
      <c r="K67" s="1"/>
      <c r="L67" s="1"/>
      <c r="M67" s="1"/>
      <c r="N67" s="1"/>
    </row>
    <row r="68" spans="1:14" x14ac:dyDescent="0.3">
      <c r="A68" s="27" t="s">
        <v>42</v>
      </c>
      <c r="B68" s="9">
        <v>5026</v>
      </c>
      <c r="C68" s="7">
        <v>10607</v>
      </c>
      <c r="D68" s="9">
        <v>1395839</v>
      </c>
      <c r="E68" s="28">
        <f t="shared" si="10"/>
        <v>277.72363708714681</v>
      </c>
      <c r="H68" s="1"/>
      <c r="I68" s="1"/>
      <c r="J68" s="1"/>
      <c r="K68" s="1"/>
      <c r="L68" s="1"/>
      <c r="M68" s="1"/>
      <c r="N68" s="1"/>
    </row>
    <row r="69" spans="1:14" ht="19.5" thickBot="1" x14ac:dyDescent="0.35">
      <c r="A69" s="29" t="s">
        <v>43</v>
      </c>
      <c r="B69" s="10">
        <v>3325</v>
      </c>
      <c r="C69" s="7">
        <v>7471</v>
      </c>
      <c r="D69" s="10">
        <v>957400</v>
      </c>
      <c r="E69" s="28">
        <f t="shared" si="10"/>
        <v>287.93984962406017</v>
      </c>
      <c r="H69" s="1"/>
      <c r="I69" s="1"/>
      <c r="J69" s="1"/>
      <c r="K69" s="1"/>
      <c r="L69" s="1"/>
      <c r="M69" s="1"/>
      <c r="N69" s="1"/>
    </row>
    <row r="70" spans="1:14" ht="19.5" thickBot="1" x14ac:dyDescent="0.35">
      <c r="A70" s="32" t="s">
        <v>91</v>
      </c>
      <c r="B70" s="44">
        <f>SUM(B64:B69)</f>
        <v>27441</v>
      </c>
      <c r="C70" s="44">
        <f t="shared" ref="C70:D70" si="11">SUM(C64:C69)</f>
        <v>57721</v>
      </c>
      <c r="D70" s="44">
        <f t="shared" si="11"/>
        <v>7550150</v>
      </c>
      <c r="E70" s="34">
        <f t="shared" si="10"/>
        <v>275.14121205495428</v>
      </c>
      <c r="H70" s="1"/>
      <c r="I70" s="1"/>
      <c r="J70" s="1"/>
      <c r="K70" s="1"/>
      <c r="L70" s="1"/>
      <c r="M70" s="1"/>
      <c r="N70" s="1"/>
    </row>
    <row r="71" spans="1:14" ht="19.5" thickBot="1" x14ac:dyDescent="0.35">
      <c r="A71" s="48"/>
      <c r="B71" s="49"/>
      <c r="C71" s="49"/>
      <c r="D71" s="49"/>
      <c r="E71" s="50"/>
      <c r="H71" s="1"/>
      <c r="I71" s="1"/>
      <c r="J71" s="1"/>
      <c r="K71" s="1"/>
      <c r="L71" s="1"/>
      <c r="M71" s="1"/>
      <c r="N71" s="1"/>
    </row>
    <row r="72" spans="1:14" ht="19.5" thickBot="1" x14ac:dyDescent="0.35">
      <c r="A72" s="22" t="s">
        <v>6</v>
      </c>
      <c r="B72" s="46"/>
      <c r="C72" s="46"/>
      <c r="D72" s="46"/>
      <c r="E72" s="47"/>
      <c r="H72" s="1"/>
      <c r="I72" s="1"/>
      <c r="J72" s="1"/>
      <c r="K72" s="1"/>
      <c r="L72" s="1"/>
      <c r="M72" s="1"/>
      <c r="N72" s="1"/>
    </row>
    <row r="73" spans="1:14" x14ac:dyDescent="0.3">
      <c r="A73" s="25" t="s">
        <v>44</v>
      </c>
      <c r="B73" s="17">
        <v>1835</v>
      </c>
      <c r="C73" s="7">
        <v>3853</v>
      </c>
      <c r="D73" s="8">
        <v>500345</v>
      </c>
      <c r="E73" s="28">
        <f t="shared" ref="E73:E83" si="12">D73/B73</f>
        <v>272.6675749318801</v>
      </c>
      <c r="H73" s="1"/>
      <c r="I73" s="1"/>
      <c r="J73" s="1"/>
      <c r="K73" s="1"/>
      <c r="L73" s="1"/>
      <c r="M73" s="1"/>
      <c r="N73" s="1"/>
    </row>
    <row r="74" spans="1:14" x14ac:dyDescent="0.3">
      <c r="A74" s="27" t="s">
        <v>70</v>
      </c>
      <c r="B74" s="9">
        <v>114</v>
      </c>
      <c r="C74" s="7">
        <v>238</v>
      </c>
      <c r="D74" s="9">
        <v>29637</v>
      </c>
      <c r="E74" s="28">
        <f t="shared" si="12"/>
        <v>259.9736842105263</v>
      </c>
      <c r="H74" s="1"/>
      <c r="I74" s="1"/>
      <c r="J74" s="1"/>
      <c r="K74" s="1"/>
      <c r="L74" s="1"/>
      <c r="M74" s="1"/>
      <c r="N74" s="1"/>
    </row>
    <row r="75" spans="1:14" x14ac:dyDescent="0.3">
      <c r="A75" s="27" t="s">
        <v>45</v>
      </c>
      <c r="B75" s="9">
        <v>5700</v>
      </c>
      <c r="C75" s="7">
        <v>11993</v>
      </c>
      <c r="D75" s="9">
        <v>1584961</v>
      </c>
      <c r="E75" s="28">
        <f t="shared" si="12"/>
        <v>278.06333333333333</v>
      </c>
      <c r="H75" s="1"/>
      <c r="I75" s="1"/>
      <c r="J75" s="1"/>
      <c r="K75" s="1"/>
      <c r="L75" s="1"/>
      <c r="M75" s="1"/>
      <c r="N75" s="1"/>
    </row>
    <row r="76" spans="1:14" x14ac:dyDescent="0.3">
      <c r="A76" s="27" t="s">
        <v>6</v>
      </c>
      <c r="B76" s="9">
        <v>9342</v>
      </c>
      <c r="C76" s="7">
        <v>18806</v>
      </c>
      <c r="D76" s="9">
        <v>2487545</v>
      </c>
      <c r="E76" s="28">
        <f t="shared" si="12"/>
        <v>266.27542282166559</v>
      </c>
      <c r="H76" s="1"/>
      <c r="I76" s="1"/>
      <c r="J76" s="1"/>
      <c r="K76" s="1"/>
      <c r="L76" s="1"/>
      <c r="M76" s="1"/>
      <c r="N76" s="1"/>
    </row>
    <row r="77" spans="1:14" x14ac:dyDescent="0.3">
      <c r="A77" s="27" t="s">
        <v>198</v>
      </c>
      <c r="B77" s="9">
        <v>6989</v>
      </c>
      <c r="C77" s="7">
        <v>14920</v>
      </c>
      <c r="D77" s="9">
        <v>1976733</v>
      </c>
      <c r="E77" s="28">
        <f t="shared" si="12"/>
        <v>282.83488338818142</v>
      </c>
      <c r="H77" s="1"/>
      <c r="I77" s="1"/>
      <c r="J77" s="1"/>
      <c r="K77" s="1"/>
      <c r="L77" s="1"/>
      <c r="M77" s="1"/>
      <c r="N77" s="1"/>
    </row>
    <row r="78" spans="1:14" x14ac:dyDescent="0.3">
      <c r="A78" s="27" t="s">
        <v>47</v>
      </c>
      <c r="B78" s="9">
        <v>5809</v>
      </c>
      <c r="C78" s="7">
        <v>12001</v>
      </c>
      <c r="D78" s="9">
        <v>1594193</v>
      </c>
      <c r="E78" s="28">
        <f t="shared" si="12"/>
        <v>274.43501463246685</v>
      </c>
      <c r="H78" s="1"/>
      <c r="I78" s="1"/>
      <c r="J78" s="1"/>
      <c r="K78" s="1"/>
      <c r="L78" s="1"/>
      <c r="M78" s="1"/>
      <c r="N78" s="1"/>
    </row>
    <row r="79" spans="1:14" x14ac:dyDescent="0.3">
      <c r="A79" s="27" t="s">
        <v>48</v>
      </c>
      <c r="B79" s="9">
        <v>2400</v>
      </c>
      <c r="C79" s="7">
        <v>4934</v>
      </c>
      <c r="D79" s="9">
        <v>647253</v>
      </c>
      <c r="E79" s="28">
        <f t="shared" si="12"/>
        <v>269.68875000000003</v>
      </c>
      <c r="H79" s="1"/>
      <c r="I79" s="1"/>
      <c r="J79" s="1"/>
      <c r="K79" s="1"/>
      <c r="L79" s="1"/>
      <c r="M79" s="1"/>
      <c r="N79" s="1"/>
    </row>
    <row r="80" spans="1:14" x14ac:dyDescent="0.3">
      <c r="A80" s="27" t="s">
        <v>49</v>
      </c>
      <c r="B80" s="9">
        <v>4275</v>
      </c>
      <c r="C80" s="7">
        <v>8904</v>
      </c>
      <c r="D80" s="9">
        <v>1178682</v>
      </c>
      <c r="E80" s="28">
        <f t="shared" si="12"/>
        <v>275.71508771929825</v>
      </c>
      <c r="H80" s="1"/>
      <c r="I80" s="1"/>
      <c r="J80" s="1"/>
      <c r="K80" s="1"/>
      <c r="L80" s="1"/>
      <c r="M80" s="1"/>
      <c r="N80" s="1"/>
    </row>
    <row r="81" spans="1:14" x14ac:dyDescent="0.3">
      <c r="A81" s="27" t="s">
        <v>50</v>
      </c>
      <c r="B81" s="9">
        <v>1724</v>
      </c>
      <c r="C81" s="7">
        <v>3560</v>
      </c>
      <c r="D81" s="9">
        <v>472787</v>
      </c>
      <c r="E81" s="28">
        <f t="shared" si="12"/>
        <v>274.23839907192576</v>
      </c>
      <c r="H81" s="1"/>
      <c r="I81" s="1"/>
      <c r="J81" s="1"/>
      <c r="K81" s="1"/>
      <c r="L81" s="1"/>
      <c r="M81" s="1"/>
      <c r="N81" s="1"/>
    </row>
    <row r="82" spans="1:14" ht="19.5" thickBot="1" x14ac:dyDescent="0.35">
      <c r="A82" s="29" t="s">
        <v>51</v>
      </c>
      <c r="B82" s="10">
        <v>7706</v>
      </c>
      <c r="C82" s="7">
        <v>15963</v>
      </c>
      <c r="D82" s="10">
        <v>2100914</v>
      </c>
      <c r="E82" s="28">
        <f t="shared" si="12"/>
        <v>272.63353231248379</v>
      </c>
      <c r="H82" s="1"/>
      <c r="I82" s="1"/>
      <c r="J82" s="1"/>
      <c r="K82" s="1"/>
      <c r="L82" s="1"/>
      <c r="M82" s="1"/>
      <c r="N82" s="1"/>
    </row>
    <row r="83" spans="1:14" ht="19.5" thickBot="1" x14ac:dyDescent="0.35">
      <c r="A83" s="32" t="s">
        <v>91</v>
      </c>
      <c r="B83" s="44">
        <f>SUM(B73:B82)</f>
        <v>45894</v>
      </c>
      <c r="C83" s="44">
        <f t="shared" ref="C83:D83" si="13">SUM(C73:C82)</f>
        <v>95172</v>
      </c>
      <c r="D83" s="44">
        <f t="shared" si="13"/>
        <v>12573050</v>
      </c>
      <c r="E83" s="34">
        <f t="shared" si="12"/>
        <v>273.9584695167124</v>
      </c>
      <c r="H83" s="1"/>
      <c r="I83" s="1"/>
      <c r="J83" s="1"/>
      <c r="K83" s="1"/>
      <c r="L83" s="1"/>
      <c r="M83" s="1"/>
      <c r="N83" s="1"/>
    </row>
    <row r="84" spans="1:14" ht="19.5" thickBot="1" x14ac:dyDescent="0.35">
      <c r="A84" s="48"/>
      <c r="B84" s="49"/>
      <c r="C84" s="49"/>
      <c r="D84" s="49"/>
      <c r="E84" s="50"/>
      <c r="H84" s="1"/>
      <c r="I84" s="1"/>
      <c r="J84" s="1"/>
      <c r="K84" s="1"/>
      <c r="L84" s="1"/>
      <c r="M84" s="1"/>
      <c r="N84" s="1"/>
    </row>
    <row r="85" spans="1:14" ht="19.5" thickBot="1" x14ac:dyDescent="0.35">
      <c r="A85" s="22" t="s">
        <v>7</v>
      </c>
      <c r="B85" s="46"/>
      <c r="C85" s="46"/>
      <c r="D85" s="46"/>
      <c r="E85" s="47"/>
      <c r="H85" s="1"/>
      <c r="I85" s="1"/>
      <c r="J85" s="1"/>
      <c r="K85" s="1"/>
      <c r="L85" s="1"/>
      <c r="M85" s="1"/>
      <c r="N85" s="1"/>
    </row>
    <row r="86" spans="1:14" x14ac:dyDescent="0.3">
      <c r="A86" s="25" t="s">
        <v>52</v>
      </c>
      <c r="B86" s="17">
        <v>4595</v>
      </c>
      <c r="C86" s="7">
        <v>9518</v>
      </c>
      <c r="D86" s="8">
        <v>1248874</v>
      </c>
      <c r="E86" s="28">
        <f t="shared" ref="E86:E93" si="14">D86/B86</f>
        <v>271.78977149075081</v>
      </c>
      <c r="H86" s="1"/>
      <c r="I86" s="1"/>
      <c r="J86" s="1"/>
      <c r="K86" s="1"/>
      <c r="L86" s="1"/>
      <c r="M86" s="1"/>
      <c r="N86" s="1"/>
    </row>
    <row r="87" spans="1:14" x14ac:dyDescent="0.3">
      <c r="A87" s="27" t="s">
        <v>53</v>
      </c>
      <c r="B87" s="9">
        <v>6201</v>
      </c>
      <c r="C87" s="7">
        <v>13246</v>
      </c>
      <c r="D87" s="9">
        <v>1738009</v>
      </c>
      <c r="E87" s="28">
        <f t="shared" si="14"/>
        <v>280.27882599580715</v>
      </c>
      <c r="H87" s="1"/>
      <c r="I87" s="1"/>
      <c r="J87" s="1"/>
      <c r="K87" s="1"/>
      <c r="L87" s="1"/>
      <c r="M87" s="1"/>
      <c r="N87" s="1"/>
    </row>
    <row r="88" spans="1:14" x14ac:dyDescent="0.3">
      <c r="A88" s="27" t="s">
        <v>54</v>
      </c>
      <c r="B88" s="9">
        <v>3669</v>
      </c>
      <c r="C88" s="7">
        <v>8132</v>
      </c>
      <c r="D88" s="9">
        <v>1062108</v>
      </c>
      <c r="E88" s="28">
        <f t="shared" si="14"/>
        <v>289.48160261651674</v>
      </c>
      <c r="H88" s="1"/>
      <c r="I88" s="1"/>
      <c r="J88" s="1"/>
      <c r="K88" s="1"/>
      <c r="L88" s="1"/>
      <c r="M88" s="1"/>
      <c r="N88" s="1"/>
    </row>
    <row r="89" spans="1:14" x14ac:dyDescent="0.3">
      <c r="A89" s="27" t="s">
        <v>55</v>
      </c>
      <c r="B89" s="9">
        <v>1902</v>
      </c>
      <c r="C89" s="7">
        <v>3658</v>
      </c>
      <c r="D89" s="9">
        <v>480906</v>
      </c>
      <c r="E89" s="28">
        <f t="shared" si="14"/>
        <v>252.8422712933754</v>
      </c>
      <c r="H89" s="1"/>
      <c r="I89" s="1"/>
      <c r="J89" s="1"/>
      <c r="K89" s="1"/>
      <c r="L89" s="1"/>
      <c r="M89" s="1"/>
      <c r="N89" s="1"/>
    </row>
    <row r="90" spans="1:14" x14ac:dyDescent="0.3">
      <c r="A90" s="27" t="s">
        <v>56</v>
      </c>
      <c r="B90" s="9">
        <v>4185</v>
      </c>
      <c r="C90" s="7">
        <v>9058</v>
      </c>
      <c r="D90" s="9">
        <v>1186139</v>
      </c>
      <c r="E90" s="28">
        <f t="shared" si="14"/>
        <v>283.42628434886501</v>
      </c>
      <c r="H90" s="1"/>
      <c r="I90" s="1"/>
      <c r="J90" s="1"/>
      <c r="K90" s="1"/>
      <c r="L90" s="1"/>
      <c r="M90" s="1"/>
      <c r="N90" s="1"/>
    </row>
    <row r="91" spans="1:14" x14ac:dyDescent="0.3">
      <c r="A91" s="27" t="s">
        <v>57</v>
      </c>
      <c r="B91" s="9">
        <v>995</v>
      </c>
      <c r="C91" s="7">
        <v>2436</v>
      </c>
      <c r="D91" s="9">
        <v>317626</v>
      </c>
      <c r="E91" s="28">
        <f t="shared" si="14"/>
        <v>319.22211055276381</v>
      </c>
      <c r="H91" s="1"/>
      <c r="I91" s="1"/>
      <c r="J91" s="1"/>
      <c r="K91" s="1"/>
      <c r="L91" s="1"/>
      <c r="M91" s="1"/>
      <c r="N91" s="1"/>
    </row>
    <row r="92" spans="1:14" x14ac:dyDescent="0.3">
      <c r="A92" s="27" t="s">
        <v>197</v>
      </c>
      <c r="B92" s="9">
        <v>13185</v>
      </c>
      <c r="C92" s="7">
        <v>26475</v>
      </c>
      <c r="D92" s="9">
        <v>3527603</v>
      </c>
      <c r="E92" s="28">
        <f>D92/B92</f>
        <v>267.54668183541907</v>
      </c>
      <c r="H92" s="1"/>
      <c r="I92" s="1"/>
      <c r="J92" s="1"/>
      <c r="K92" s="1"/>
      <c r="L92" s="1"/>
      <c r="M92" s="1"/>
      <c r="N92" s="1"/>
    </row>
    <row r="93" spans="1:14" x14ac:dyDescent="0.3">
      <c r="A93" s="51" t="s">
        <v>58</v>
      </c>
      <c r="B93" s="9">
        <v>3540</v>
      </c>
      <c r="C93" s="7">
        <v>7708</v>
      </c>
      <c r="D93" s="9">
        <v>998431</v>
      </c>
      <c r="E93" s="28">
        <f t="shared" si="14"/>
        <v>282.04265536723165</v>
      </c>
      <c r="H93" s="1"/>
      <c r="I93" s="1"/>
      <c r="J93" s="1"/>
      <c r="K93" s="1"/>
      <c r="L93" s="1"/>
      <c r="M93" s="1"/>
      <c r="N93" s="1"/>
    </row>
    <row r="94" spans="1:14" ht="19.5" thickBot="1" x14ac:dyDescent="0.35">
      <c r="A94" s="27" t="s">
        <v>59</v>
      </c>
      <c r="B94" s="10">
        <v>5463</v>
      </c>
      <c r="C94" s="7">
        <v>11360</v>
      </c>
      <c r="D94" s="9">
        <v>1495724</v>
      </c>
      <c r="E94" s="28">
        <f>D94/B94</f>
        <v>273.79168954786746</v>
      </c>
      <c r="H94" s="1"/>
      <c r="I94" s="1"/>
      <c r="J94" s="1"/>
      <c r="K94" s="1"/>
      <c r="L94" s="1"/>
      <c r="M94" s="1"/>
      <c r="N94" s="1"/>
    </row>
    <row r="95" spans="1:14" ht="19.5" thickBot="1" x14ac:dyDescent="0.35">
      <c r="A95" s="32" t="s">
        <v>91</v>
      </c>
      <c r="B95" s="44">
        <f>SUM(B86:B94)</f>
        <v>43735</v>
      </c>
      <c r="C95" s="44">
        <f t="shared" ref="C95:D95" si="15">SUM(C86:C94)</f>
        <v>91591</v>
      </c>
      <c r="D95" s="44">
        <f t="shared" si="15"/>
        <v>12055420</v>
      </c>
      <c r="E95" s="34">
        <f>D95/B95</f>
        <v>275.64696467360238</v>
      </c>
      <c r="H95" s="1"/>
      <c r="I95" s="1"/>
      <c r="J95" s="1"/>
      <c r="K95" s="1"/>
      <c r="L95" s="1"/>
      <c r="M95" s="1"/>
      <c r="N95" s="1"/>
    </row>
    <row r="96" spans="1:14" ht="19.5" thickBot="1" x14ac:dyDescent="0.35">
      <c r="A96" s="48"/>
      <c r="B96" s="49"/>
      <c r="C96" s="49"/>
      <c r="D96" s="49"/>
      <c r="E96" s="50"/>
      <c r="H96" s="1"/>
      <c r="I96" s="1"/>
      <c r="J96" s="1"/>
      <c r="K96" s="1"/>
      <c r="L96" s="1"/>
      <c r="M96" s="1"/>
      <c r="N96" s="1"/>
    </row>
    <row r="97" spans="1:14" ht="19.5" thickBot="1" x14ac:dyDescent="0.35">
      <c r="A97" s="37" t="s">
        <v>8</v>
      </c>
      <c r="B97" s="46"/>
      <c r="C97" s="46"/>
      <c r="D97" s="46"/>
      <c r="E97" s="47"/>
      <c r="H97" s="1"/>
      <c r="I97" s="1"/>
      <c r="J97" s="1"/>
      <c r="K97" s="1"/>
      <c r="L97" s="1"/>
      <c r="M97" s="1"/>
      <c r="N97" s="1"/>
    </row>
    <row r="98" spans="1:14" x14ac:dyDescent="0.3">
      <c r="A98" s="52" t="s">
        <v>167</v>
      </c>
      <c r="B98" s="17">
        <f>3369+776</f>
        <v>4145</v>
      </c>
      <c r="C98" s="7">
        <v>10035</v>
      </c>
      <c r="D98" s="8">
        <v>1071191</v>
      </c>
      <c r="E98" s="28">
        <f>D98/B98</f>
        <v>258.42967430639322</v>
      </c>
      <c r="H98" s="1"/>
      <c r="I98" s="1"/>
      <c r="J98" s="1"/>
      <c r="K98" s="1"/>
      <c r="L98" s="1"/>
      <c r="M98" s="1"/>
      <c r="N98" s="1"/>
    </row>
    <row r="99" spans="1:14" x14ac:dyDescent="0.3">
      <c r="A99" s="53" t="s">
        <v>60</v>
      </c>
      <c r="B99" s="8">
        <v>4736</v>
      </c>
      <c r="C99" s="7">
        <v>9900</v>
      </c>
      <c r="D99" s="8">
        <v>1295085</v>
      </c>
      <c r="E99" s="28">
        <f t="shared" ref="E99:E110" si="16">D99/B99</f>
        <v>273.45544763513516</v>
      </c>
      <c r="H99" s="1"/>
      <c r="I99" s="1"/>
      <c r="J99" s="1"/>
      <c r="K99" s="1"/>
      <c r="L99" s="1"/>
      <c r="M99" s="1"/>
      <c r="N99" s="1"/>
    </row>
    <row r="100" spans="1:14" x14ac:dyDescent="0.3">
      <c r="A100" s="53" t="s">
        <v>169</v>
      </c>
      <c r="B100" s="9">
        <v>776</v>
      </c>
      <c r="C100" s="7">
        <v>1838</v>
      </c>
      <c r="D100" s="9">
        <v>246386</v>
      </c>
      <c r="E100" s="28">
        <f t="shared" si="16"/>
        <v>317.50773195876286</v>
      </c>
      <c r="H100" s="1"/>
      <c r="I100" s="1"/>
      <c r="J100" s="1"/>
      <c r="K100" s="1"/>
      <c r="L100" s="1"/>
      <c r="M100" s="1"/>
      <c r="N100" s="1"/>
    </row>
    <row r="101" spans="1:14" x14ac:dyDescent="0.3">
      <c r="A101" s="53" t="s">
        <v>61</v>
      </c>
      <c r="B101" s="9">
        <v>6583</v>
      </c>
      <c r="C101" s="7">
        <v>14414</v>
      </c>
      <c r="D101" s="9">
        <v>1893375</v>
      </c>
      <c r="E101" s="28">
        <f t="shared" si="16"/>
        <v>287.61582864955187</v>
      </c>
      <c r="H101" s="1"/>
      <c r="I101" s="1"/>
      <c r="J101" s="1"/>
      <c r="K101" s="1"/>
      <c r="L101" s="1"/>
      <c r="M101" s="1"/>
      <c r="N101" s="1"/>
    </row>
    <row r="102" spans="1:14" x14ac:dyDescent="0.3">
      <c r="A102" s="27" t="s">
        <v>62</v>
      </c>
      <c r="B102" s="9">
        <v>3880</v>
      </c>
      <c r="C102" s="7">
        <v>8749</v>
      </c>
      <c r="D102" s="9">
        <v>1149611</v>
      </c>
      <c r="E102" s="28">
        <f t="shared" si="16"/>
        <v>296.29149484536083</v>
      </c>
      <c r="H102" s="1"/>
      <c r="I102" s="1"/>
      <c r="J102" s="1"/>
      <c r="K102" s="1"/>
      <c r="L102" s="1"/>
      <c r="M102" s="1"/>
      <c r="N102" s="1"/>
    </row>
    <row r="103" spans="1:14" x14ac:dyDescent="0.3">
      <c r="A103" s="27" t="s">
        <v>63</v>
      </c>
      <c r="B103" s="9">
        <v>3186</v>
      </c>
      <c r="C103" s="7">
        <v>7875</v>
      </c>
      <c r="D103" s="9">
        <v>1035029</v>
      </c>
      <c r="E103" s="28">
        <f t="shared" si="16"/>
        <v>324.86785938480853</v>
      </c>
      <c r="H103" s="1"/>
      <c r="I103" s="1"/>
      <c r="J103" s="1"/>
      <c r="K103" s="1"/>
      <c r="L103" s="1"/>
      <c r="M103" s="1"/>
      <c r="N103" s="1"/>
    </row>
    <row r="104" spans="1:14" x14ac:dyDescent="0.3">
      <c r="A104" s="27" t="s">
        <v>64</v>
      </c>
      <c r="B104" s="9">
        <v>7171</v>
      </c>
      <c r="C104" s="7">
        <v>16564</v>
      </c>
      <c r="D104" s="9">
        <v>2146795</v>
      </c>
      <c r="E104" s="28">
        <f t="shared" si="16"/>
        <v>299.37177520568957</v>
      </c>
      <c r="H104" s="1"/>
      <c r="I104" s="1"/>
      <c r="J104" s="1"/>
      <c r="K104" s="1"/>
      <c r="L104" s="1"/>
      <c r="M104" s="1"/>
      <c r="N104" s="1"/>
    </row>
    <row r="105" spans="1:14" x14ac:dyDescent="0.3">
      <c r="A105" s="27" t="s">
        <v>65</v>
      </c>
      <c r="B105" s="9">
        <v>5052</v>
      </c>
      <c r="C105" s="7">
        <v>11943</v>
      </c>
      <c r="D105" s="9">
        <v>1547797</v>
      </c>
      <c r="E105" s="28">
        <f t="shared" si="16"/>
        <v>306.37311955661124</v>
      </c>
      <c r="H105" s="1"/>
      <c r="I105" s="1"/>
      <c r="J105" s="1"/>
      <c r="K105" s="1"/>
      <c r="L105" s="1"/>
      <c r="M105" s="1"/>
      <c r="N105" s="1"/>
    </row>
    <row r="106" spans="1:14" x14ac:dyDescent="0.3">
      <c r="A106" s="27" t="s">
        <v>66</v>
      </c>
      <c r="B106" s="9">
        <v>4042</v>
      </c>
      <c r="C106" s="7">
        <v>9764</v>
      </c>
      <c r="D106" s="9">
        <v>1261048</v>
      </c>
      <c r="E106" s="28">
        <f t="shared" si="16"/>
        <v>311.98614547253834</v>
      </c>
      <c r="H106" s="1"/>
      <c r="I106" s="1"/>
      <c r="J106" s="1"/>
      <c r="K106" s="1"/>
      <c r="L106" s="1"/>
      <c r="M106" s="1"/>
      <c r="N106" s="1"/>
    </row>
    <row r="107" spans="1:14" x14ac:dyDescent="0.3">
      <c r="A107" s="27" t="s">
        <v>194</v>
      </c>
      <c r="B107" s="9">
        <v>47539</v>
      </c>
      <c r="C107" s="7">
        <v>107639</v>
      </c>
      <c r="D107" s="9">
        <v>14191669</v>
      </c>
      <c r="E107" s="28">
        <f t="shared" si="16"/>
        <v>298.52687267296324</v>
      </c>
      <c r="H107" s="1"/>
      <c r="I107" s="1"/>
      <c r="J107" s="1"/>
      <c r="K107" s="1"/>
      <c r="L107" s="1"/>
      <c r="M107" s="1"/>
      <c r="N107" s="1"/>
    </row>
    <row r="108" spans="1:14" x14ac:dyDescent="0.3">
      <c r="A108" s="27" t="s">
        <v>67</v>
      </c>
      <c r="B108" s="9">
        <v>4675</v>
      </c>
      <c r="C108" s="7">
        <v>10971</v>
      </c>
      <c r="D108" s="9">
        <v>1431034</v>
      </c>
      <c r="E108" s="28">
        <f t="shared" si="16"/>
        <v>306.10352941176473</v>
      </c>
      <c r="H108" s="1"/>
      <c r="I108" s="1"/>
      <c r="J108" s="1"/>
      <c r="K108" s="1"/>
      <c r="L108" s="1"/>
      <c r="M108" s="1"/>
      <c r="N108" s="1"/>
    </row>
    <row r="109" spans="1:14" ht="19.5" thickBot="1" x14ac:dyDescent="0.35">
      <c r="A109" s="27" t="s">
        <v>68</v>
      </c>
      <c r="B109" s="10">
        <v>6993</v>
      </c>
      <c r="C109" s="7">
        <v>15380</v>
      </c>
      <c r="D109" s="9">
        <v>2005269</v>
      </c>
      <c r="E109" s="28">
        <f t="shared" si="16"/>
        <v>286.75375375375376</v>
      </c>
      <c r="H109" s="1"/>
      <c r="I109" s="1"/>
      <c r="J109" s="1"/>
      <c r="K109" s="1"/>
      <c r="L109" s="1"/>
      <c r="M109" s="1"/>
      <c r="N109" s="1"/>
    </row>
    <row r="110" spans="1:14" ht="19.5" thickBot="1" x14ac:dyDescent="0.35">
      <c r="A110" s="32" t="s">
        <v>91</v>
      </c>
      <c r="B110" s="44">
        <f>SUM(B99:B109)</f>
        <v>94633</v>
      </c>
      <c r="C110" s="44">
        <f t="shared" ref="C110:D110" si="17">SUM(C99:C109)</f>
        <v>215037</v>
      </c>
      <c r="D110" s="44">
        <f t="shared" si="17"/>
        <v>28203098</v>
      </c>
      <c r="E110" s="34">
        <f t="shared" si="16"/>
        <v>298.02603742880393</v>
      </c>
      <c r="H110" s="1"/>
      <c r="I110" s="1"/>
      <c r="J110" s="1"/>
      <c r="K110" s="1"/>
      <c r="L110" s="1"/>
      <c r="M110" s="1"/>
      <c r="N110" s="1"/>
    </row>
    <row r="111" spans="1:14" ht="19.5" thickBot="1" x14ac:dyDescent="0.35">
      <c r="A111" s="48"/>
      <c r="B111" s="49"/>
      <c r="C111" s="49"/>
      <c r="D111" s="49"/>
      <c r="E111" s="50"/>
      <c r="H111" s="1"/>
      <c r="I111" s="1"/>
      <c r="J111" s="1"/>
      <c r="K111" s="1"/>
      <c r="L111" s="1"/>
      <c r="M111" s="1"/>
      <c r="N111" s="1"/>
    </row>
    <row r="112" spans="1:14" ht="19.5" thickBot="1" x14ac:dyDescent="0.35">
      <c r="A112" s="22" t="s">
        <v>9</v>
      </c>
      <c r="B112" s="46"/>
      <c r="C112" s="46"/>
      <c r="D112" s="46"/>
      <c r="E112" s="47"/>
      <c r="H112" s="1"/>
      <c r="I112" s="1"/>
      <c r="J112" s="1"/>
      <c r="K112" s="1"/>
      <c r="L112" s="1"/>
      <c r="M112" s="1"/>
      <c r="N112" s="1"/>
    </row>
    <row r="113" spans="1:14" x14ac:dyDescent="0.3">
      <c r="A113" s="25" t="s">
        <v>99</v>
      </c>
      <c r="B113" s="17">
        <v>1244</v>
      </c>
      <c r="C113" s="7">
        <v>2935</v>
      </c>
      <c r="D113" s="8">
        <v>386589</v>
      </c>
      <c r="E113" s="28">
        <f t="shared" ref="E113:E117" si="18">D113/B113</f>
        <v>310.7628617363344</v>
      </c>
      <c r="H113" s="1"/>
      <c r="I113" s="1"/>
      <c r="J113" s="1"/>
      <c r="K113" s="1"/>
      <c r="L113" s="1"/>
      <c r="M113" s="1"/>
      <c r="N113" s="1"/>
    </row>
    <row r="114" spans="1:14" x14ac:dyDescent="0.3">
      <c r="A114" s="27" t="s">
        <v>193</v>
      </c>
      <c r="B114" s="9">
        <v>9344</v>
      </c>
      <c r="C114" s="7">
        <v>19247</v>
      </c>
      <c r="D114" s="9">
        <v>2551921</v>
      </c>
      <c r="E114" s="28">
        <v>824.65041609755576</v>
      </c>
      <c r="H114" s="1"/>
      <c r="I114" s="1"/>
      <c r="J114" s="1"/>
      <c r="K114" s="1"/>
      <c r="L114" s="1"/>
      <c r="M114" s="1"/>
      <c r="N114" s="1"/>
    </row>
    <row r="115" spans="1:14" x14ac:dyDescent="0.3">
      <c r="A115" s="27" t="s">
        <v>195</v>
      </c>
      <c r="B115" s="9">
        <v>29218</v>
      </c>
      <c r="C115" s="7">
        <v>61930</v>
      </c>
      <c r="D115" s="9">
        <v>8230429</v>
      </c>
      <c r="E115" s="28">
        <f t="shared" si="18"/>
        <v>281.69036210555134</v>
      </c>
      <c r="H115" s="1"/>
      <c r="I115" s="1"/>
      <c r="J115" s="1"/>
      <c r="K115" s="1"/>
      <c r="L115" s="1"/>
      <c r="M115" s="1"/>
      <c r="N115" s="1"/>
    </row>
    <row r="116" spans="1:14" ht="19.5" thickBot="1" x14ac:dyDescent="0.35">
      <c r="A116" s="51" t="s">
        <v>196</v>
      </c>
      <c r="B116" s="9">
        <v>10795</v>
      </c>
      <c r="C116" s="7">
        <v>21747</v>
      </c>
      <c r="D116" s="9">
        <v>2912319</v>
      </c>
      <c r="E116" s="28">
        <f t="shared" si="18"/>
        <v>269.78406669754514</v>
      </c>
      <c r="H116" s="1"/>
      <c r="I116" s="1"/>
      <c r="J116" s="1"/>
      <c r="K116" s="1"/>
      <c r="L116" s="1"/>
      <c r="M116" s="1"/>
      <c r="N116" s="1"/>
    </row>
    <row r="117" spans="1:14" ht="19.5" thickBot="1" x14ac:dyDescent="0.35">
      <c r="A117" s="32" t="s">
        <v>91</v>
      </c>
      <c r="B117" s="44">
        <f>SUM(B113:B116)</f>
        <v>50601</v>
      </c>
      <c r="C117" s="44">
        <f t="shared" ref="C117:D117" si="19">SUM(C113:C116)</f>
        <v>105859</v>
      </c>
      <c r="D117" s="44">
        <f t="shared" si="19"/>
        <v>14081258</v>
      </c>
      <c r="E117" s="34">
        <f t="shared" si="18"/>
        <v>278.28023161597599</v>
      </c>
      <c r="H117" s="1"/>
      <c r="I117" s="1"/>
      <c r="J117" s="1"/>
      <c r="K117" s="1"/>
      <c r="L117" s="1"/>
      <c r="M117" s="1"/>
      <c r="N117" s="1"/>
    </row>
    <row r="118" spans="1:14" ht="19.5" thickBot="1" x14ac:dyDescent="0.35">
      <c r="A118" s="48"/>
      <c r="B118" s="49"/>
      <c r="C118" s="49"/>
      <c r="D118" s="49"/>
      <c r="E118" s="50"/>
      <c r="H118" s="1"/>
      <c r="I118" s="1"/>
      <c r="J118" s="1"/>
      <c r="K118" s="1"/>
      <c r="L118" s="1"/>
      <c r="M118" s="1"/>
      <c r="N118" s="1"/>
    </row>
    <row r="119" spans="1:14" ht="19.5" thickBot="1" x14ac:dyDescent="0.35">
      <c r="A119" s="58" t="s">
        <v>74</v>
      </c>
      <c r="B119" s="55">
        <f>B15+B29+B42+B52+B61+B70+B83+B95+B110+B117</f>
        <v>545659</v>
      </c>
      <c r="C119" s="55">
        <f t="shared" ref="C119:D119" si="20">C15+C29+C42+C52+C61+C70+C83+C95+C110+C117</f>
        <v>1171601</v>
      </c>
      <c r="D119" s="55">
        <f t="shared" si="20"/>
        <v>154317028</v>
      </c>
      <c r="E119" s="47">
        <f>SUM(E8:E116)</f>
        <v>29205.436583398765</v>
      </c>
      <c r="H119" s="1"/>
      <c r="I119" s="1"/>
      <c r="J119" s="1"/>
      <c r="K119" s="1"/>
      <c r="L119" s="1"/>
      <c r="M119" s="1"/>
      <c r="N119" s="1"/>
    </row>
    <row r="120" spans="1:14" x14ac:dyDescent="0.3">
      <c r="H120" s="1"/>
      <c r="I120" s="1"/>
      <c r="J120" s="1"/>
      <c r="K120" s="1"/>
      <c r="L120" s="1"/>
      <c r="M120" s="1"/>
      <c r="N120" s="1"/>
    </row>
    <row r="121" spans="1:14" x14ac:dyDescent="0.3">
      <c r="B121" s="272"/>
      <c r="H121" s="1"/>
      <c r="I121" s="1"/>
      <c r="J121" s="1"/>
      <c r="K121" s="1"/>
      <c r="L121" s="1"/>
      <c r="M121" s="1"/>
      <c r="N121" s="1"/>
    </row>
    <row r="122" spans="1:14" x14ac:dyDescent="0.3">
      <c r="H122" s="1"/>
      <c r="I122" s="1"/>
      <c r="J122" s="1"/>
      <c r="K122" s="1"/>
      <c r="L122" s="1"/>
      <c r="M122" s="1"/>
      <c r="N122" s="1"/>
    </row>
    <row r="123" spans="1:14" x14ac:dyDescent="0.3">
      <c r="H123" s="1"/>
      <c r="I123" s="1"/>
      <c r="J123" s="1"/>
      <c r="K123" s="1"/>
      <c r="L123" s="1"/>
      <c r="M123" s="1"/>
      <c r="N123" s="1"/>
    </row>
    <row r="124" spans="1:14" x14ac:dyDescent="0.3">
      <c r="H124" s="1"/>
      <c r="I124" s="1"/>
      <c r="J124" s="1"/>
      <c r="K124" s="1"/>
      <c r="L124" s="1"/>
      <c r="M124" s="1"/>
      <c r="N124" s="1"/>
    </row>
    <row r="125" spans="1:14" x14ac:dyDescent="0.3">
      <c r="H125" s="1"/>
      <c r="I125" s="1"/>
      <c r="J125" s="1"/>
      <c r="K125" s="1"/>
      <c r="L125" s="1"/>
      <c r="M125" s="1"/>
      <c r="N125" s="1"/>
    </row>
    <row r="129" spans="7:7" s="1" customFormat="1" x14ac:dyDescent="0.3">
      <c r="G129" s="18"/>
    </row>
    <row r="130" spans="7:7" s="1" customFormat="1" x14ac:dyDescent="0.3">
      <c r="G130" s="18"/>
    </row>
    <row r="131" spans="7:7" s="1" customFormat="1" x14ac:dyDescent="0.3">
      <c r="G131" s="18"/>
    </row>
    <row r="132" spans="7:7" s="1" customFormat="1" x14ac:dyDescent="0.3">
      <c r="G132" s="18"/>
    </row>
    <row r="133" spans="7:7" s="1" customFormat="1" x14ac:dyDescent="0.3">
      <c r="G133" s="18"/>
    </row>
    <row r="134" spans="7:7" s="1" customFormat="1" x14ac:dyDescent="0.3">
      <c r="G134" s="18"/>
    </row>
    <row r="135" spans="7:7" s="1" customFormat="1" x14ac:dyDescent="0.3">
      <c r="G135" s="18"/>
    </row>
    <row r="136" spans="7:7" s="1" customFormat="1" x14ac:dyDescent="0.3">
      <c r="G136" s="18"/>
    </row>
    <row r="137" spans="7:7" s="1" customFormat="1" x14ac:dyDescent="0.3">
      <c r="G137" s="18"/>
    </row>
    <row r="138" spans="7:7" s="1" customFormat="1" x14ac:dyDescent="0.3">
      <c r="G138" s="18"/>
    </row>
    <row r="139" spans="7:7" s="1" customFormat="1" x14ac:dyDescent="0.3">
      <c r="G139" s="18"/>
    </row>
    <row r="140" spans="7:7" s="1" customFormat="1" x14ac:dyDescent="0.3">
      <c r="G140" s="18"/>
    </row>
    <row r="141" spans="7:7" s="1" customFormat="1" x14ac:dyDescent="0.3">
      <c r="G141" s="18"/>
    </row>
    <row r="142" spans="7:7" s="1" customFormat="1" x14ac:dyDescent="0.3">
      <c r="G142" s="18"/>
    </row>
    <row r="143" spans="7:7" s="1" customFormat="1" x14ac:dyDescent="0.3">
      <c r="G143" s="18"/>
    </row>
    <row r="144" spans="7:7" s="1" customFormat="1" x14ac:dyDescent="0.3">
      <c r="G144" s="18"/>
    </row>
    <row r="147" s="1" customFormat="1" x14ac:dyDescent="0.3"/>
    <row r="148" s="1" customFormat="1" x14ac:dyDescent="0.3"/>
  </sheetData>
  <mergeCells count="5">
    <mergeCell ref="A5:E5"/>
    <mergeCell ref="A1:E1"/>
    <mergeCell ref="A2:E2"/>
    <mergeCell ref="A3:E3"/>
    <mergeCell ref="A4:E4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7"/>
  <sheetViews>
    <sheetView topLeftCell="A93" zoomScale="75" zoomScaleNormal="100" workbookViewId="0">
      <selection activeCell="B116" sqref="B116"/>
    </sheetView>
  </sheetViews>
  <sheetFormatPr defaultRowHeight="18.75" x14ac:dyDescent="0.3"/>
  <cols>
    <col min="1" max="1" width="23.42578125" style="56" customWidth="1"/>
    <col min="2" max="3" width="15.7109375" style="18" customWidth="1"/>
    <col min="4" max="4" width="19.85546875" style="79" customWidth="1"/>
    <col min="5" max="5" width="15.7109375" style="18" customWidth="1"/>
    <col min="6" max="6" width="19" style="79" customWidth="1"/>
    <col min="7" max="16" width="9.140625" style="18"/>
    <col min="17" max="16384" width="9.140625" style="1"/>
  </cols>
  <sheetData>
    <row r="1" spans="1:6" x14ac:dyDescent="0.3">
      <c r="A1" s="356" t="s">
        <v>10</v>
      </c>
      <c r="B1" s="356"/>
      <c r="C1" s="356"/>
      <c r="D1" s="356"/>
      <c r="E1" s="356"/>
      <c r="F1" s="355"/>
    </row>
    <row r="2" spans="1:6" x14ac:dyDescent="0.3">
      <c r="A2" s="356" t="s">
        <v>71</v>
      </c>
      <c r="B2" s="356"/>
      <c r="C2" s="356"/>
      <c r="D2" s="356"/>
      <c r="E2" s="356"/>
      <c r="F2" s="355"/>
    </row>
    <row r="3" spans="1:6" x14ac:dyDescent="0.3">
      <c r="A3" s="357" t="s">
        <v>113</v>
      </c>
      <c r="B3" s="357"/>
      <c r="C3" s="357"/>
      <c r="D3" s="357"/>
      <c r="E3" s="357"/>
      <c r="F3" s="363"/>
    </row>
    <row r="4" spans="1:6" x14ac:dyDescent="0.3">
      <c r="A4" s="356" t="s">
        <v>83</v>
      </c>
      <c r="B4" s="356"/>
      <c r="C4" s="356"/>
      <c r="D4" s="356"/>
      <c r="E4" s="356"/>
      <c r="F4" s="356"/>
    </row>
    <row r="5" spans="1:6" ht="19.5" thickBot="1" x14ac:dyDescent="0.35">
      <c r="A5" s="354"/>
      <c r="B5" s="355"/>
      <c r="C5" s="355"/>
      <c r="D5" s="355"/>
      <c r="E5" s="355"/>
      <c r="F5" s="355"/>
    </row>
    <row r="6" spans="1:6" ht="57" thickBot="1" x14ac:dyDescent="0.35">
      <c r="A6" s="19"/>
      <c r="B6" s="20" t="s">
        <v>75</v>
      </c>
      <c r="C6" s="21" t="s">
        <v>76</v>
      </c>
      <c r="D6" s="66" t="s">
        <v>77</v>
      </c>
      <c r="E6" s="21" t="s">
        <v>78</v>
      </c>
      <c r="F6" s="80" t="s">
        <v>79</v>
      </c>
    </row>
    <row r="7" spans="1:6" ht="21.75" customHeight="1" thickBot="1" x14ac:dyDescent="0.35">
      <c r="A7" s="336" t="s">
        <v>0</v>
      </c>
      <c r="B7" s="345"/>
      <c r="C7" s="345"/>
      <c r="D7" s="333"/>
      <c r="E7" s="345"/>
      <c r="F7" s="346"/>
    </row>
    <row r="8" spans="1:6" x14ac:dyDescent="0.3">
      <c r="A8" s="340" t="s">
        <v>11</v>
      </c>
      <c r="B8" s="341">
        <f>('Oct 07'!B8+'Nov 07'!B8+'Dic 07'!B8)/3</f>
        <v>5686.333333333333</v>
      </c>
      <c r="C8" s="341">
        <f>('Oct 07'!C8+'Nov 07'!C8+'Dic 07'!C8)/3</f>
        <v>13143</v>
      </c>
      <c r="D8" s="341">
        <f>('Oct 07'!D8+'Nov 07'!D8+'Dic 07'!D8)</f>
        <v>4398910</v>
      </c>
      <c r="E8" s="341">
        <f>D8/B8</f>
        <v>773.59341110264381</v>
      </c>
      <c r="F8" s="82">
        <f t="shared" ref="F8:F14" si="0">D8/3</f>
        <v>1466303.3333333333</v>
      </c>
    </row>
    <row r="9" spans="1:6" x14ac:dyDescent="0.3">
      <c r="A9" s="27" t="s">
        <v>84</v>
      </c>
      <c r="B9" s="28">
        <f>('Oct 07'!B9+'Nov 07'!B9+'Dic 07'!B9)/3</f>
        <v>9647</v>
      </c>
      <c r="C9" s="28">
        <f>('Oct 07'!C9+'Nov 07'!C9+'Dic 07'!C9)/3</f>
        <v>20125</v>
      </c>
      <c r="D9" s="28">
        <f>('Oct 07'!D9+'Nov 07'!D9+'Dic 07'!D9)</f>
        <v>6929962</v>
      </c>
      <c r="E9" s="28">
        <f t="shared" ref="E9:E15" si="1">D9/B9</f>
        <v>718.35409972012019</v>
      </c>
      <c r="F9" s="83">
        <f t="shared" si="0"/>
        <v>2309987.3333333335</v>
      </c>
    </row>
    <row r="10" spans="1:6" x14ac:dyDescent="0.3">
      <c r="A10" s="27" t="s">
        <v>12</v>
      </c>
      <c r="B10" s="28">
        <f>('Oct 07'!B10+'Nov 07'!B10+'Dic 07'!B10)/3</f>
        <v>6701</v>
      </c>
      <c r="C10" s="28">
        <f>('Oct 07'!C10+'Nov 07'!C10+'Dic 07'!C10)/3</f>
        <v>14174.333333333334</v>
      </c>
      <c r="D10" s="28">
        <f>('Oct 07'!D10+'Nov 07'!D10+'Dic 07'!D10)</f>
        <v>4808760</v>
      </c>
      <c r="E10" s="28">
        <f t="shared" si="1"/>
        <v>717.61826593045816</v>
      </c>
      <c r="F10" s="83">
        <f t="shared" si="0"/>
        <v>1602920</v>
      </c>
    </row>
    <row r="11" spans="1:6" x14ac:dyDescent="0.3">
      <c r="A11" s="27" t="s">
        <v>13</v>
      </c>
      <c r="B11" s="28">
        <f>('Oct 07'!B11+'Nov 07'!B11+'Dic 07'!B11)/3</f>
        <v>1704.6666666666667</v>
      </c>
      <c r="C11" s="28">
        <f>('Oct 07'!C11+'Nov 07'!C11+'Dic 07'!C11)/3</f>
        <v>3764</v>
      </c>
      <c r="D11" s="28">
        <f>('Oct 07'!D11+'Nov 07'!D11+'Dic 07'!D11)</f>
        <v>1291778</v>
      </c>
      <c r="E11" s="28">
        <f t="shared" si="1"/>
        <v>757.78920610089949</v>
      </c>
      <c r="F11" s="83">
        <f t="shared" si="0"/>
        <v>430592.66666666669</v>
      </c>
    </row>
    <row r="12" spans="1:6" x14ac:dyDescent="0.3">
      <c r="A12" s="27" t="s">
        <v>14</v>
      </c>
      <c r="B12" s="28">
        <f>('Oct 07'!B12+'Nov 07'!B12+'Dic 07'!B12)/3</f>
        <v>6960.666666666667</v>
      </c>
      <c r="C12" s="28">
        <f>('Oct 07'!C12+'Nov 07'!C12+'Dic 07'!C12)/3</f>
        <v>16000</v>
      </c>
      <c r="D12" s="28">
        <f>('Oct 07'!D12+'Nov 07'!D12+'Dic 07'!D12)</f>
        <v>5443508</v>
      </c>
      <c r="E12" s="28">
        <f t="shared" si="1"/>
        <v>782.03831050665644</v>
      </c>
      <c r="F12" s="83">
        <f t="shared" si="0"/>
        <v>1814502.6666666667</v>
      </c>
    </row>
    <row r="13" spans="1:6" x14ac:dyDescent="0.3">
      <c r="A13" s="27" t="s">
        <v>15</v>
      </c>
      <c r="B13" s="28">
        <f>('Oct 07'!B13+'Nov 07'!B13+'Dic 07'!B13)/3</f>
        <v>2436.6666666666665</v>
      </c>
      <c r="C13" s="28">
        <f>('Oct 07'!C13+'Nov 07'!C13+'Dic 07'!C13)/3</f>
        <v>4948.333333333333</v>
      </c>
      <c r="D13" s="28">
        <f>('Oct 07'!D13+'Nov 07'!D13+'Dic 07'!D13)</f>
        <v>1698078</v>
      </c>
      <c r="E13" s="28">
        <f t="shared" si="1"/>
        <v>696.88563611491111</v>
      </c>
      <c r="F13" s="83">
        <f t="shared" si="0"/>
        <v>566026</v>
      </c>
    </row>
    <row r="14" spans="1:6" ht="19.5" thickBot="1" x14ac:dyDescent="0.35">
      <c r="A14" s="29" t="s">
        <v>72</v>
      </c>
      <c r="B14" s="30">
        <f>('Oct 07'!B14+'Nov 07'!B14+'Dic 07'!B14)/3</f>
        <v>8643.6666666666661</v>
      </c>
      <c r="C14" s="30">
        <f>('Oct 07'!C14+'Nov 07'!C14+'Dic 07'!C14)/3</f>
        <v>17920.333333333332</v>
      </c>
      <c r="D14" s="30">
        <f>('Oct 07'!D14+'Nov 07'!D14+'Dic 07'!D14)</f>
        <v>6166221</v>
      </c>
      <c r="E14" s="30">
        <f t="shared" si="1"/>
        <v>713.38023986734026</v>
      </c>
      <c r="F14" s="84">
        <f t="shared" si="0"/>
        <v>2055407</v>
      </c>
    </row>
    <row r="15" spans="1:6" ht="19.5" thickBot="1" x14ac:dyDescent="0.35">
      <c r="A15" s="301" t="s">
        <v>85</v>
      </c>
      <c r="B15" s="338">
        <f>SUM(B8:B14)</f>
        <v>41780</v>
      </c>
      <c r="C15" s="338">
        <f>SUM(C8:C14)</f>
        <v>90075</v>
      </c>
      <c r="D15" s="339">
        <f>SUM(D8:D14)</f>
        <v>30737217</v>
      </c>
      <c r="E15" s="338">
        <f t="shared" si="1"/>
        <v>735.69212541886066</v>
      </c>
      <c r="F15" s="339">
        <f>D15/3</f>
        <v>10245739</v>
      </c>
    </row>
    <row r="16" spans="1:6" ht="19.5" thickBot="1" x14ac:dyDescent="0.35">
      <c r="A16" s="35"/>
      <c r="B16" s="36"/>
      <c r="C16" s="36"/>
      <c r="D16" s="72"/>
      <c r="E16" s="36"/>
      <c r="F16" s="85"/>
    </row>
    <row r="17" spans="1:16" ht="19.5" thickBot="1" x14ac:dyDescent="0.35">
      <c r="A17" s="19" t="s">
        <v>1</v>
      </c>
      <c r="B17" s="299"/>
      <c r="C17" s="299"/>
      <c r="D17" s="347"/>
      <c r="E17" s="299"/>
      <c r="F17" s="337"/>
    </row>
    <row r="18" spans="1:16" s="2" customFormat="1" x14ac:dyDescent="0.3">
      <c r="A18" s="306" t="s">
        <v>86</v>
      </c>
      <c r="B18" s="341">
        <f>('Oct 07'!B18+'Nov 07'!B18+'Dic 07'!B18)/3</f>
        <v>16957</v>
      </c>
      <c r="C18" s="341">
        <f>('Oct 07'!C18+'Nov 07'!C18+'Dic 07'!C18)/3</f>
        <v>34303.666666666664</v>
      </c>
      <c r="D18" s="342">
        <f>('Oct 07'!D18+'Nov 07'!D18+'Dic 07'!D18)</f>
        <v>11907152</v>
      </c>
      <c r="E18" s="341">
        <f t="shared" ref="E18:E29" si="2">D18/B18</f>
        <v>702.1968508580527</v>
      </c>
      <c r="F18" s="82">
        <f t="shared" ref="F18:F29" si="3">D18/3</f>
        <v>3969050.6666666665</v>
      </c>
      <c r="G18" s="42"/>
      <c r="H18" s="42"/>
      <c r="I18" s="42"/>
      <c r="J18" s="42"/>
      <c r="K18" s="42"/>
      <c r="L18" s="42"/>
      <c r="M18" s="42"/>
      <c r="N18" s="42"/>
      <c r="O18" s="42"/>
      <c r="P18" s="42"/>
    </row>
    <row r="19" spans="1:16" x14ac:dyDescent="0.3">
      <c r="A19" s="25" t="s">
        <v>16</v>
      </c>
      <c r="B19" s="28">
        <f>('Oct 07'!B19+'Nov 07'!B19+'Dic 07'!B19)/3</f>
        <v>4731.666666666667</v>
      </c>
      <c r="C19" s="28">
        <f>('Oct 07'!C19+'Nov 07'!C19+'Dic 07'!C19)/3</f>
        <v>9951</v>
      </c>
      <c r="D19" s="69">
        <f>('Oct 07'!D19+'Nov 07'!D19+'Dic 07'!D19)</f>
        <v>3425969</v>
      </c>
      <c r="E19" s="28">
        <f t="shared" si="2"/>
        <v>724.05121521662556</v>
      </c>
      <c r="F19" s="83">
        <f t="shared" si="3"/>
        <v>1141989.6666666667</v>
      </c>
    </row>
    <row r="20" spans="1:16" x14ac:dyDescent="0.3">
      <c r="A20" s="27" t="s">
        <v>17</v>
      </c>
      <c r="B20" s="28">
        <f>('Oct 07'!B20+'Nov 07'!B20+'Dic 07'!B20)/3</f>
        <v>6035.333333333333</v>
      </c>
      <c r="C20" s="28">
        <f>('Oct 07'!C20+'Nov 07'!C20+'Dic 07'!C20)/3</f>
        <v>12865.666666666666</v>
      </c>
      <c r="D20" s="69">
        <f>('Oct 07'!D20+'Nov 07'!D20+'Dic 07'!D20)</f>
        <v>4364605</v>
      </c>
      <c r="E20" s="28">
        <f t="shared" si="2"/>
        <v>723.17546669612284</v>
      </c>
      <c r="F20" s="83">
        <f t="shared" si="3"/>
        <v>1454868.3333333333</v>
      </c>
    </row>
    <row r="21" spans="1:16" x14ac:dyDescent="0.3">
      <c r="A21" s="27" t="s">
        <v>18</v>
      </c>
      <c r="B21" s="28">
        <f>('Oct 07'!B21+'Nov 07'!B21+'Dic 07'!B21)/3</f>
        <v>3861.3333333333335</v>
      </c>
      <c r="C21" s="28">
        <f>('Oct 07'!C21+'Nov 07'!C21+'Dic 07'!C21)/3</f>
        <v>8700</v>
      </c>
      <c r="D21" s="69">
        <f>('Oct 07'!D21+'Nov 07'!D21+'Dic 07'!D21)</f>
        <v>2946687</v>
      </c>
      <c r="E21" s="28">
        <f t="shared" si="2"/>
        <v>763.12681284530379</v>
      </c>
      <c r="F21" s="83">
        <f t="shared" si="3"/>
        <v>982229</v>
      </c>
    </row>
    <row r="22" spans="1:16" x14ac:dyDescent="0.3">
      <c r="A22" s="27" t="s">
        <v>19</v>
      </c>
      <c r="B22" s="28">
        <f>('Oct 07'!B22+'Nov 07'!B22+'Dic 07'!B22)/3</f>
        <v>2509.3333333333335</v>
      </c>
      <c r="C22" s="28">
        <f>('Oct 07'!C22+'Nov 07'!C22+'Dic 07'!C22)/3</f>
        <v>5562.333333333333</v>
      </c>
      <c r="D22" s="69">
        <f>('Oct 07'!D22+'Nov 07'!D22+'Dic 07'!D22)</f>
        <v>1888880</v>
      </c>
      <c r="E22" s="28">
        <f t="shared" si="2"/>
        <v>752.74176408076505</v>
      </c>
      <c r="F22" s="83">
        <f t="shared" si="3"/>
        <v>629626.66666666663</v>
      </c>
    </row>
    <row r="23" spans="1:16" x14ac:dyDescent="0.3">
      <c r="A23" s="27" t="s">
        <v>20</v>
      </c>
      <c r="B23" s="28">
        <f>('Oct 07'!B23+'Nov 07'!B23+'Dic 07'!B23)/3</f>
        <v>6805.333333333333</v>
      </c>
      <c r="C23" s="28">
        <f>('Oct 07'!C23+'Nov 07'!C23+'Dic 07'!C23)/3</f>
        <v>14637.666666666666</v>
      </c>
      <c r="D23" s="69">
        <f>('Oct 07'!D23+'Nov 07'!D23+'Dic 07'!D23)</f>
        <v>4991937</v>
      </c>
      <c r="E23" s="28">
        <f t="shared" si="2"/>
        <v>733.53306230407532</v>
      </c>
      <c r="F23" s="83">
        <f t="shared" si="3"/>
        <v>1663979</v>
      </c>
    </row>
    <row r="24" spans="1:16" x14ac:dyDescent="0.3">
      <c r="A24" s="27" t="s">
        <v>21</v>
      </c>
      <c r="B24" s="28">
        <f>('Oct 07'!B24+'Nov 07'!B24+'Dic 07'!B24)/3</f>
        <v>6153.333333333333</v>
      </c>
      <c r="C24" s="28">
        <f>('Oct 07'!C24+'Nov 07'!C24+'Dic 07'!C24)/3</f>
        <v>13986</v>
      </c>
      <c r="D24" s="69">
        <f>('Oct 07'!D24+'Nov 07'!D24+'Dic 07'!D24)</f>
        <v>4777675</v>
      </c>
      <c r="E24" s="28">
        <f t="shared" si="2"/>
        <v>776.43689057421454</v>
      </c>
      <c r="F24" s="83">
        <f t="shared" si="3"/>
        <v>1592558.3333333333</v>
      </c>
    </row>
    <row r="25" spans="1:16" x14ac:dyDescent="0.3">
      <c r="A25" s="27" t="s">
        <v>69</v>
      </c>
      <c r="B25" s="28">
        <f>('Oct 07'!B25+'Nov 07'!B25+'Dic 07'!B25)/3</f>
        <v>7922.666666666667</v>
      </c>
      <c r="C25" s="28">
        <f>('Oct 07'!C25+'Nov 07'!C25+'Dic 07'!C25)/3</f>
        <v>16450.333333333332</v>
      </c>
      <c r="D25" s="69">
        <f>('Oct 07'!D25+'Nov 07'!D25+'Dic 07'!D25)</f>
        <v>5660211</v>
      </c>
      <c r="E25" s="28">
        <f t="shared" si="2"/>
        <v>714.43255637832374</v>
      </c>
      <c r="F25" s="83">
        <f t="shared" si="3"/>
        <v>1886737</v>
      </c>
    </row>
    <row r="26" spans="1:16" x14ac:dyDescent="0.3">
      <c r="A26" s="27" t="s">
        <v>22</v>
      </c>
      <c r="B26" s="28">
        <f>('Oct 07'!B26+'Nov 07'!B26+'Dic 07'!B26)/3</f>
        <v>5056</v>
      </c>
      <c r="C26" s="28">
        <f>('Oct 07'!C26+'Nov 07'!C26+'Dic 07'!C26)/3</f>
        <v>12303.666666666666</v>
      </c>
      <c r="D26" s="69">
        <f>('Oct 07'!D26+'Nov 07'!D26+'Dic 07'!D26)</f>
        <v>4121265</v>
      </c>
      <c r="E26" s="28">
        <f t="shared" si="2"/>
        <v>815.12361550632909</v>
      </c>
      <c r="F26" s="83">
        <f t="shared" si="3"/>
        <v>1373755</v>
      </c>
    </row>
    <row r="27" spans="1:16" x14ac:dyDescent="0.3">
      <c r="A27" s="27" t="s">
        <v>23</v>
      </c>
      <c r="B27" s="28">
        <f>('Oct 07'!B27+'Nov 07'!B27+'Dic 07'!B27)/3</f>
        <v>4404.333333333333</v>
      </c>
      <c r="C27" s="28">
        <f>('Oct 07'!C27+'Nov 07'!C27+'Dic 07'!C27)/3</f>
        <v>9831</v>
      </c>
      <c r="D27" s="69">
        <f>('Oct 07'!D27+'Nov 07'!D27+'Dic 07'!D27)</f>
        <v>3308882</v>
      </c>
      <c r="E27" s="28">
        <f t="shared" si="2"/>
        <v>751.27874063422394</v>
      </c>
      <c r="F27" s="83">
        <f t="shared" si="3"/>
        <v>1102960.6666666667</v>
      </c>
    </row>
    <row r="28" spans="1:16" ht="19.5" thickBot="1" x14ac:dyDescent="0.35">
      <c r="A28" s="29" t="s">
        <v>87</v>
      </c>
      <c r="B28" s="30">
        <f>('Oct 07'!B28+'Nov 07'!B28+'Dic 07'!B28)/3</f>
        <v>6359.333333333333</v>
      </c>
      <c r="C28" s="30">
        <f>('Oct 07'!C28+'Nov 07'!C28+'Dic 07'!C28)/3</f>
        <v>14524.666666666666</v>
      </c>
      <c r="D28" s="70">
        <f>('Oct 07'!D28+'Nov 07'!D28+'Dic 07'!D28)</f>
        <v>4961855</v>
      </c>
      <c r="E28" s="30">
        <f t="shared" si="2"/>
        <v>780.24766747038473</v>
      </c>
      <c r="F28" s="84">
        <f t="shared" si="3"/>
        <v>1653951.6666666667</v>
      </c>
    </row>
    <row r="29" spans="1:16" ht="19.5" thickBot="1" x14ac:dyDescent="0.35">
      <c r="A29" s="301" t="s">
        <v>88</v>
      </c>
      <c r="B29" s="334">
        <f>SUM(B18:B28)</f>
        <v>70795.666666666672</v>
      </c>
      <c r="C29" s="334">
        <f>SUM(C18:C28)</f>
        <v>153115.99999999997</v>
      </c>
      <c r="D29" s="348">
        <f>SUM(D18:D28)</f>
        <v>52355118</v>
      </c>
      <c r="E29" s="338">
        <f t="shared" si="2"/>
        <v>739.52433058520523</v>
      </c>
      <c r="F29" s="339">
        <f t="shared" si="3"/>
        <v>17451706</v>
      </c>
    </row>
    <row r="30" spans="1:16" ht="19.5" thickBot="1" x14ac:dyDescent="0.35">
      <c r="A30" s="35"/>
      <c r="B30" s="45"/>
      <c r="C30" s="45"/>
      <c r="D30" s="75"/>
      <c r="E30" s="36"/>
      <c r="F30" s="85"/>
    </row>
    <row r="31" spans="1:16" ht="19.5" thickBot="1" x14ac:dyDescent="0.35">
      <c r="A31" s="336" t="s">
        <v>2</v>
      </c>
      <c r="B31" s="332"/>
      <c r="C31" s="332"/>
      <c r="D31" s="333"/>
      <c r="E31" s="332"/>
      <c r="F31" s="337"/>
    </row>
    <row r="32" spans="1:16" x14ac:dyDescent="0.3">
      <c r="A32" s="340" t="s">
        <v>24</v>
      </c>
      <c r="B32" s="341">
        <f>('Oct 07'!B32+'Nov 07'!B32+'Dic 07'!B32)/3</f>
        <v>19835.333333333332</v>
      </c>
      <c r="C32" s="341">
        <f>('Oct 07'!C32+'Nov 07'!C32+'Dic 07'!C32)/3</f>
        <v>42258</v>
      </c>
      <c r="D32" s="342">
        <f>('Oct 07'!D32+'Nov 07'!D32+'Dic 07'!D32)</f>
        <v>14450159</v>
      </c>
      <c r="E32" s="341">
        <f t="shared" ref="E32:E41" si="4">D32/B32</f>
        <v>728.50598258999094</v>
      </c>
      <c r="F32" s="82">
        <f t="shared" ref="F32:F41" si="5">D32/3</f>
        <v>4816719.666666667</v>
      </c>
    </row>
    <row r="33" spans="1:6" x14ac:dyDescent="0.3">
      <c r="A33" s="27" t="s">
        <v>25</v>
      </c>
      <c r="B33" s="28">
        <f>('Oct 07'!B33+'Nov 07'!B33+'Dic 07'!B33)/3</f>
        <v>3718</v>
      </c>
      <c r="C33" s="28">
        <f>('Oct 07'!C33+'Nov 07'!C33+'Dic 07'!C33)/3</f>
        <v>8328.3333333333339</v>
      </c>
      <c r="D33" s="69">
        <f>('Oct 07'!D33+'Nov 07'!D33+'Dic 07'!D33)</f>
        <v>2843398</v>
      </c>
      <c r="E33" s="28">
        <f t="shared" si="4"/>
        <v>764.76546530392682</v>
      </c>
      <c r="F33" s="83">
        <f t="shared" si="5"/>
        <v>947799.33333333337</v>
      </c>
    </row>
    <row r="34" spans="1:6" x14ac:dyDescent="0.3">
      <c r="A34" s="27" t="s">
        <v>26</v>
      </c>
      <c r="B34" s="28">
        <f>('Oct 07'!B34+'Nov 07'!B34+'Dic 07'!B34)/3</f>
        <v>6221.333333333333</v>
      </c>
      <c r="C34" s="28">
        <f>('Oct 07'!C34+'Nov 07'!C34+'Dic 07'!C34)/3</f>
        <v>14216.666666666666</v>
      </c>
      <c r="D34" s="69">
        <f>('Oct 07'!D34+'Nov 07'!D34+'Dic 07'!D34)</f>
        <v>4787655</v>
      </c>
      <c r="E34" s="28">
        <f t="shared" si="4"/>
        <v>769.55448992713252</v>
      </c>
      <c r="F34" s="83">
        <f t="shared" si="5"/>
        <v>1595885</v>
      </c>
    </row>
    <row r="35" spans="1:6" x14ac:dyDescent="0.3">
      <c r="A35" s="27" t="s">
        <v>27</v>
      </c>
      <c r="B35" s="28">
        <f>('Oct 07'!B35+'Nov 07'!B35+'Dic 07'!B35)/3</f>
        <v>3857.6666666666665</v>
      </c>
      <c r="C35" s="28">
        <f>('Oct 07'!C35+'Nov 07'!C35+'Dic 07'!C35)/3</f>
        <v>8369.6666666666661</v>
      </c>
      <c r="D35" s="69">
        <f>('Oct 07'!D35+'Nov 07'!D35+'Dic 07'!D35)</f>
        <v>2826969</v>
      </c>
      <c r="E35" s="28">
        <f t="shared" si="4"/>
        <v>732.81837034476803</v>
      </c>
      <c r="F35" s="83">
        <f t="shared" si="5"/>
        <v>942323</v>
      </c>
    </row>
    <row r="36" spans="1:6" x14ac:dyDescent="0.3">
      <c r="A36" s="27" t="s">
        <v>28</v>
      </c>
      <c r="B36" s="28">
        <f>('Oct 07'!B36+'Nov 07'!B36+'Dic 07'!B36)/3</f>
        <v>4651.333333333333</v>
      </c>
      <c r="C36" s="28">
        <f>('Oct 07'!C36+'Nov 07'!C36+'Dic 07'!C36)/3</f>
        <v>10255</v>
      </c>
      <c r="D36" s="69">
        <f>('Oct 07'!D36+'Nov 07'!D36+'Dic 07'!D36)</f>
        <v>3424395</v>
      </c>
      <c r="E36" s="28">
        <f t="shared" si="4"/>
        <v>736.21793034255415</v>
      </c>
      <c r="F36" s="83">
        <f t="shared" si="5"/>
        <v>1141465</v>
      </c>
    </row>
    <row r="37" spans="1:6" x14ac:dyDescent="0.3">
      <c r="A37" s="27" t="s">
        <v>29</v>
      </c>
      <c r="B37" s="28">
        <f>('Oct 07'!B37+'Nov 07'!B37+'Dic 07'!B37)/3</f>
        <v>7389</v>
      </c>
      <c r="C37" s="28">
        <f>('Oct 07'!C37+'Nov 07'!C37+'Dic 07'!C37)/3</f>
        <v>16927.333333333332</v>
      </c>
      <c r="D37" s="69">
        <f>('Oct 07'!D37+'Nov 07'!D37+'Dic 07'!D37)</f>
        <v>5699786</v>
      </c>
      <c r="E37" s="28">
        <f t="shared" si="4"/>
        <v>771.38800920286917</v>
      </c>
      <c r="F37" s="83">
        <f t="shared" si="5"/>
        <v>1899928.6666666667</v>
      </c>
    </row>
    <row r="38" spans="1:6" x14ac:dyDescent="0.3">
      <c r="A38" s="27" t="s">
        <v>89</v>
      </c>
      <c r="B38" s="28">
        <f>('Oct 07'!B38+'Nov 07'!B38+'Dic 07'!B38)/3</f>
        <v>8922.6666666666661</v>
      </c>
      <c r="C38" s="28">
        <f>('Oct 07'!C38+'Nov 07'!C38+'Dic 07'!C38)/3</f>
        <v>19653</v>
      </c>
      <c r="D38" s="69">
        <f>('Oct 07'!D38+'Nov 07'!D38+'Dic 07'!D38)</f>
        <v>6651596</v>
      </c>
      <c r="E38" s="28">
        <f t="shared" si="4"/>
        <v>745.47175732217579</v>
      </c>
      <c r="F38" s="83">
        <f t="shared" si="5"/>
        <v>2217198.6666666665</v>
      </c>
    </row>
    <row r="39" spans="1:6" x14ac:dyDescent="0.3">
      <c r="A39" s="27" t="s">
        <v>30</v>
      </c>
      <c r="B39" s="28">
        <f>('Oct 07'!B39+'Nov 07'!B39+'Dic 07'!B39)/3</f>
        <v>5385.666666666667</v>
      </c>
      <c r="C39" s="28">
        <f>('Oct 07'!C39+'Nov 07'!C39+'Dic 07'!C39)/3</f>
        <v>12113</v>
      </c>
      <c r="D39" s="69">
        <f>('Oct 07'!D39+'Nov 07'!D39+'Dic 07'!D39)</f>
        <v>4107271</v>
      </c>
      <c r="E39" s="28">
        <f t="shared" si="4"/>
        <v>762.63000557034104</v>
      </c>
      <c r="F39" s="83">
        <f t="shared" si="5"/>
        <v>1369090.3333333333</v>
      </c>
    </row>
    <row r="40" spans="1:6" ht="19.5" thickBot="1" x14ac:dyDescent="0.35">
      <c r="A40" s="29" t="s">
        <v>90</v>
      </c>
      <c r="B40" s="30">
        <f>('Oct 07'!B40+'Nov 07'!B40+'Dic 07'!B40)/3</f>
        <v>9568.3333333333339</v>
      </c>
      <c r="C40" s="30">
        <f>('Oct 07'!C40+'Nov 07'!C40+'Dic 07'!C40)/3</f>
        <v>20477.333333333332</v>
      </c>
      <c r="D40" s="70">
        <f>('Oct 07'!D40+'Nov 07'!D40+'Dic 07'!D40)</f>
        <v>7015233</v>
      </c>
      <c r="E40" s="30">
        <f t="shared" si="4"/>
        <v>733.17188643093527</v>
      </c>
      <c r="F40" s="84">
        <f t="shared" si="5"/>
        <v>2338411</v>
      </c>
    </row>
    <row r="41" spans="1:6" ht="19.5" thickBot="1" x14ac:dyDescent="0.35">
      <c r="A41" s="301" t="s">
        <v>91</v>
      </c>
      <c r="B41" s="334">
        <f>SUM(B32:B40)</f>
        <v>69549.333333333328</v>
      </c>
      <c r="C41" s="334">
        <f>SUM(C32:C40)</f>
        <v>152598.33333333334</v>
      </c>
      <c r="D41" s="348">
        <f>SUM(D32:D40)</f>
        <v>51806462</v>
      </c>
      <c r="E41" s="338">
        <f t="shared" si="4"/>
        <v>744.88797400406429</v>
      </c>
      <c r="F41" s="339">
        <f t="shared" si="5"/>
        <v>17268820.666666668</v>
      </c>
    </row>
    <row r="42" spans="1:6" ht="19.5" thickBot="1" x14ac:dyDescent="0.35">
      <c r="A42" s="48"/>
      <c r="B42" s="49"/>
      <c r="C42" s="49"/>
      <c r="D42" s="76"/>
      <c r="E42" s="50"/>
      <c r="F42" s="85"/>
    </row>
    <row r="43" spans="1:6" ht="19.5" thickBot="1" x14ac:dyDescent="0.35">
      <c r="A43" s="336" t="s">
        <v>3</v>
      </c>
      <c r="B43" s="332"/>
      <c r="C43" s="332"/>
      <c r="D43" s="333"/>
      <c r="E43" s="332"/>
      <c r="F43" s="337"/>
    </row>
    <row r="44" spans="1:6" x14ac:dyDescent="0.3">
      <c r="A44" s="340" t="s">
        <v>31</v>
      </c>
      <c r="B44" s="341">
        <f>('Oct 07'!B44+'Nov 07'!B44+'Dic 07'!B44)/3</f>
        <v>3492.3333333333335</v>
      </c>
      <c r="C44" s="341">
        <f>('Oct 07'!C44+'Nov 07'!C44+'Dic 07'!C44)/3</f>
        <v>7415.666666666667</v>
      </c>
      <c r="D44" s="342">
        <f>('Oct 07'!D44+'Nov 07'!D44+'Dic 07'!D44)</f>
        <v>2577513</v>
      </c>
      <c r="E44" s="341">
        <f t="shared" ref="E44:E51" si="6">D44/B44</f>
        <v>738.04896439820561</v>
      </c>
      <c r="F44" s="82">
        <f t="shared" ref="F44:F51" si="7">D44/3</f>
        <v>859171</v>
      </c>
    </row>
    <row r="45" spans="1:6" x14ac:dyDescent="0.3">
      <c r="A45" s="27" t="s">
        <v>32</v>
      </c>
      <c r="B45" s="28">
        <f>('Oct 07'!B45+'Nov 07'!B45+'Dic 07'!B45)/3</f>
        <v>6629.333333333333</v>
      </c>
      <c r="C45" s="28">
        <f>('Oct 07'!C45+'Nov 07'!C45+'Dic 07'!C45)/3</f>
        <v>15742.333333333334</v>
      </c>
      <c r="D45" s="69">
        <f>('Oct 07'!D45+'Nov 07'!D45+'Dic 07'!D45)</f>
        <v>5314065</v>
      </c>
      <c r="E45" s="28">
        <f t="shared" si="6"/>
        <v>801.59870273531783</v>
      </c>
      <c r="F45" s="83">
        <f t="shared" si="7"/>
        <v>1771355</v>
      </c>
    </row>
    <row r="46" spans="1:6" x14ac:dyDescent="0.3">
      <c r="A46" s="27" t="s">
        <v>92</v>
      </c>
      <c r="B46" s="28">
        <f>('Oct 07'!B46+'Nov 07'!B46+'Dic 07'!B46)/3</f>
        <v>15977</v>
      </c>
      <c r="C46" s="28">
        <f>('Oct 07'!C46+'Nov 07'!C46+'Dic 07'!C46)/3</f>
        <v>33008.666666666664</v>
      </c>
      <c r="D46" s="69">
        <f>('Oct 07'!D46+'Nov 07'!D46+'Dic 07'!D46)</f>
        <v>11224699</v>
      </c>
      <c r="E46" s="28">
        <f t="shared" si="6"/>
        <v>702.55360831194844</v>
      </c>
      <c r="F46" s="83">
        <f t="shared" si="7"/>
        <v>3741566.3333333335</v>
      </c>
    </row>
    <row r="47" spans="1:6" x14ac:dyDescent="0.3">
      <c r="A47" s="27" t="s">
        <v>33</v>
      </c>
      <c r="B47" s="28">
        <f>('Oct 07'!B47+'Nov 07'!B47+'Dic 07'!B47)/3</f>
        <v>5146.333333333333</v>
      </c>
      <c r="C47" s="28">
        <f>('Oct 07'!C47+'Nov 07'!C47+'Dic 07'!C47)/3</f>
        <v>11403</v>
      </c>
      <c r="D47" s="69">
        <f>('Oct 07'!D47+'Nov 07'!D47+'Dic 07'!D47)</f>
        <v>3872730</v>
      </c>
      <c r="E47" s="28">
        <f t="shared" si="6"/>
        <v>752.52218407927978</v>
      </c>
      <c r="F47" s="83">
        <f t="shared" si="7"/>
        <v>1290910</v>
      </c>
    </row>
    <row r="48" spans="1:6" x14ac:dyDescent="0.3">
      <c r="A48" s="27" t="s">
        <v>34</v>
      </c>
      <c r="B48" s="28">
        <f>('Oct 07'!B48+'Nov 07'!B48+'Dic 07'!B48)/3</f>
        <v>4240</v>
      </c>
      <c r="C48" s="28">
        <f>('Oct 07'!C48+'Nov 07'!C48+'Dic 07'!C48)/3</f>
        <v>8958</v>
      </c>
      <c r="D48" s="69">
        <f>('Oct 07'!D48+'Nov 07'!D48+'Dic 07'!D48)</f>
        <v>3083500</v>
      </c>
      <c r="E48" s="28">
        <f t="shared" si="6"/>
        <v>727.2405660377359</v>
      </c>
      <c r="F48" s="83">
        <f t="shared" si="7"/>
        <v>1027833.3333333334</v>
      </c>
    </row>
    <row r="49" spans="1:6" x14ac:dyDescent="0.3">
      <c r="A49" s="27" t="s">
        <v>35</v>
      </c>
      <c r="B49" s="28">
        <f>('Oct 07'!B49+'Nov 07'!B49+'Dic 07'!B49)/3</f>
        <v>3949.6666666666665</v>
      </c>
      <c r="C49" s="28">
        <f>('Oct 07'!C49+'Nov 07'!C49+'Dic 07'!C49)/3</f>
        <v>8016.333333333333</v>
      </c>
      <c r="D49" s="69">
        <f>('Oct 07'!D49+'Nov 07'!D49+'Dic 07'!D49)</f>
        <v>2739792</v>
      </c>
      <c r="E49" s="28">
        <f t="shared" si="6"/>
        <v>693.67676597181196</v>
      </c>
      <c r="F49" s="83">
        <f t="shared" si="7"/>
        <v>913264</v>
      </c>
    </row>
    <row r="50" spans="1:6" ht="19.5" thickBot="1" x14ac:dyDescent="0.35">
      <c r="A50" s="29" t="s">
        <v>36</v>
      </c>
      <c r="B50" s="30">
        <f>('Oct 07'!B50+'Nov 07'!B50+'Dic 07'!B50)/3</f>
        <v>5957.333333333333</v>
      </c>
      <c r="C50" s="30">
        <f>('Oct 07'!C50+'Nov 07'!C50+'Dic 07'!C50)/3</f>
        <v>12359.333333333334</v>
      </c>
      <c r="D50" s="70">
        <f>('Oct 07'!D50+'Nov 07'!D50+'Dic 07'!D50)</f>
        <v>4210723</v>
      </c>
      <c r="E50" s="30">
        <f t="shared" si="6"/>
        <v>706.81339525514773</v>
      </c>
      <c r="F50" s="84">
        <f t="shared" si="7"/>
        <v>1403574.3333333333</v>
      </c>
    </row>
    <row r="51" spans="1:6" ht="19.5" thickBot="1" x14ac:dyDescent="0.35">
      <c r="A51" s="301" t="s">
        <v>91</v>
      </c>
      <c r="B51" s="334">
        <f>SUM(B44:B50)</f>
        <v>45392</v>
      </c>
      <c r="C51" s="334">
        <f>SUM(C44:C50)</f>
        <v>96903.333333333314</v>
      </c>
      <c r="D51" s="348">
        <f>SUM(D44:D50)</f>
        <v>33023022</v>
      </c>
      <c r="E51" s="338">
        <f t="shared" si="6"/>
        <v>727.5075343672894</v>
      </c>
      <c r="F51" s="339">
        <f t="shared" si="7"/>
        <v>11007674</v>
      </c>
    </row>
    <row r="52" spans="1:6" ht="19.5" thickBot="1" x14ac:dyDescent="0.35">
      <c r="A52" s="48"/>
      <c r="B52" s="49"/>
      <c r="C52" s="49"/>
      <c r="D52" s="76"/>
      <c r="E52" s="50"/>
      <c r="F52" s="85"/>
    </row>
    <row r="53" spans="1:6" ht="19.5" thickBot="1" x14ac:dyDescent="0.35">
      <c r="A53" s="336" t="s">
        <v>4</v>
      </c>
      <c r="B53" s="332"/>
      <c r="C53" s="332"/>
      <c r="D53" s="333"/>
      <c r="E53" s="332"/>
      <c r="F53" s="337"/>
    </row>
    <row r="54" spans="1:6" x14ac:dyDescent="0.3">
      <c r="A54" s="340" t="s">
        <v>37</v>
      </c>
      <c r="B54" s="341">
        <f>('Oct 07'!B54+'Nov 07'!B54+'Dic 07'!B54)/3</f>
        <v>6337.666666666667</v>
      </c>
      <c r="C54" s="341">
        <f>('Oct 07'!C54+'Nov 07'!C54+'Dic 07'!C54)/3</f>
        <v>14019.333333333334</v>
      </c>
      <c r="D54" s="342">
        <f>('Oct 07'!D54+'Nov 07'!D54+'Dic 07'!D54)</f>
        <v>4721401</v>
      </c>
      <c r="E54" s="341">
        <f t="shared" ref="E54:E60" si="8">D54/B54</f>
        <v>744.97464892442008</v>
      </c>
      <c r="F54" s="82">
        <f t="shared" ref="F54:F60" si="9">D54/3</f>
        <v>1573800.3333333333</v>
      </c>
    </row>
    <row r="55" spans="1:6" x14ac:dyDescent="0.3">
      <c r="A55" s="27" t="s">
        <v>93</v>
      </c>
      <c r="B55" s="28">
        <f>('Oct 07'!B55+'Nov 07'!B55+'Dic 07'!B55)/3</f>
        <v>14176</v>
      </c>
      <c r="C55" s="28">
        <f>('Oct 07'!C55+'Nov 07'!C55+'Dic 07'!C55)/3</f>
        <v>30189.333333333332</v>
      </c>
      <c r="D55" s="69">
        <f>('Oct 07'!D55+'Nov 07'!D55+'Dic 07'!D55)</f>
        <v>10252330</v>
      </c>
      <c r="E55" s="28">
        <f t="shared" si="8"/>
        <v>723.21740970654628</v>
      </c>
      <c r="F55" s="83">
        <f t="shared" si="9"/>
        <v>3417443.3333333335</v>
      </c>
    </row>
    <row r="56" spans="1:6" x14ac:dyDescent="0.3">
      <c r="A56" s="27" t="s">
        <v>94</v>
      </c>
      <c r="B56" s="28">
        <f>('Oct 07'!B56+'Nov 07'!B56+'Dic 07'!B56)/3</f>
        <v>4214.333333333333</v>
      </c>
      <c r="C56" s="28">
        <f>('Oct 07'!C56+'Nov 07'!C56+'Dic 07'!C56)/3</f>
        <v>9971.6666666666661</v>
      </c>
      <c r="D56" s="69">
        <f>('Oct 07'!D56+'Nov 07'!D56+'Dic 07'!D56)</f>
        <v>3385581</v>
      </c>
      <c r="E56" s="28">
        <f t="shared" si="8"/>
        <v>803.34912599857637</v>
      </c>
      <c r="F56" s="83">
        <f t="shared" si="9"/>
        <v>1128527</v>
      </c>
    </row>
    <row r="57" spans="1:6" x14ac:dyDescent="0.3">
      <c r="A57" s="27" t="s">
        <v>38</v>
      </c>
      <c r="B57" s="28">
        <f>('Oct 07'!B57+'Nov 07'!B57+'Dic 07'!B57)/3</f>
        <v>2959.3333333333335</v>
      </c>
      <c r="C57" s="28">
        <f>('Oct 07'!C57+'Nov 07'!C57+'Dic 07'!C57)/3</f>
        <v>6378.666666666667</v>
      </c>
      <c r="D57" s="69">
        <f>('Oct 07'!D57+'Nov 07'!D57+'Dic 07'!D57)</f>
        <v>2167047</v>
      </c>
      <c r="E57" s="28">
        <f t="shared" si="8"/>
        <v>732.27539986483441</v>
      </c>
      <c r="F57" s="83">
        <f t="shared" si="9"/>
        <v>722349</v>
      </c>
    </row>
    <row r="58" spans="1:6" x14ac:dyDescent="0.3">
      <c r="A58" s="27" t="s">
        <v>95</v>
      </c>
      <c r="B58" s="28">
        <f>('Oct 07'!B58+'Nov 07'!B58+'Dic 07'!B58)/3</f>
        <v>7349.333333333333</v>
      </c>
      <c r="C58" s="28">
        <f>('Oct 07'!C58+'Nov 07'!C58+'Dic 07'!C58)/3</f>
        <v>15952.666666666666</v>
      </c>
      <c r="D58" s="69">
        <f>('Oct 07'!D58+'Nov 07'!D58+'Dic 07'!D58)</f>
        <v>5394471</v>
      </c>
      <c r="E58" s="28">
        <f t="shared" si="8"/>
        <v>734.00820936139337</v>
      </c>
      <c r="F58" s="83">
        <f t="shared" si="9"/>
        <v>1798157</v>
      </c>
    </row>
    <row r="59" spans="1:6" ht="19.5" thickBot="1" x14ac:dyDescent="0.35">
      <c r="A59" s="29" t="s">
        <v>96</v>
      </c>
      <c r="B59" s="30">
        <f>('Oct 07'!B59+'Nov 07'!B59+'Dic 07'!B59)/3</f>
        <v>6369.666666666667</v>
      </c>
      <c r="C59" s="30">
        <f>('Oct 07'!C59+'Nov 07'!C59+'Dic 07'!C59)/3</f>
        <v>13414.666666666666</v>
      </c>
      <c r="D59" s="70">
        <f>('Oct 07'!D59+'Nov 07'!D59+'Dic 07'!D59)</f>
        <v>4582676</v>
      </c>
      <c r="E59" s="30">
        <f t="shared" si="8"/>
        <v>719.45303260243861</v>
      </c>
      <c r="F59" s="84">
        <f t="shared" si="9"/>
        <v>1527558.6666666667</v>
      </c>
    </row>
    <row r="60" spans="1:6" ht="19.5" thickBot="1" x14ac:dyDescent="0.35">
      <c r="A60" s="301" t="s">
        <v>91</v>
      </c>
      <c r="B60" s="334">
        <f>SUM(B54:B59)</f>
        <v>41406.333333333328</v>
      </c>
      <c r="C60" s="334">
        <f>SUM(C54:C59)</f>
        <v>89926.333333333328</v>
      </c>
      <c r="D60" s="335">
        <f>SUM(D54:D59)</f>
        <v>30503506</v>
      </c>
      <c r="E60" s="338">
        <f t="shared" si="8"/>
        <v>736.68696415202191</v>
      </c>
      <c r="F60" s="339">
        <f t="shared" si="9"/>
        <v>10167835.333333334</v>
      </c>
    </row>
    <row r="61" spans="1:6" ht="19.5" thickBot="1" x14ac:dyDescent="0.35">
      <c r="A61" s="48"/>
      <c r="B61" s="49"/>
      <c r="C61" s="49"/>
      <c r="D61" s="76"/>
      <c r="E61" s="50"/>
      <c r="F61" s="85"/>
    </row>
    <row r="62" spans="1:6" ht="19.5" thickBot="1" x14ac:dyDescent="0.35">
      <c r="A62" s="336" t="s">
        <v>5</v>
      </c>
      <c r="B62" s="332"/>
      <c r="C62" s="332"/>
      <c r="D62" s="333"/>
      <c r="E62" s="332"/>
      <c r="F62" s="337"/>
    </row>
    <row r="63" spans="1:6" x14ac:dyDescent="0.3">
      <c r="A63" s="340" t="s">
        <v>39</v>
      </c>
      <c r="B63" s="341">
        <f>('Oct 07'!B63+'Nov 07'!B63+'Dic 07'!B63)/3</f>
        <v>3324</v>
      </c>
      <c r="C63" s="341">
        <f>('Oct 07'!C63+'Nov 07'!C63+'Dic 07'!C63)/3</f>
        <v>7285.666666666667</v>
      </c>
      <c r="D63" s="342">
        <f>('Oct 07'!D63+'Nov 07'!D63+'Dic 07'!D63)</f>
        <v>2470299</v>
      </c>
      <c r="E63" s="341">
        <f t="shared" ref="E63:E69" si="10">D63/B63</f>
        <v>743.17057761732849</v>
      </c>
      <c r="F63" s="82">
        <f t="shared" ref="F63:F69" si="11">D63/3</f>
        <v>823433</v>
      </c>
    </row>
    <row r="64" spans="1:6" x14ac:dyDescent="0.3">
      <c r="A64" s="27" t="s">
        <v>40</v>
      </c>
      <c r="B64" s="28">
        <f>('Oct 07'!B64+'Nov 07'!B64+'Dic 07'!B64)/3</f>
        <v>5344.666666666667</v>
      </c>
      <c r="C64" s="28">
        <f>('Oct 07'!C64+'Nov 07'!C64+'Dic 07'!C64)/3</f>
        <v>10601.333333333334</v>
      </c>
      <c r="D64" s="69">
        <f>('Oct 07'!D64+'Nov 07'!D64+'Dic 07'!D64)</f>
        <v>3577146</v>
      </c>
      <c r="E64" s="28">
        <f t="shared" si="10"/>
        <v>669.29262816514904</v>
      </c>
      <c r="F64" s="83">
        <f t="shared" si="11"/>
        <v>1192382</v>
      </c>
    </row>
    <row r="65" spans="1:6" x14ac:dyDescent="0.3">
      <c r="A65" s="27" t="s">
        <v>5</v>
      </c>
      <c r="B65" s="28">
        <f>('Oct 07'!B65+'Nov 07'!B65+'Dic 07'!B65)/3</f>
        <v>6370.666666666667</v>
      </c>
      <c r="C65" s="28">
        <f>('Oct 07'!C65+'Nov 07'!C65+'Dic 07'!C65)/3</f>
        <v>13649</v>
      </c>
      <c r="D65" s="69">
        <f>('Oct 07'!D65+'Nov 07'!D65+'Dic 07'!D65)</f>
        <v>4647056</v>
      </c>
      <c r="E65" s="28">
        <f t="shared" si="10"/>
        <v>729.44579321892002</v>
      </c>
      <c r="F65" s="83">
        <f t="shared" si="11"/>
        <v>1549018.6666666667</v>
      </c>
    </row>
    <row r="66" spans="1:6" x14ac:dyDescent="0.3">
      <c r="A66" s="27" t="s">
        <v>41</v>
      </c>
      <c r="B66" s="28">
        <f>('Oct 07'!B66+'Nov 07'!B66+'Dic 07'!B66)/3</f>
        <v>3383.3333333333335</v>
      </c>
      <c r="C66" s="28">
        <f>('Oct 07'!C66+'Nov 07'!C66+'Dic 07'!C66)/3</f>
        <v>7215</v>
      </c>
      <c r="D66" s="69">
        <f>('Oct 07'!D66+'Nov 07'!D66+'Dic 07'!D66)</f>
        <v>2451032</v>
      </c>
      <c r="E66" s="28">
        <f t="shared" si="10"/>
        <v>724.44295566502456</v>
      </c>
      <c r="F66" s="83">
        <f t="shared" si="11"/>
        <v>817010.66666666663</v>
      </c>
    </row>
    <row r="67" spans="1:6" x14ac:dyDescent="0.3">
      <c r="A67" s="27" t="s">
        <v>42</v>
      </c>
      <c r="B67" s="28">
        <f>('Oct 07'!B67+'Nov 07'!B67+'Dic 07'!B67)/3</f>
        <v>4936.333333333333</v>
      </c>
      <c r="C67" s="28">
        <f>('Oct 07'!C67+'Nov 07'!C67+'Dic 07'!C67)/3</f>
        <v>10531</v>
      </c>
      <c r="D67" s="69">
        <f>('Oct 07'!D67+'Nov 07'!D67+'Dic 07'!D67)</f>
        <v>3592089</v>
      </c>
      <c r="E67" s="28">
        <f t="shared" si="10"/>
        <v>727.6836383280438</v>
      </c>
      <c r="F67" s="83">
        <f t="shared" si="11"/>
        <v>1197363</v>
      </c>
    </row>
    <row r="68" spans="1:6" ht="19.5" thickBot="1" x14ac:dyDescent="0.35">
      <c r="A68" s="29" t="s">
        <v>43</v>
      </c>
      <c r="B68" s="30">
        <f>('Oct 07'!B68+'Nov 07'!B68+'Dic 07'!B68)/3</f>
        <v>3291</v>
      </c>
      <c r="C68" s="30">
        <f>('Oct 07'!C68+'Nov 07'!C68+'Dic 07'!C68)/3</f>
        <v>7484.333333333333</v>
      </c>
      <c r="D68" s="70">
        <f>('Oct 07'!D68+'Nov 07'!D68+'Dic 07'!D68)</f>
        <v>2502614</v>
      </c>
      <c r="E68" s="30">
        <f t="shared" si="10"/>
        <v>760.44181099969614</v>
      </c>
      <c r="F68" s="84">
        <f t="shared" si="11"/>
        <v>834204.66666666663</v>
      </c>
    </row>
    <row r="69" spans="1:6" ht="19.5" thickBot="1" x14ac:dyDescent="0.35">
      <c r="A69" s="301" t="s">
        <v>91</v>
      </c>
      <c r="B69" s="334">
        <f>SUM(B63:B68)</f>
        <v>26650</v>
      </c>
      <c r="C69" s="334">
        <f>SUM(C63:C68)</f>
        <v>56766.333333333336</v>
      </c>
      <c r="D69" s="343">
        <f>SUM(D63:D68)</f>
        <v>19240236</v>
      </c>
      <c r="E69" s="338">
        <f t="shared" si="10"/>
        <v>721.96007504690431</v>
      </c>
      <c r="F69" s="339">
        <f t="shared" si="11"/>
        <v>6413412</v>
      </c>
    </row>
    <row r="70" spans="1:6" ht="19.5" thickBot="1" x14ac:dyDescent="0.35">
      <c r="A70" s="48"/>
      <c r="B70" s="49"/>
      <c r="C70" s="49"/>
      <c r="D70" s="76"/>
      <c r="E70" s="50"/>
      <c r="F70" s="85"/>
    </row>
    <row r="71" spans="1:6" ht="19.5" thickBot="1" x14ac:dyDescent="0.35">
      <c r="A71" s="22" t="s">
        <v>6</v>
      </c>
      <c r="B71" s="46"/>
      <c r="C71" s="46"/>
      <c r="D71" s="67"/>
      <c r="E71" s="46"/>
      <c r="F71" s="86"/>
    </row>
    <row r="72" spans="1:6" x14ac:dyDescent="0.3">
      <c r="A72" s="25" t="s">
        <v>44</v>
      </c>
      <c r="B72" s="41">
        <f>('Oct 07'!B72+'Nov 07'!B72+'Dic 07'!B72)/3</f>
        <v>1864.3333333333333</v>
      </c>
      <c r="C72" s="41">
        <f>('Oct 07'!C72+'Nov 07'!C72+'Dic 07'!C72)/3</f>
        <v>3928.6666666666665</v>
      </c>
      <c r="D72" s="68">
        <f>('Oct 07'!D72+'Nov 07'!D72+'Dic 07'!D72)</f>
        <v>1324906</v>
      </c>
      <c r="E72" s="28">
        <f t="shared" ref="E72:E82" si="12">D72/B72</f>
        <v>710.65939567316286</v>
      </c>
      <c r="F72" s="82">
        <f t="shared" ref="F72:F82" si="13">D72/3</f>
        <v>441635.33333333331</v>
      </c>
    </row>
    <row r="73" spans="1:6" x14ac:dyDescent="0.3">
      <c r="A73" s="27" t="s">
        <v>70</v>
      </c>
      <c r="B73" s="28">
        <f>('Oct 07'!B73+'Nov 07'!B73+'Dic 07'!B73)/3</f>
        <v>92.333333333333329</v>
      </c>
      <c r="C73" s="28">
        <f>('Oct 07'!C73+'Nov 07'!C73+'Dic 07'!C73)/3</f>
        <v>196</v>
      </c>
      <c r="D73" s="69">
        <f>('Oct 07'!D73+'Nov 07'!D73+'Dic 07'!D73)</f>
        <v>64053</v>
      </c>
      <c r="E73" s="28">
        <f t="shared" si="12"/>
        <v>693.71480144404336</v>
      </c>
      <c r="F73" s="83">
        <f t="shared" si="13"/>
        <v>21351</v>
      </c>
    </row>
    <row r="74" spans="1:6" x14ac:dyDescent="0.3">
      <c r="A74" s="27" t="s">
        <v>45</v>
      </c>
      <c r="B74" s="28">
        <f>('Oct 07'!B74+'Nov 07'!B74+'Dic 07'!B74)/3</f>
        <v>5525.333333333333</v>
      </c>
      <c r="C74" s="28">
        <f>('Oct 07'!C74+'Nov 07'!C74+'Dic 07'!C74)/3</f>
        <v>11703.666666666666</v>
      </c>
      <c r="D74" s="69">
        <f>('Oct 07'!D74+'Nov 07'!D74+'Dic 07'!D74)</f>
        <v>4000466</v>
      </c>
      <c r="E74" s="28">
        <f t="shared" si="12"/>
        <v>724.02256274131275</v>
      </c>
      <c r="F74" s="83">
        <f t="shared" si="13"/>
        <v>1333488.6666666667</v>
      </c>
    </row>
    <row r="75" spans="1:6" x14ac:dyDescent="0.3">
      <c r="A75" s="27" t="s">
        <v>6</v>
      </c>
      <c r="B75" s="28">
        <f>('Oct 07'!B75+'Nov 07'!B75+'Dic 07'!B75)/3</f>
        <v>8834.3333333333339</v>
      </c>
      <c r="C75" s="28">
        <f>('Oct 07'!C75+'Nov 07'!C75+'Dic 07'!C75)/3</f>
        <v>17995.666666666668</v>
      </c>
      <c r="D75" s="69">
        <f>('Oct 07'!D75+'Nov 07'!D75+'Dic 07'!D75)</f>
        <v>6154199</v>
      </c>
      <c r="E75" s="28">
        <f t="shared" si="12"/>
        <v>696.62291061389271</v>
      </c>
      <c r="F75" s="83">
        <f t="shared" si="13"/>
        <v>2051399.6666666667</v>
      </c>
    </row>
    <row r="76" spans="1:6" x14ac:dyDescent="0.3">
      <c r="A76" s="27" t="s">
        <v>46</v>
      </c>
      <c r="B76" s="28">
        <f>('Oct 07'!B76+'Nov 07'!B76+'Dic 07'!B76)/3</f>
        <v>6673</v>
      </c>
      <c r="C76" s="28">
        <f>('Oct 07'!C76+'Nov 07'!C76+'Dic 07'!C76)/3</f>
        <v>14403.333333333334</v>
      </c>
      <c r="D76" s="69">
        <f>('Oct 07'!D76+'Nov 07'!D76+'Dic 07'!D76)</f>
        <v>4937324</v>
      </c>
      <c r="E76" s="28">
        <f t="shared" si="12"/>
        <v>739.89569908586839</v>
      </c>
      <c r="F76" s="83">
        <f t="shared" si="13"/>
        <v>1645774.6666666667</v>
      </c>
    </row>
    <row r="77" spans="1:6" x14ac:dyDescent="0.3">
      <c r="A77" s="27" t="s">
        <v>47</v>
      </c>
      <c r="B77" s="28">
        <f>('Oct 07'!B77+'Nov 07'!B77+'Dic 07'!B77)/3</f>
        <v>5544.666666666667</v>
      </c>
      <c r="C77" s="28">
        <f>('Oct 07'!C77+'Nov 07'!C77+'Dic 07'!C77)/3</f>
        <v>11578</v>
      </c>
      <c r="D77" s="69">
        <f>('Oct 07'!D77+'Nov 07'!D77+'Dic 07'!D77)</f>
        <v>3985419</v>
      </c>
      <c r="E77" s="28">
        <f t="shared" si="12"/>
        <v>718.78423710472521</v>
      </c>
      <c r="F77" s="83">
        <f t="shared" si="13"/>
        <v>1328473</v>
      </c>
    </row>
    <row r="78" spans="1:6" x14ac:dyDescent="0.3">
      <c r="A78" s="27" t="s">
        <v>48</v>
      </c>
      <c r="B78" s="28">
        <f>('Oct 07'!B78+'Nov 07'!B78+'Dic 07'!B78)/3</f>
        <v>2323.3333333333335</v>
      </c>
      <c r="C78" s="28">
        <f>('Oct 07'!C78+'Nov 07'!C78+'Dic 07'!C78)/3</f>
        <v>4888</v>
      </c>
      <c r="D78" s="69">
        <f>('Oct 07'!D78+'Nov 07'!D78+'Dic 07'!D78)</f>
        <v>1656084</v>
      </c>
      <c r="E78" s="28">
        <f t="shared" si="12"/>
        <v>712.80516499282635</v>
      </c>
      <c r="F78" s="83">
        <f t="shared" si="13"/>
        <v>552028</v>
      </c>
    </row>
    <row r="79" spans="1:6" x14ac:dyDescent="0.3">
      <c r="A79" s="27" t="s">
        <v>49</v>
      </c>
      <c r="B79" s="28">
        <f>('Oct 07'!B79+'Nov 07'!B79+'Dic 07'!B79)/3</f>
        <v>4111.333333333333</v>
      </c>
      <c r="C79" s="28">
        <f>('Oct 07'!C79+'Nov 07'!C79+'Dic 07'!C79)/3</f>
        <v>8655.6666666666661</v>
      </c>
      <c r="D79" s="69">
        <f>('Oct 07'!D79+'Nov 07'!D79+'Dic 07'!D79)</f>
        <v>2966327</v>
      </c>
      <c r="E79" s="28">
        <f t="shared" si="12"/>
        <v>721.5</v>
      </c>
      <c r="F79" s="83">
        <f t="shared" si="13"/>
        <v>988775.66666666663</v>
      </c>
    </row>
    <row r="80" spans="1:6" x14ac:dyDescent="0.3">
      <c r="A80" s="27" t="s">
        <v>50</v>
      </c>
      <c r="B80" s="28">
        <f>('Oct 07'!B80+'Nov 07'!B80+'Dic 07'!B80)/3</f>
        <v>1609.3333333333333</v>
      </c>
      <c r="C80" s="28">
        <f>('Oct 07'!C80+'Nov 07'!C80+'Dic 07'!C80)/3</f>
        <v>3369.3333333333335</v>
      </c>
      <c r="D80" s="69">
        <f>('Oct 07'!D80+'Nov 07'!D80+'Dic 07'!D80)</f>
        <v>1160165</v>
      </c>
      <c r="E80" s="28">
        <f t="shared" si="12"/>
        <v>720.89788732394368</v>
      </c>
      <c r="F80" s="83">
        <f t="shared" si="13"/>
        <v>386721.66666666669</v>
      </c>
    </row>
    <row r="81" spans="1:6" ht="19.5" thickBot="1" x14ac:dyDescent="0.35">
      <c r="A81" s="29" t="s">
        <v>51</v>
      </c>
      <c r="B81" s="30">
        <f>('Oct 07'!B81+'Nov 07'!B81+'Dic 07'!B81)/3</f>
        <v>7401.333333333333</v>
      </c>
      <c r="C81" s="30">
        <f>('Oct 07'!C81+'Nov 07'!C81+'Dic 07'!C81)/3</f>
        <v>15530</v>
      </c>
      <c r="D81" s="70">
        <f>('Oct 07'!D81+'Nov 07'!D81+'Dic 07'!D81)</f>
        <v>5301003</v>
      </c>
      <c r="E81" s="28">
        <f t="shared" si="12"/>
        <v>716.22270762024868</v>
      </c>
      <c r="F81" s="84">
        <f t="shared" si="13"/>
        <v>1767001</v>
      </c>
    </row>
    <row r="82" spans="1:6" ht="19.5" thickBot="1" x14ac:dyDescent="0.35">
      <c r="A82" s="32" t="s">
        <v>91</v>
      </c>
      <c r="B82" s="44">
        <f>SUM(B72:B81)</f>
        <v>43979.333333333343</v>
      </c>
      <c r="C82" s="44">
        <f t="shared" ref="C82:D82" si="14">SUM(C72:C81)</f>
        <v>92248.333333333328</v>
      </c>
      <c r="D82" s="44">
        <f t="shared" si="14"/>
        <v>31549946</v>
      </c>
      <c r="E82" s="57">
        <f t="shared" si="12"/>
        <v>717.38117903863917</v>
      </c>
      <c r="F82" s="71">
        <f t="shared" si="13"/>
        <v>10516648.666666666</v>
      </c>
    </row>
    <row r="83" spans="1:6" ht="19.5" thickBot="1" x14ac:dyDescent="0.35">
      <c r="A83" s="48"/>
      <c r="B83" s="49"/>
      <c r="C83" s="49"/>
      <c r="D83" s="76"/>
      <c r="E83" s="50"/>
      <c r="F83" s="85"/>
    </row>
    <row r="84" spans="1:6" ht="19.5" thickBot="1" x14ac:dyDescent="0.35">
      <c r="A84" s="22" t="s">
        <v>7</v>
      </c>
      <c r="B84" s="46"/>
      <c r="C84" s="46"/>
      <c r="D84" s="67"/>
      <c r="E84" s="46"/>
      <c r="F84" s="86"/>
    </row>
    <row r="85" spans="1:6" x14ac:dyDescent="0.3">
      <c r="A85" s="25" t="s">
        <v>52</v>
      </c>
      <c r="B85" s="41">
        <f>('Oct 07'!B85+'Nov 07'!B85+'Dic 07'!B85)/3</f>
        <v>4463</v>
      </c>
      <c r="C85" s="41">
        <f>('Oct 07'!C85+'Nov 07'!C85+'Dic 07'!C85)/3</f>
        <v>9337.6666666666661</v>
      </c>
      <c r="D85" s="68">
        <f>('Oct 07'!D85+'Nov 07'!D85+'Dic 07'!D85)</f>
        <v>3180849</v>
      </c>
      <c r="E85" s="28">
        <f t="shared" ref="E85:E92" si="15">D85/B85</f>
        <v>712.71543804615726</v>
      </c>
      <c r="F85" s="82">
        <f t="shared" ref="F85:F94" si="16">D85/3</f>
        <v>1060283</v>
      </c>
    </row>
    <row r="86" spans="1:6" x14ac:dyDescent="0.3">
      <c r="A86" s="27" t="s">
        <v>53</v>
      </c>
      <c r="B86" s="28">
        <f>('Oct 07'!B86+'Nov 07'!B86+'Dic 07'!B86)/3</f>
        <v>6020.666666666667</v>
      </c>
      <c r="C86" s="28">
        <f>('Oct 07'!C86+'Nov 07'!C86+'Dic 07'!C86)/3</f>
        <v>13015</v>
      </c>
      <c r="D86" s="69">
        <f>('Oct 07'!D86+'Nov 07'!D86+'Dic 07'!D86)</f>
        <v>4412447</v>
      </c>
      <c r="E86" s="28">
        <f t="shared" si="15"/>
        <v>732.88345698150806</v>
      </c>
      <c r="F86" s="83">
        <f t="shared" si="16"/>
        <v>1470815.6666666667</v>
      </c>
    </row>
    <row r="87" spans="1:6" x14ac:dyDescent="0.3">
      <c r="A87" s="27" t="s">
        <v>54</v>
      </c>
      <c r="B87" s="28">
        <f>('Oct 07'!B87+'Nov 07'!B87+'Dic 07'!B87)/3</f>
        <v>3541</v>
      </c>
      <c r="C87" s="28">
        <f>('Oct 07'!C87+'Nov 07'!C87+'Dic 07'!C87)/3</f>
        <v>7932.333333333333</v>
      </c>
      <c r="D87" s="69">
        <f>('Oct 07'!D87+'Nov 07'!D87+'Dic 07'!D87)</f>
        <v>2682564</v>
      </c>
      <c r="E87" s="28">
        <f t="shared" si="15"/>
        <v>757.57243716464279</v>
      </c>
      <c r="F87" s="83">
        <f t="shared" si="16"/>
        <v>894188</v>
      </c>
    </row>
    <row r="88" spans="1:6" x14ac:dyDescent="0.3">
      <c r="A88" s="27" t="s">
        <v>55</v>
      </c>
      <c r="B88" s="28">
        <f>('Oct 07'!B88+'Nov 07'!B88+'Dic 07'!B88)/3</f>
        <v>1879.3333333333333</v>
      </c>
      <c r="C88" s="28">
        <f>('Oct 07'!C88+'Nov 07'!C88+'Dic 07'!C88)/3</f>
        <v>3600.3333333333335</v>
      </c>
      <c r="D88" s="69">
        <f>('Oct 07'!D88+'Nov 07'!D88+'Dic 07'!D88)</f>
        <v>1228954</v>
      </c>
      <c r="E88" s="28">
        <f t="shared" si="15"/>
        <v>653.93082653423198</v>
      </c>
      <c r="F88" s="83">
        <f t="shared" si="16"/>
        <v>409651.33333333331</v>
      </c>
    </row>
    <row r="89" spans="1:6" x14ac:dyDescent="0.3">
      <c r="A89" s="27" t="s">
        <v>56</v>
      </c>
      <c r="B89" s="28">
        <f>('Oct 07'!B89+'Nov 07'!B89+'Dic 07'!B89)/3</f>
        <v>4017.3333333333335</v>
      </c>
      <c r="C89" s="28">
        <f>('Oct 07'!C89+'Nov 07'!C89+'Dic 07'!C89)/3</f>
        <v>8691.3333333333339</v>
      </c>
      <c r="D89" s="69">
        <f>('Oct 07'!D89+'Nov 07'!D89+'Dic 07'!D89)</f>
        <v>2955480</v>
      </c>
      <c r="E89" s="28">
        <f t="shared" si="15"/>
        <v>735.68204447394623</v>
      </c>
      <c r="F89" s="83">
        <f t="shared" si="16"/>
        <v>985160</v>
      </c>
    </row>
    <row r="90" spans="1:6" x14ac:dyDescent="0.3">
      <c r="A90" s="27" t="s">
        <v>57</v>
      </c>
      <c r="B90" s="28">
        <f>('Oct 07'!B90+'Nov 07'!B90+'Dic 07'!B90)/3</f>
        <v>1021</v>
      </c>
      <c r="C90" s="28">
        <f>('Oct 07'!C90+'Nov 07'!C90+'Dic 07'!C90)/3</f>
        <v>2495</v>
      </c>
      <c r="D90" s="69">
        <f>('Oct 07'!D90+'Nov 07'!D90+'Dic 07'!D90)</f>
        <v>834230</v>
      </c>
      <c r="E90" s="28">
        <f t="shared" si="15"/>
        <v>817.07149853085207</v>
      </c>
      <c r="F90" s="83">
        <f t="shared" si="16"/>
        <v>278076.66666666669</v>
      </c>
    </row>
    <row r="91" spans="1:6" x14ac:dyDescent="0.3">
      <c r="A91" s="27" t="s">
        <v>97</v>
      </c>
      <c r="B91" s="28">
        <f>('Oct 07'!B91+'Nov 07'!B91+'Dic 07'!B91)/3</f>
        <v>12726.333333333334</v>
      </c>
      <c r="C91" s="28">
        <f>('Oct 07'!C91+'Nov 07'!C91+'Dic 07'!C91)/3</f>
        <v>25940.666666666668</v>
      </c>
      <c r="D91" s="69">
        <f>('Oct 07'!D91+'Nov 07'!D91+'Dic 07'!D91)</f>
        <v>8934733</v>
      </c>
      <c r="E91" s="28">
        <f t="shared" si="15"/>
        <v>702.06655491238632</v>
      </c>
      <c r="F91" s="83">
        <f t="shared" si="16"/>
        <v>2978244.3333333335</v>
      </c>
    </row>
    <row r="92" spans="1:6" x14ac:dyDescent="0.3">
      <c r="A92" s="51" t="s">
        <v>58</v>
      </c>
      <c r="B92" s="28">
        <f>('Oct 07'!B92+'Nov 07'!B92+'Dic 07'!B92)/3</f>
        <v>3513.3333333333335</v>
      </c>
      <c r="C92" s="28">
        <f>('Oct 07'!C92+'Nov 07'!C92+'Dic 07'!C92)/3</f>
        <v>7596</v>
      </c>
      <c r="D92" s="69">
        <f>('Oct 07'!D92+'Nov 07'!D92+'Dic 07'!D92)</f>
        <v>2567763</v>
      </c>
      <c r="E92" s="28">
        <f t="shared" si="15"/>
        <v>730.86233396584441</v>
      </c>
      <c r="F92" s="83">
        <f t="shared" si="16"/>
        <v>855921</v>
      </c>
    </row>
    <row r="93" spans="1:6" ht="19.5" thickBot="1" x14ac:dyDescent="0.35">
      <c r="A93" s="27" t="s">
        <v>59</v>
      </c>
      <c r="B93" s="30">
        <f>('Oct 07'!B93+'Nov 07'!B93+'Dic 07'!B93)/3</f>
        <v>5258.666666666667</v>
      </c>
      <c r="C93" s="30">
        <f>('Oct 07'!C93+'Nov 07'!C93+'Dic 07'!C93)/3</f>
        <v>11072.666666666666</v>
      </c>
      <c r="D93" s="70">
        <f>('Oct 07'!D93+'Nov 07'!D93+'Dic 07'!D93)</f>
        <v>3757559</v>
      </c>
      <c r="E93" s="28">
        <f>D93/B93</f>
        <v>714.54595588235293</v>
      </c>
      <c r="F93" s="84">
        <f t="shared" si="16"/>
        <v>1252519.6666666667</v>
      </c>
    </row>
    <row r="94" spans="1:6" ht="19.5" thickBot="1" x14ac:dyDescent="0.35">
      <c r="A94" s="32" t="s">
        <v>91</v>
      </c>
      <c r="B94" s="44">
        <f>SUM(B85:B93)</f>
        <v>42440.666666666672</v>
      </c>
      <c r="C94" s="44">
        <f>SUM(C85:C93)</f>
        <v>89681</v>
      </c>
      <c r="D94" s="78">
        <f>SUM(D85:D93)</f>
        <v>30554579</v>
      </c>
      <c r="E94" s="57">
        <f>D94/B94</f>
        <v>719.936358209893</v>
      </c>
      <c r="F94" s="71">
        <f t="shared" si="16"/>
        <v>10184859.666666666</v>
      </c>
    </row>
    <row r="95" spans="1:6" ht="19.5" thickBot="1" x14ac:dyDescent="0.35">
      <c r="A95" s="48"/>
      <c r="B95" s="49"/>
      <c r="C95" s="49"/>
      <c r="D95" s="76"/>
      <c r="E95" s="50"/>
      <c r="F95" s="85"/>
    </row>
    <row r="96" spans="1:6" ht="19.5" thickBot="1" x14ac:dyDescent="0.35">
      <c r="A96" s="37" t="s">
        <v>8</v>
      </c>
      <c r="B96" s="46"/>
      <c r="C96" s="46"/>
      <c r="D96" s="67"/>
      <c r="E96" s="46"/>
      <c r="F96" s="86"/>
    </row>
    <row r="97" spans="1:6" x14ac:dyDescent="0.3">
      <c r="A97" s="52" t="s">
        <v>73</v>
      </c>
      <c r="B97" s="41">
        <f>('Oct 07'!B97+'Nov 07'!B97+'Dic 07'!B97)/3</f>
        <v>4147</v>
      </c>
      <c r="C97" s="41">
        <f>('Oct 07'!C97+'Nov 07'!C97+'Dic 07'!C97)/3</f>
        <v>10110.666666666666</v>
      </c>
      <c r="D97" s="68">
        <f>('Oct 07'!D97+'Nov 07'!D97+'Dic 07'!D97)</f>
        <v>3437951</v>
      </c>
      <c r="E97" s="28">
        <f t="shared" ref="E97:E108" si="17">D97/B97</f>
        <v>829.0212201591512</v>
      </c>
      <c r="F97" s="82">
        <f t="shared" ref="F97:F108" si="18">D97/3</f>
        <v>1145983.6666666667</v>
      </c>
    </row>
    <row r="98" spans="1:6" x14ac:dyDescent="0.3">
      <c r="A98" s="53" t="s">
        <v>60</v>
      </c>
      <c r="B98" s="28">
        <f>('Oct 07'!B98+'Nov 07'!B98+'Dic 07'!B98)/3</f>
        <v>4563.666666666667</v>
      </c>
      <c r="C98" s="28">
        <f>('Oct 07'!C98+'Nov 07'!C98+'Dic 07'!C98)/3</f>
        <v>9586.6666666666661</v>
      </c>
      <c r="D98" s="69">
        <f>('Oct 07'!D98+'Nov 07'!D98+'Dic 07'!D98)</f>
        <v>3260675</v>
      </c>
      <c r="E98" s="28">
        <f t="shared" si="17"/>
        <v>714.48579358702796</v>
      </c>
      <c r="F98" s="83">
        <f t="shared" si="18"/>
        <v>1086891.6666666667</v>
      </c>
    </row>
    <row r="99" spans="1:6" x14ac:dyDescent="0.3">
      <c r="A99" s="53" t="s">
        <v>61</v>
      </c>
      <c r="B99" s="28">
        <f>('Oct 07'!B99+'Nov 07'!B99+'Dic 07'!B99)/3</f>
        <v>6328.666666666667</v>
      </c>
      <c r="C99" s="28">
        <f>('Oct 07'!C99+'Nov 07'!C99+'Dic 07'!C99)/3</f>
        <v>13914.666666666666</v>
      </c>
      <c r="D99" s="69">
        <f>('Oct 07'!D99+'Nov 07'!D99+'Dic 07'!D99)</f>
        <v>4731603</v>
      </c>
      <c r="E99" s="28">
        <f t="shared" si="17"/>
        <v>747.64610765827445</v>
      </c>
      <c r="F99" s="83">
        <f t="shared" si="18"/>
        <v>1577201</v>
      </c>
    </row>
    <row r="100" spans="1:6" x14ac:dyDescent="0.3">
      <c r="A100" s="27" t="s">
        <v>62</v>
      </c>
      <c r="B100" s="28">
        <f>('Oct 07'!B100+'Nov 07'!B100+'Dic 07'!B100)/3</f>
        <v>3724.6666666666665</v>
      </c>
      <c r="C100" s="28">
        <f>('Oct 07'!C100+'Nov 07'!C100+'Dic 07'!C100)/3</f>
        <v>8598</v>
      </c>
      <c r="D100" s="69">
        <f>('Oct 07'!D100+'Nov 07'!D100+'Dic 07'!D100)</f>
        <v>2903863</v>
      </c>
      <c r="E100" s="28">
        <f t="shared" si="17"/>
        <v>779.63030248791847</v>
      </c>
      <c r="F100" s="83">
        <f t="shared" si="18"/>
        <v>967954.33333333337</v>
      </c>
    </row>
    <row r="101" spans="1:6" x14ac:dyDescent="0.3">
      <c r="A101" s="27" t="s">
        <v>63</v>
      </c>
      <c r="B101" s="28">
        <f>('Oct 07'!B101+'Nov 07'!B101+'Dic 07'!B101)/3</f>
        <v>3149.3333333333335</v>
      </c>
      <c r="C101" s="28">
        <f>('Oct 07'!C101+'Nov 07'!C101+'Dic 07'!C101)/3</f>
        <v>7880</v>
      </c>
      <c r="D101" s="69">
        <f>('Oct 07'!D101+'Nov 07'!D101+'Dic 07'!D101)</f>
        <v>2664128</v>
      </c>
      <c r="E101" s="28">
        <f t="shared" si="17"/>
        <v>845.93395427603718</v>
      </c>
      <c r="F101" s="83">
        <f t="shared" si="18"/>
        <v>888042.66666666663</v>
      </c>
    </row>
    <row r="102" spans="1:6" x14ac:dyDescent="0.3">
      <c r="A102" s="27" t="s">
        <v>64</v>
      </c>
      <c r="B102" s="28">
        <f>('Oct 07'!B102+'Nov 07'!B102+'Dic 07'!B102)/3</f>
        <v>6881</v>
      </c>
      <c r="C102" s="28">
        <f>('Oct 07'!C102+'Nov 07'!C102+'Dic 07'!C102)/3</f>
        <v>16190.333333333334</v>
      </c>
      <c r="D102" s="69">
        <f>('Oct 07'!D102+'Nov 07'!D102+'Dic 07'!D102)</f>
        <v>5424615</v>
      </c>
      <c r="E102" s="28">
        <f t="shared" si="17"/>
        <v>788.34689725330622</v>
      </c>
      <c r="F102" s="83">
        <f t="shared" si="18"/>
        <v>1808205</v>
      </c>
    </row>
    <row r="103" spans="1:6" x14ac:dyDescent="0.3">
      <c r="A103" s="27" t="s">
        <v>65</v>
      </c>
      <c r="B103" s="28">
        <f>('Oct 07'!B103+'Nov 07'!B103+'Dic 07'!B103)/3</f>
        <v>4895.666666666667</v>
      </c>
      <c r="C103" s="28">
        <f>('Oct 07'!C103+'Nov 07'!C103+'Dic 07'!C103)/3</f>
        <v>11711</v>
      </c>
      <c r="D103" s="69">
        <f>('Oct 07'!D103+'Nov 07'!D103+'Dic 07'!D103)</f>
        <v>3918774</v>
      </c>
      <c r="E103" s="28">
        <f t="shared" si="17"/>
        <v>800.45768366582683</v>
      </c>
      <c r="F103" s="83">
        <f t="shared" si="18"/>
        <v>1306258</v>
      </c>
    </row>
    <row r="104" spans="1:6" x14ac:dyDescent="0.3">
      <c r="A104" s="27" t="s">
        <v>66</v>
      </c>
      <c r="B104" s="28">
        <f>('Oct 07'!B104+'Nov 07'!B104+'Dic 07'!B104)/3</f>
        <v>3975</v>
      </c>
      <c r="C104" s="28">
        <f>('Oct 07'!C104+'Nov 07'!C104+'Dic 07'!C104)/3</f>
        <v>9755.6666666666661</v>
      </c>
      <c r="D104" s="69">
        <f>('Oct 07'!D104+'Nov 07'!D104+'Dic 07'!D104)</f>
        <v>3266955</v>
      </c>
      <c r="E104" s="28">
        <f t="shared" si="17"/>
        <v>821.87547169811319</v>
      </c>
      <c r="F104" s="83">
        <f t="shared" si="18"/>
        <v>1088985</v>
      </c>
    </row>
    <row r="105" spans="1:6" x14ac:dyDescent="0.3">
      <c r="A105" s="27" t="s">
        <v>98</v>
      </c>
      <c r="B105" s="28">
        <f>('Oct 07'!B105+'Nov 07'!B105+'Dic 07'!B105)/3</f>
        <v>25782.333333333332</v>
      </c>
      <c r="C105" s="28">
        <f>('Oct 07'!C105+'Nov 07'!C105+'Dic 07'!C105)/3</f>
        <v>58825.666666666664</v>
      </c>
      <c r="D105" s="69">
        <f>('Oct 07'!D105+'Nov 07'!D105+'Dic 07'!D105)</f>
        <v>20000399</v>
      </c>
      <c r="E105" s="28">
        <f t="shared" si="17"/>
        <v>775.74045535056314</v>
      </c>
      <c r="F105" s="83">
        <f t="shared" si="18"/>
        <v>6666799.666666667</v>
      </c>
    </row>
    <row r="106" spans="1:6" x14ac:dyDescent="0.3">
      <c r="A106" s="27" t="s">
        <v>67</v>
      </c>
      <c r="B106" s="28">
        <f>('Oct 07'!B106+'Nov 07'!B106+'Dic 07'!B106)/3</f>
        <v>4604</v>
      </c>
      <c r="C106" s="28">
        <f>('Oct 07'!C106+'Nov 07'!C106+'Dic 07'!C106)/3</f>
        <v>11054</v>
      </c>
      <c r="D106" s="69">
        <f>('Oct 07'!D106+'Nov 07'!D106+'Dic 07'!D106)</f>
        <v>3736822</v>
      </c>
      <c r="E106" s="28">
        <f t="shared" si="17"/>
        <v>811.64682884448303</v>
      </c>
      <c r="F106" s="83">
        <f t="shared" si="18"/>
        <v>1245607.3333333333</v>
      </c>
    </row>
    <row r="107" spans="1:6" ht="19.5" thickBot="1" x14ac:dyDescent="0.35">
      <c r="A107" s="27" t="s">
        <v>68</v>
      </c>
      <c r="B107" s="30">
        <f>('Oct 07'!B107+'Nov 07'!B107+'Dic 07'!B107)/3</f>
        <v>6766</v>
      </c>
      <c r="C107" s="30">
        <f>('Oct 07'!C107+'Nov 07'!C107+'Dic 07'!C107)/3</f>
        <v>15052.333333333334</v>
      </c>
      <c r="D107" s="70">
        <f>('Oct 07'!D107+'Nov 07'!D107+'Dic 07'!D107)</f>
        <v>5059123</v>
      </c>
      <c r="E107" s="28">
        <f t="shared" si="17"/>
        <v>747.72731303576711</v>
      </c>
      <c r="F107" s="84">
        <f t="shared" si="18"/>
        <v>1686374.3333333333</v>
      </c>
    </row>
    <row r="108" spans="1:6" ht="19.5" thickBot="1" x14ac:dyDescent="0.35">
      <c r="A108" s="32" t="s">
        <v>91</v>
      </c>
      <c r="B108" s="44">
        <f>SUM(B97:B107)</f>
        <v>74817.333333333328</v>
      </c>
      <c r="C108" s="44">
        <f>SUM(C97:C107)</f>
        <v>172679</v>
      </c>
      <c r="D108" s="78">
        <f>SUM(D97:D107)</f>
        <v>58404908</v>
      </c>
      <c r="E108" s="57">
        <f t="shared" si="17"/>
        <v>780.6333826386043</v>
      </c>
      <c r="F108" s="71">
        <f t="shared" si="18"/>
        <v>19468302.666666668</v>
      </c>
    </row>
    <row r="109" spans="1:6" ht="19.5" thickBot="1" x14ac:dyDescent="0.35">
      <c r="A109" s="48"/>
      <c r="B109" s="49"/>
      <c r="C109" s="49"/>
      <c r="D109" s="76"/>
      <c r="E109" s="50"/>
      <c r="F109" s="85"/>
    </row>
    <row r="110" spans="1:6" ht="19.5" thickBot="1" x14ac:dyDescent="0.35">
      <c r="A110" s="22" t="s">
        <v>9</v>
      </c>
      <c r="B110" s="46"/>
      <c r="C110" s="46"/>
      <c r="D110" s="67"/>
      <c r="E110" s="46"/>
      <c r="F110" s="86"/>
    </row>
    <row r="111" spans="1:6" x14ac:dyDescent="0.3">
      <c r="A111" s="25" t="s">
        <v>99</v>
      </c>
      <c r="B111" s="41">
        <f>('Oct 07'!B111+'Nov 07'!B111+'Dic 07'!B111)/3</f>
        <v>1233</v>
      </c>
      <c r="C111" s="41">
        <f>('Oct 07'!C111+'Nov 07'!C111+'Dic 07'!C111)/3</f>
        <v>3006.3333333333335</v>
      </c>
      <c r="D111" s="68">
        <f>('Oct 07'!D111+'Nov 07'!D111+'Dic 07'!D111)</f>
        <v>1021825</v>
      </c>
      <c r="E111" s="28">
        <f>D111/B111</f>
        <v>828.73073803730733</v>
      </c>
      <c r="F111" s="82">
        <f>D111/3</f>
        <v>340608.33333333331</v>
      </c>
    </row>
    <row r="112" spans="1:6" x14ac:dyDescent="0.3">
      <c r="A112" s="27" t="s">
        <v>100</v>
      </c>
      <c r="B112" s="28">
        <f>('Oct 07'!B112+'Nov 07'!B112+'Dic 07'!B112)/3</f>
        <v>8885.3333333333339</v>
      </c>
      <c r="C112" s="28">
        <f>('Oct 07'!C112+'Nov 07'!C112+'Dic 07'!C112)/3</f>
        <v>18671.666666666668</v>
      </c>
      <c r="D112" s="69">
        <f>('Oct 07'!D112+'Nov 07'!D112+'Dic 07'!D112)</f>
        <v>6385766</v>
      </c>
      <c r="E112" s="28">
        <f>D112/B112</f>
        <v>718.68614945978391</v>
      </c>
      <c r="F112" s="83">
        <f>D112/3</f>
        <v>2128588.6666666665</v>
      </c>
    </row>
    <row r="113" spans="1:6" x14ac:dyDescent="0.3">
      <c r="A113" s="27" t="s">
        <v>101</v>
      </c>
      <c r="B113" s="28">
        <f>('Oct 07'!B113+'Nov 07'!B113+'Dic 07'!B113)/3</f>
        <v>27659.666666666668</v>
      </c>
      <c r="C113" s="28">
        <f>('Oct 07'!C113+'Nov 07'!C113+'Dic 07'!C113)/3</f>
        <v>59784.666666666664</v>
      </c>
      <c r="D113" s="69">
        <f>('Oct 07'!D113+'Nov 07'!D113+'Dic 07'!D113)</f>
        <v>20504339</v>
      </c>
      <c r="E113" s="28">
        <f>D113/B113</f>
        <v>741.30824666481874</v>
      </c>
      <c r="F113" s="83">
        <f>D113/3</f>
        <v>6834779.666666667</v>
      </c>
    </row>
    <row r="114" spans="1:6" ht="19.5" thickBot="1" x14ac:dyDescent="0.35">
      <c r="A114" s="51" t="s">
        <v>102</v>
      </c>
      <c r="B114" s="30">
        <f>('Oct 07'!B114+'Nov 07'!B114+'Dic 07'!B114)/3</f>
        <v>10269.666666666666</v>
      </c>
      <c r="C114" s="30">
        <f>('Oct 07'!C114+'Nov 07'!C114+'Dic 07'!C114)/3</f>
        <v>21177</v>
      </c>
      <c r="D114" s="70">
        <f>('Oct 07'!D114+'Nov 07'!D114+'Dic 07'!D114)</f>
        <v>7344999</v>
      </c>
      <c r="E114" s="28">
        <f>D114/B114</f>
        <v>715.21298971079887</v>
      </c>
      <c r="F114" s="84">
        <f>D114/3</f>
        <v>2448333</v>
      </c>
    </row>
    <row r="115" spans="1:6" ht="19.5" thickBot="1" x14ac:dyDescent="0.35">
      <c r="A115" s="32" t="s">
        <v>91</v>
      </c>
      <c r="B115" s="44">
        <f>SUM(B111:B114)</f>
        <v>48047.666666666664</v>
      </c>
      <c r="C115" s="44">
        <f>SUM(C111:C114)</f>
        <v>102639.66666666666</v>
      </c>
      <c r="D115" s="78">
        <f>SUM(D111:D114)</f>
        <v>35256929</v>
      </c>
      <c r="E115" s="57">
        <f>D115/B115</f>
        <v>733.79065927585805</v>
      </c>
      <c r="F115" s="71">
        <f>D115/3</f>
        <v>11752309.666666666</v>
      </c>
    </row>
    <row r="116" spans="1:6" ht="19.5" thickBot="1" x14ac:dyDescent="0.35">
      <c r="A116" s="48"/>
      <c r="B116" s="49"/>
      <c r="C116" s="49"/>
      <c r="D116" s="76"/>
      <c r="E116" s="50"/>
      <c r="F116" s="85"/>
    </row>
    <row r="117" spans="1:6" ht="19.5" thickBot="1" x14ac:dyDescent="0.35">
      <c r="A117" s="58" t="s">
        <v>74</v>
      </c>
      <c r="B117" s="55">
        <f>(B15+B29+B41+B51+B60+B69+B82+B94+B108+B115)</f>
        <v>504858.33333333331</v>
      </c>
      <c r="C117" s="55">
        <f>(C15+C29+C41+C51+C60+C69+C82+C94+C108+C115)</f>
        <v>1096633.3333333335</v>
      </c>
      <c r="D117" s="74">
        <f>(D15+D29+D41+D51+D60+D69+D82+D94+D108+D115)</f>
        <v>373431923</v>
      </c>
      <c r="E117" s="57">
        <f>D117/B117</f>
        <v>739.67665450703998</v>
      </c>
      <c r="F117" s="71">
        <f>D117/3</f>
        <v>124477307.66666667</v>
      </c>
    </row>
  </sheetData>
  <mergeCells count="5">
    <mergeCell ref="A5:F5"/>
    <mergeCell ref="A1:F1"/>
    <mergeCell ref="A2:F2"/>
    <mergeCell ref="A3:F3"/>
    <mergeCell ref="A4:F4"/>
  </mergeCells>
  <phoneticPr fontId="0" type="noConversion"/>
  <pageMargins left="0.75" right="0.75" top="1" bottom="1" header="0.5" footer="0.5"/>
  <pageSetup scale="71" orientation="portrait" r:id="rId1"/>
  <headerFooter alignWithMargins="0"/>
  <rowBreaks count="2" manualBreakCount="2">
    <brk id="41" max="16383" man="1"/>
    <brk id="69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7"/>
  <sheetViews>
    <sheetView topLeftCell="A97" zoomScale="75" zoomScaleNormal="100" workbookViewId="0">
      <selection activeCell="A33" sqref="A33:XFD34"/>
    </sheetView>
  </sheetViews>
  <sheetFormatPr defaultRowHeight="18.75" x14ac:dyDescent="0.3"/>
  <cols>
    <col min="1" max="1" width="23.42578125" style="56" customWidth="1"/>
    <col min="2" max="3" width="15.7109375" style="18" customWidth="1"/>
    <col min="4" max="4" width="19.42578125" style="79" customWidth="1"/>
    <col min="5" max="5" width="15.7109375" style="18" customWidth="1"/>
    <col min="6" max="6" width="17.28515625" style="79" customWidth="1"/>
    <col min="7" max="16" width="9.140625" style="18"/>
    <col min="17" max="16384" width="9.140625" style="1"/>
  </cols>
  <sheetData>
    <row r="1" spans="1:6" x14ac:dyDescent="0.3">
      <c r="A1" s="356" t="s">
        <v>10</v>
      </c>
      <c r="B1" s="356"/>
      <c r="C1" s="356"/>
      <c r="D1" s="356"/>
      <c r="E1" s="356"/>
      <c r="F1" s="355"/>
    </row>
    <row r="2" spans="1:6" x14ac:dyDescent="0.3">
      <c r="A2" s="356" t="s">
        <v>71</v>
      </c>
      <c r="B2" s="356"/>
      <c r="C2" s="356"/>
      <c r="D2" s="356"/>
      <c r="E2" s="356"/>
      <c r="F2" s="355"/>
    </row>
    <row r="3" spans="1:6" x14ac:dyDescent="0.3">
      <c r="A3" s="357" t="s">
        <v>113</v>
      </c>
      <c r="B3" s="357"/>
      <c r="C3" s="357"/>
      <c r="D3" s="357"/>
      <c r="E3" s="357"/>
      <c r="F3" s="363"/>
    </row>
    <row r="4" spans="1:6" x14ac:dyDescent="0.3">
      <c r="A4" s="356" t="s">
        <v>80</v>
      </c>
      <c r="B4" s="356"/>
      <c r="C4" s="356"/>
      <c r="D4" s="356"/>
      <c r="E4" s="356"/>
      <c r="F4" s="356"/>
    </row>
    <row r="5" spans="1:6" ht="19.5" thickBot="1" x14ac:dyDescent="0.35">
      <c r="A5" s="354"/>
      <c r="B5" s="355"/>
      <c r="C5" s="355"/>
      <c r="D5" s="355"/>
      <c r="E5" s="355"/>
      <c r="F5" s="355"/>
    </row>
    <row r="6" spans="1:6" ht="57" thickBot="1" x14ac:dyDescent="0.35">
      <c r="A6" s="19"/>
      <c r="B6" s="20" t="s">
        <v>75</v>
      </c>
      <c r="C6" s="21" t="s">
        <v>76</v>
      </c>
      <c r="D6" s="66" t="s">
        <v>77</v>
      </c>
      <c r="E6" s="21" t="s">
        <v>78</v>
      </c>
      <c r="F6" s="80" t="s">
        <v>79</v>
      </c>
    </row>
    <row r="7" spans="1:6" ht="21.75" customHeight="1" thickBot="1" x14ac:dyDescent="0.35">
      <c r="A7" s="22" t="s">
        <v>0</v>
      </c>
      <c r="B7" s="23"/>
      <c r="C7" s="23"/>
      <c r="D7" s="67"/>
      <c r="E7" s="23"/>
      <c r="F7" s="81"/>
    </row>
    <row r="8" spans="1:6" x14ac:dyDescent="0.3">
      <c r="A8" s="25" t="s">
        <v>11</v>
      </c>
      <c r="B8" s="41">
        <f>('Enero 08'!B8+'Febrero 08'!B8+'Marzo 08'!B8)/3</f>
        <v>5800.333333333333</v>
      </c>
      <c r="C8" s="41">
        <f>('Enero 08'!C8+'Febrero 08'!C8+'Marzo 08'!C8)/3</f>
        <v>13349</v>
      </c>
      <c r="D8" s="68">
        <f>('Enero 08'!D8+'Febrero 08'!D8+'Marzo 08'!D8)</f>
        <v>4458545</v>
      </c>
      <c r="E8" s="26">
        <f>D8/B8</f>
        <v>768.6704787081203</v>
      </c>
      <c r="F8" s="82">
        <f t="shared" ref="F8:F15" si="0">D8/3</f>
        <v>1486181.6666666667</v>
      </c>
    </row>
    <row r="9" spans="1:6" x14ac:dyDescent="0.3">
      <c r="A9" s="27" t="s">
        <v>84</v>
      </c>
      <c r="B9" s="28">
        <f>('Enero 08'!B9+'Febrero 08'!B9+'Marzo 08'!B9)/3</f>
        <v>9773</v>
      </c>
      <c r="C9" s="28">
        <f>('Enero 08'!C9+'Febrero 08'!C9+'Marzo 08'!C9)/3</f>
        <v>20391</v>
      </c>
      <c r="D9" s="69">
        <f>('Enero 08'!D9+'Febrero 08'!D9+'Marzo 08'!D9)</f>
        <v>7002515</v>
      </c>
      <c r="E9" s="28">
        <f t="shared" ref="E9:E15" si="1">D9/B9</f>
        <v>716.51642279750331</v>
      </c>
      <c r="F9" s="83">
        <f t="shared" si="0"/>
        <v>2334171.6666666665</v>
      </c>
    </row>
    <row r="10" spans="1:6" x14ac:dyDescent="0.3">
      <c r="A10" s="27" t="s">
        <v>12</v>
      </c>
      <c r="B10" s="28">
        <f>('Enero 08'!B10+'Febrero 08'!B10+'Marzo 08'!B10)/3</f>
        <v>6706</v>
      </c>
      <c r="C10" s="28">
        <f>('Enero 08'!C10+'Febrero 08'!C10+'Marzo 08'!C10)/3</f>
        <v>14164.333333333334</v>
      </c>
      <c r="D10" s="69">
        <f>('Enero 08'!D10+'Febrero 08'!D10+'Marzo 08'!D10)</f>
        <v>4785730</v>
      </c>
      <c r="E10" s="28">
        <f t="shared" si="1"/>
        <v>713.64897107068293</v>
      </c>
      <c r="F10" s="83">
        <f t="shared" si="0"/>
        <v>1595243.3333333333</v>
      </c>
    </row>
    <row r="11" spans="1:6" x14ac:dyDescent="0.3">
      <c r="A11" s="27" t="s">
        <v>13</v>
      </c>
      <c r="B11" s="28">
        <f>('Enero 08'!B11+'Febrero 08'!B11+'Marzo 08'!B11)/3</f>
        <v>1722.6666666666667</v>
      </c>
      <c r="C11" s="28">
        <f>('Enero 08'!C11+'Febrero 08'!C11+'Marzo 08'!C11)/3</f>
        <v>3816</v>
      </c>
      <c r="D11" s="69">
        <f>('Enero 08'!D11+'Febrero 08'!D11+'Marzo 08'!D11)</f>
        <v>1303194</v>
      </c>
      <c r="E11" s="28">
        <f t="shared" si="1"/>
        <v>756.49806501547982</v>
      </c>
      <c r="F11" s="83">
        <f t="shared" si="0"/>
        <v>434398</v>
      </c>
    </row>
    <row r="12" spans="1:6" x14ac:dyDescent="0.3">
      <c r="A12" s="27" t="s">
        <v>14</v>
      </c>
      <c r="B12" s="28">
        <f>('Enero 08'!B12+'Febrero 08'!B12+'Marzo 08'!B12)/3</f>
        <v>7042</v>
      </c>
      <c r="C12" s="28">
        <f>('Enero 08'!C12+'Febrero 08'!C12+'Marzo 08'!C12)/3</f>
        <v>16093.333333333334</v>
      </c>
      <c r="D12" s="69">
        <f>('Enero 08'!D12+'Febrero 08'!D12+'Marzo 08'!D12)</f>
        <v>5456755</v>
      </c>
      <c r="E12" s="28">
        <f t="shared" si="1"/>
        <v>774.88710593581368</v>
      </c>
      <c r="F12" s="83">
        <f t="shared" si="0"/>
        <v>1818918.3333333333</v>
      </c>
    </row>
    <row r="13" spans="1:6" x14ac:dyDescent="0.3">
      <c r="A13" s="27" t="s">
        <v>15</v>
      </c>
      <c r="B13" s="28">
        <f>('Enero 08'!B13+'Febrero 08'!B13+'Marzo 08'!B13)/3</f>
        <v>2458.3333333333335</v>
      </c>
      <c r="C13" s="28">
        <f>('Enero 08'!C13+'Febrero 08'!C13+'Marzo 08'!C13)/3</f>
        <v>5028</v>
      </c>
      <c r="D13" s="69">
        <f>('Enero 08'!D13+'Febrero 08'!D13+'Marzo 08'!D13)</f>
        <v>1716780</v>
      </c>
      <c r="E13" s="28">
        <f t="shared" si="1"/>
        <v>698.35118644067791</v>
      </c>
      <c r="F13" s="83">
        <f t="shared" si="0"/>
        <v>572260</v>
      </c>
    </row>
    <row r="14" spans="1:6" ht="19.5" thickBot="1" x14ac:dyDescent="0.35">
      <c r="A14" s="29" t="s">
        <v>72</v>
      </c>
      <c r="B14" s="30">
        <f>('Enero 08'!B14+'Febrero 08'!B14+'Marzo 08'!B14)/3</f>
        <v>8658.6666666666661</v>
      </c>
      <c r="C14" s="30">
        <f>('Enero 08'!C14+'Febrero 08'!C14+'Marzo 08'!C14)/3</f>
        <v>17916</v>
      </c>
      <c r="D14" s="70">
        <f>('Enero 08'!D14+'Febrero 08'!D14+'Marzo 08'!D14)</f>
        <v>6145323</v>
      </c>
      <c r="E14" s="31">
        <f t="shared" si="1"/>
        <v>709.73086695411155</v>
      </c>
      <c r="F14" s="84">
        <f t="shared" si="0"/>
        <v>2048441</v>
      </c>
    </row>
    <row r="15" spans="1:6" ht="19.5" thickBot="1" x14ac:dyDescent="0.35">
      <c r="A15" s="32" t="s">
        <v>85</v>
      </c>
      <c r="B15" s="57">
        <f>SUM(B8:B14)</f>
        <v>42161</v>
      </c>
      <c r="C15" s="57">
        <f>SUM(C8:C14)</f>
        <v>90757.666666666672</v>
      </c>
      <c r="D15" s="71">
        <f>SUM(D8:D14)</f>
        <v>30868842</v>
      </c>
      <c r="E15" s="57">
        <f t="shared" si="1"/>
        <v>732.16579303147455</v>
      </c>
      <c r="F15" s="71">
        <f t="shared" si="0"/>
        <v>10289614</v>
      </c>
    </row>
    <row r="16" spans="1:6" ht="19.5" thickBot="1" x14ac:dyDescent="0.35">
      <c r="A16" s="35"/>
      <c r="B16" s="36"/>
      <c r="C16" s="36"/>
      <c r="D16" s="72"/>
      <c r="E16" s="36"/>
      <c r="F16" s="85"/>
    </row>
    <row r="17" spans="1:16" ht="19.5" thickBot="1" x14ac:dyDescent="0.35">
      <c r="A17" s="37" t="s">
        <v>1</v>
      </c>
      <c r="B17" s="38"/>
      <c r="C17" s="38"/>
      <c r="D17" s="73"/>
      <c r="E17" s="38"/>
      <c r="F17" s="86"/>
    </row>
    <row r="18" spans="1:16" s="2" customFormat="1" x14ac:dyDescent="0.3">
      <c r="A18" s="40" t="s">
        <v>86</v>
      </c>
      <c r="B18" s="41">
        <f>('Enero 08'!B18+'Febrero 08'!B18+'Marzo 08'!B18)/3</f>
        <v>17148.333333333332</v>
      </c>
      <c r="C18" s="41">
        <f>('Enero 08'!C18+'Febrero 08'!C18+'Marzo 08'!C18)/3</f>
        <v>34595.333333333336</v>
      </c>
      <c r="D18" s="68">
        <f>('Enero 08'!D18+'Febrero 08'!D18+'Marzo 08'!D18)</f>
        <v>11975481</v>
      </c>
      <c r="E18" s="28">
        <f t="shared" ref="E18:E29" si="2">D18/B18</f>
        <v>698.34664204490241</v>
      </c>
      <c r="F18" s="82">
        <f t="shared" ref="F18:F29" si="3">D18/3</f>
        <v>3991827</v>
      </c>
      <c r="G18" s="42"/>
      <c r="H18" s="42"/>
      <c r="I18" s="42"/>
      <c r="J18" s="42"/>
      <c r="K18" s="42"/>
      <c r="L18" s="42"/>
      <c r="M18" s="42"/>
      <c r="N18" s="42"/>
      <c r="O18" s="42"/>
      <c r="P18" s="42"/>
    </row>
    <row r="19" spans="1:16" x14ac:dyDescent="0.3">
      <c r="A19" s="25" t="s">
        <v>16</v>
      </c>
      <c r="B19" s="28">
        <f>('Enero 08'!B19+'Febrero 08'!B19+'Marzo 08'!B19)/3</f>
        <v>4792.333333333333</v>
      </c>
      <c r="C19" s="28">
        <f>('Enero 08'!C19+'Febrero 08'!C19+'Marzo 08'!C19)/3</f>
        <v>10041</v>
      </c>
      <c r="D19" s="69">
        <f>('Enero 08'!D19+'Febrero 08'!D19+'Marzo 08'!D19)</f>
        <v>3442702</v>
      </c>
      <c r="E19" s="28">
        <f t="shared" si="2"/>
        <v>718.37699102733541</v>
      </c>
      <c r="F19" s="83">
        <f t="shared" si="3"/>
        <v>1147567.3333333333</v>
      </c>
    </row>
    <row r="20" spans="1:16" x14ac:dyDescent="0.3">
      <c r="A20" s="27" t="s">
        <v>17</v>
      </c>
      <c r="B20" s="28">
        <f>('Enero 08'!B20+'Febrero 08'!B20+'Marzo 08'!B20)/3</f>
        <v>6083.333333333333</v>
      </c>
      <c r="C20" s="28">
        <f>('Enero 08'!C20+'Febrero 08'!C20+'Marzo 08'!C20)/3</f>
        <v>12948.333333333334</v>
      </c>
      <c r="D20" s="69">
        <f>('Enero 08'!D20+'Febrero 08'!D20+'Marzo 08'!D20)</f>
        <v>4371750</v>
      </c>
      <c r="E20" s="28">
        <f t="shared" si="2"/>
        <v>718.64383561643842</v>
      </c>
      <c r="F20" s="83">
        <f t="shared" si="3"/>
        <v>1457250</v>
      </c>
    </row>
    <row r="21" spans="1:16" x14ac:dyDescent="0.3">
      <c r="A21" s="27" t="s">
        <v>18</v>
      </c>
      <c r="B21" s="28">
        <f>('Enero 08'!B21+'Febrero 08'!B21+'Marzo 08'!B21)/3</f>
        <v>3911.3333333333335</v>
      </c>
      <c r="C21" s="28">
        <f>('Enero 08'!C21+'Febrero 08'!C21+'Marzo 08'!C21)/3</f>
        <v>8794</v>
      </c>
      <c r="D21" s="69">
        <f>('Enero 08'!D21+'Febrero 08'!D21+'Marzo 08'!D21)</f>
        <v>2966549</v>
      </c>
      <c r="E21" s="28">
        <f t="shared" si="2"/>
        <v>758.44954832111807</v>
      </c>
      <c r="F21" s="83">
        <f t="shared" si="3"/>
        <v>988849.66666666663</v>
      </c>
    </row>
    <row r="22" spans="1:16" x14ac:dyDescent="0.3">
      <c r="A22" s="27" t="s">
        <v>19</v>
      </c>
      <c r="B22" s="28">
        <f>('Enero 08'!B22+'Febrero 08'!B22+'Marzo 08'!B22)/3</f>
        <v>2539.6666666666665</v>
      </c>
      <c r="C22" s="28">
        <f>('Enero 08'!C22+'Febrero 08'!C22+'Marzo 08'!C22)/3</f>
        <v>5619.333333333333</v>
      </c>
      <c r="D22" s="69">
        <f>('Enero 08'!D22+'Febrero 08'!D22+'Marzo 08'!D22)</f>
        <v>1899815</v>
      </c>
      <c r="E22" s="28">
        <f t="shared" si="2"/>
        <v>748.05683160519754</v>
      </c>
      <c r="F22" s="83">
        <f t="shared" si="3"/>
        <v>633271.66666666663</v>
      </c>
    </row>
    <row r="23" spans="1:16" x14ac:dyDescent="0.3">
      <c r="A23" s="27" t="s">
        <v>20</v>
      </c>
      <c r="B23" s="28">
        <f>('Enero 08'!B23+'Febrero 08'!B23+'Marzo 08'!B23)/3</f>
        <v>6863.333333333333</v>
      </c>
      <c r="C23" s="28">
        <f>('Enero 08'!C23+'Febrero 08'!C23+'Marzo 08'!C23)/3</f>
        <v>14741.666666666666</v>
      </c>
      <c r="D23" s="69">
        <f>('Enero 08'!D23+'Febrero 08'!D23+'Marzo 08'!D23)</f>
        <v>5009484</v>
      </c>
      <c r="E23" s="28">
        <f t="shared" si="2"/>
        <v>729.89082078678973</v>
      </c>
      <c r="F23" s="83">
        <f t="shared" si="3"/>
        <v>1669828</v>
      </c>
    </row>
    <row r="24" spans="1:16" x14ac:dyDescent="0.3">
      <c r="A24" s="27" t="s">
        <v>21</v>
      </c>
      <c r="B24" s="28">
        <f>('Enero 08'!B24+'Febrero 08'!B24+'Marzo 08'!B24)/3</f>
        <v>6219.333333333333</v>
      </c>
      <c r="C24" s="28">
        <f>('Enero 08'!C24+'Febrero 08'!C24+'Marzo 08'!C24)/3</f>
        <v>14091.666666666666</v>
      </c>
      <c r="D24" s="69">
        <f>('Enero 08'!D24+'Febrero 08'!D24+'Marzo 08'!D24)</f>
        <v>4801899</v>
      </c>
      <c r="E24" s="28">
        <f t="shared" si="2"/>
        <v>772.0922392539394</v>
      </c>
      <c r="F24" s="83">
        <f t="shared" si="3"/>
        <v>1600633</v>
      </c>
    </row>
    <row r="25" spans="1:16" x14ac:dyDescent="0.3">
      <c r="A25" s="27" t="s">
        <v>69</v>
      </c>
      <c r="B25" s="28">
        <f>('Enero 08'!B25+'Febrero 08'!B25+'Marzo 08'!B25)/3</f>
        <v>8033.666666666667</v>
      </c>
      <c r="C25" s="28">
        <f>('Enero 08'!C25+'Febrero 08'!C25+'Marzo 08'!C25)/3</f>
        <v>16653.333333333332</v>
      </c>
      <c r="D25" s="69">
        <f>('Enero 08'!D25+'Febrero 08'!D25+'Marzo 08'!D25)</f>
        <v>5707106</v>
      </c>
      <c r="E25" s="28">
        <f t="shared" si="2"/>
        <v>710.39865565744162</v>
      </c>
      <c r="F25" s="83">
        <f t="shared" si="3"/>
        <v>1902368.6666666667</v>
      </c>
    </row>
    <row r="26" spans="1:16" x14ac:dyDescent="0.3">
      <c r="A26" s="27" t="s">
        <v>22</v>
      </c>
      <c r="B26" s="28">
        <f>('Enero 08'!B26+'Febrero 08'!B26+'Marzo 08'!B26)/3</f>
        <v>5159.666666666667</v>
      </c>
      <c r="C26" s="28">
        <f>('Enero 08'!C26+'Febrero 08'!C26+'Marzo 08'!C26)/3</f>
        <v>12473.666666666666</v>
      </c>
      <c r="D26" s="69">
        <f>('Enero 08'!D26+'Febrero 08'!D26+'Marzo 08'!D26)</f>
        <v>4168775</v>
      </c>
      <c r="E26" s="28">
        <f t="shared" si="2"/>
        <v>807.95432521480711</v>
      </c>
      <c r="F26" s="83">
        <f t="shared" si="3"/>
        <v>1389591.6666666667</v>
      </c>
    </row>
    <row r="27" spans="1:16" x14ac:dyDescent="0.3">
      <c r="A27" s="27" t="s">
        <v>23</v>
      </c>
      <c r="B27" s="28">
        <f>('Enero 08'!B27+'Febrero 08'!B27+'Marzo 08'!B27)/3</f>
        <v>4424</v>
      </c>
      <c r="C27" s="28">
        <f>('Enero 08'!C27+'Febrero 08'!C27+'Marzo 08'!C27)/3</f>
        <v>9828.6666666666661</v>
      </c>
      <c r="D27" s="69">
        <f>('Enero 08'!D27+'Febrero 08'!D27+'Marzo 08'!D27)</f>
        <v>3293379</v>
      </c>
      <c r="E27" s="28">
        <f t="shared" si="2"/>
        <v>744.43467450271248</v>
      </c>
      <c r="F27" s="83">
        <f t="shared" si="3"/>
        <v>1097793</v>
      </c>
    </row>
    <row r="28" spans="1:16" ht="19.5" thickBot="1" x14ac:dyDescent="0.35">
      <c r="A28" s="43" t="s">
        <v>87</v>
      </c>
      <c r="B28" s="30">
        <f>('Enero 08'!B28+'Febrero 08'!B28+'Marzo 08'!B28)/3</f>
        <v>6374.333333333333</v>
      </c>
      <c r="C28" s="30">
        <f>('Enero 08'!C28+'Febrero 08'!C28+'Marzo 08'!C28)/3</f>
        <v>14503</v>
      </c>
      <c r="D28" s="70">
        <f>('Enero 08'!D28+'Febrero 08'!D28+'Marzo 08'!D28)</f>
        <v>4938307</v>
      </c>
      <c r="E28" s="31">
        <f t="shared" si="2"/>
        <v>774.71740835642947</v>
      </c>
      <c r="F28" s="84">
        <f t="shared" si="3"/>
        <v>1646102.3333333333</v>
      </c>
    </row>
    <row r="29" spans="1:16" ht="19.5" thickBot="1" x14ac:dyDescent="0.35">
      <c r="A29" s="32" t="s">
        <v>88</v>
      </c>
      <c r="B29" s="44">
        <f>SUM(B18:B28)</f>
        <v>71549.333333333328</v>
      </c>
      <c r="C29" s="44">
        <f>SUM(C18:C28)</f>
        <v>154290</v>
      </c>
      <c r="D29" s="74">
        <f>SUM(D18:D28)</f>
        <v>52575247</v>
      </c>
      <c r="E29" s="57">
        <f t="shared" si="2"/>
        <v>734.81113730386494</v>
      </c>
      <c r="F29" s="71">
        <f t="shared" si="3"/>
        <v>17525082.333333332</v>
      </c>
    </row>
    <row r="30" spans="1:16" ht="19.5" thickBot="1" x14ac:dyDescent="0.35">
      <c r="A30" s="35"/>
      <c r="B30" s="45"/>
      <c r="C30" s="45"/>
      <c r="D30" s="75"/>
      <c r="E30" s="36"/>
      <c r="F30" s="85"/>
    </row>
    <row r="31" spans="1:16" ht="19.5" thickBot="1" x14ac:dyDescent="0.35">
      <c r="A31" s="22" t="s">
        <v>2</v>
      </c>
      <c r="B31" s="46"/>
      <c r="C31" s="46"/>
      <c r="D31" s="67"/>
      <c r="E31" s="46"/>
      <c r="F31" s="86"/>
    </row>
    <row r="32" spans="1:16" x14ac:dyDescent="0.3">
      <c r="A32" s="25" t="s">
        <v>24</v>
      </c>
      <c r="B32" s="41">
        <f>('Enero 08'!B32+'Febrero 08'!B32+'Marzo 08'!B32)/3</f>
        <v>20277</v>
      </c>
      <c r="C32" s="41">
        <f>('Enero 08'!C32+'Febrero 08'!C32+'Marzo 08'!C32)/3</f>
        <v>43077.666666666664</v>
      </c>
      <c r="D32" s="68">
        <f>('Enero 08'!D32+'Febrero 08'!D32+'Marzo 08'!D32)</f>
        <v>14636369</v>
      </c>
      <c r="E32" s="28">
        <f t="shared" ref="E32:E41" si="4">D32/B32</f>
        <v>721.82122601962817</v>
      </c>
      <c r="F32" s="82">
        <f t="shared" ref="F32:F41" si="5">D32/3</f>
        <v>4878789.666666667</v>
      </c>
    </row>
    <row r="33" spans="1:6" x14ac:dyDescent="0.3">
      <c r="A33" s="27" t="s">
        <v>25</v>
      </c>
      <c r="B33" s="28">
        <f>('Enero 08'!B33+'Febrero 08'!B33+'Marzo 08'!B33)/3</f>
        <v>3806</v>
      </c>
      <c r="C33" s="28">
        <f>('Enero 08'!C33+'Febrero 08'!C33+'Marzo 08'!C33)/3</f>
        <v>8525.3333333333339</v>
      </c>
      <c r="D33" s="69">
        <f>('Enero 08'!D33+'Febrero 08'!D33+'Marzo 08'!D33)</f>
        <v>2908524</v>
      </c>
      <c r="E33" s="28">
        <f t="shared" si="4"/>
        <v>764.19442984760906</v>
      </c>
      <c r="F33" s="83">
        <f t="shared" si="5"/>
        <v>969508</v>
      </c>
    </row>
    <row r="34" spans="1:6" x14ac:dyDescent="0.3">
      <c r="A34" s="27" t="s">
        <v>26</v>
      </c>
      <c r="B34" s="28">
        <f>('Enero 08'!B34+'Febrero 08'!B34+'Marzo 08'!B34)/3</f>
        <v>6293</v>
      </c>
      <c r="C34" s="28">
        <f>('Enero 08'!C34+'Febrero 08'!C34+'Marzo 08'!C34)/3</f>
        <v>14330</v>
      </c>
      <c r="D34" s="69">
        <f>('Enero 08'!D34+'Febrero 08'!D34+'Marzo 08'!D34)</f>
        <v>4811062</v>
      </c>
      <c r="E34" s="28">
        <f t="shared" si="4"/>
        <v>764.51009057683143</v>
      </c>
      <c r="F34" s="83">
        <f t="shared" si="5"/>
        <v>1603687.3333333333</v>
      </c>
    </row>
    <row r="35" spans="1:6" x14ac:dyDescent="0.3">
      <c r="A35" s="27" t="s">
        <v>27</v>
      </c>
      <c r="B35" s="28">
        <f>('Enero 08'!B35+'Febrero 08'!B35+'Marzo 08'!B35)/3</f>
        <v>3889</v>
      </c>
      <c r="C35" s="28">
        <f>('Enero 08'!C35+'Febrero 08'!C35+'Marzo 08'!C35)/3</f>
        <v>8437.6666666666661</v>
      </c>
      <c r="D35" s="69">
        <f>('Enero 08'!D35+'Febrero 08'!D35+'Marzo 08'!D35)</f>
        <v>2837407</v>
      </c>
      <c r="E35" s="28">
        <f t="shared" si="4"/>
        <v>729.59809719722296</v>
      </c>
      <c r="F35" s="83">
        <f t="shared" si="5"/>
        <v>945802.33333333337</v>
      </c>
    </row>
    <row r="36" spans="1:6" x14ac:dyDescent="0.3">
      <c r="A36" s="27" t="s">
        <v>28</v>
      </c>
      <c r="B36" s="28">
        <f>('Enero 08'!B36+'Febrero 08'!B36+'Marzo 08'!B36)/3</f>
        <v>4707</v>
      </c>
      <c r="C36" s="28">
        <f>('Enero 08'!C36+'Febrero 08'!C36+'Marzo 08'!C36)/3</f>
        <v>10393.666666666666</v>
      </c>
      <c r="D36" s="69">
        <f>('Enero 08'!D36+'Febrero 08'!D36+'Marzo 08'!D36)</f>
        <v>3457226</v>
      </c>
      <c r="E36" s="28">
        <f t="shared" si="4"/>
        <v>734.48608455491819</v>
      </c>
      <c r="F36" s="83">
        <f t="shared" si="5"/>
        <v>1152408.6666666667</v>
      </c>
    </row>
    <row r="37" spans="1:6" x14ac:dyDescent="0.3">
      <c r="A37" s="27" t="s">
        <v>29</v>
      </c>
      <c r="B37" s="28">
        <f>('Enero 08'!B37+'Febrero 08'!B37+'Marzo 08'!B37)/3</f>
        <v>7472</v>
      </c>
      <c r="C37" s="28">
        <f>('Enero 08'!C37+'Febrero 08'!C37+'Marzo 08'!C37)/3</f>
        <v>17101.666666666668</v>
      </c>
      <c r="D37" s="69">
        <f>('Enero 08'!D37+'Febrero 08'!D37+'Marzo 08'!D37)</f>
        <v>5743762</v>
      </c>
      <c r="E37" s="28">
        <f t="shared" si="4"/>
        <v>768.7047644539615</v>
      </c>
      <c r="F37" s="83">
        <f t="shared" si="5"/>
        <v>1914587.3333333333</v>
      </c>
    </row>
    <row r="38" spans="1:6" x14ac:dyDescent="0.3">
      <c r="A38" s="27" t="s">
        <v>89</v>
      </c>
      <c r="B38" s="28">
        <f>('Enero 08'!B38+'Febrero 08'!B38+'Marzo 08'!B38)/3</f>
        <v>9033.6666666666661</v>
      </c>
      <c r="C38" s="28">
        <f>('Enero 08'!C38+'Febrero 08'!C38+'Marzo 08'!C38)/3</f>
        <v>19792.666666666668</v>
      </c>
      <c r="D38" s="69">
        <f>('Enero 08'!D38+'Febrero 08'!D38+'Marzo 08'!D38)</f>
        <v>6673849</v>
      </c>
      <c r="E38" s="28">
        <f t="shared" si="4"/>
        <v>738.77521124681755</v>
      </c>
      <c r="F38" s="83">
        <f t="shared" si="5"/>
        <v>2224616.3333333335</v>
      </c>
    </row>
    <row r="39" spans="1:6" x14ac:dyDescent="0.3">
      <c r="A39" s="27" t="s">
        <v>30</v>
      </c>
      <c r="B39" s="28">
        <f>('Enero 08'!B39+'Febrero 08'!B39+'Marzo 08'!B39)/3</f>
        <v>5473.333333333333</v>
      </c>
      <c r="C39" s="28">
        <f>('Enero 08'!C39+'Febrero 08'!C39+'Marzo 08'!C39)/3</f>
        <v>12278.333333333334</v>
      </c>
      <c r="D39" s="69">
        <f>('Enero 08'!D39+'Febrero 08'!D39+'Marzo 08'!D39)</f>
        <v>4149756</v>
      </c>
      <c r="E39" s="28">
        <f t="shared" si="4"/>
        <v>758.17710109622419</v>
      </c>
      <c r="F39" s="83">
        <f t="shared" si="5"/>
        <v>1383252</v>
      </c>
    </row>
    <row r="40" spans="1:6" ht="19.5" thickBot="1" x14ac:dyDescent="0.35">
      <c r="A40" s="43" t="s">
        <v>90</v>
      </c>
      <c r="B40" s="30">
        <f>('Enero 08'!B40+'Febrero 08'!B40+'Marzo 08'!B40)/3</f>
        <v>9634.3333333333339</v>
      </c>
      <c r="C40" s="30">
        <f>('Enero 08'!C40+'Febrero 08'!C40+'Marzo 08'!C40)/3</f>
        <v>20525.333333333332</v>
      </c>
      <c r="D40" s="70">
        <f>('Enero 08'!D40+'Febrero 08'!D40+'Marzo 08'!D40)</f>
        <v>7009039</v>
      </c>
      <c r="E40" s="31">
        <f t="shared" si="4"/>
        <v>727.50638342040611</v>
      </c>
      <c r="F40" s="84">
        <f t="shared" si="5"/>
        <v>2336346.3333333335</v>
      </c>
    </row>
    <row r="41" spans="1:6" ht="19.5" thickBot="1" x14ac:dyDescent="0.35">
      <c r="A41" s="32" t="s">
        <v>91</v>
      </c>
      <c r="B41" s="44">
        <f>SUM(B32:B40)</f>
        <v>70585.333333333328</v>
      </c>
      <c r="C41" s="44">
        <f>SUM(C32:C40)</f>
        <v>154462.33333333337</v>
      </c>
      <c r="D41" s="74">
        <f>SUM(D32:D40)</f>
        <v>52226994</v>
      </c>
      <c r="E41" s="57">
        <f t="shared" si="4"/>
        <v>739.91283363871628</v>
      </c>
      <c r="F41" s="71">
        <f t="shared" si="5"/>
        <v>17408998</v>
      </c>
    </row>
    <row r="42" spans="1:6" ht="19.5" thickBot="1" x14ac:dyDescent="0.35">
      <c r="A42" s="48"/>
      <c r="B42" s="49"/>
      <c r="C42" s="49"/>
      <c r="D42" s="76"/>
      <c r="E42" s="50"/>
      <c r="F42" s="85"/>
    </row>
    <row r="43" spans="1:6" ht="19.5" thickBot="1" x14ac:dyDescent="0.35">
      <c r="A43" s="22" t="s">
        <v>3</v>
      </c>
      <c r="B43" s="46"/>
      <c r="C43" s="46"/>
      <c r="D43" s="67"/>
      <c r="E43" s="46"/>
      <c r="F43" s="86"/>
    </row>
    <row r="44" spans="1:6" x14ac:dyDescent="0.3">
      <c r="A44" s="25" t="s">
        <v>31</v>
      </c>
      <c r="B44" s="41">
        <f>('Enero 08'!B44+'Febrero 08'!B44+'Marzo 08'!B44)/3</f>
        <v>3587.3333333333335</v>
      </c>
      <c r="C44" s="41">
        <f>('Enero 08'!C44+'Febrero 08'!C44+'Marzo 08'!C44)/3</f>
        <v>7592</v>
      </c>
      <c r="D44" s="68">
        <f>('Enero 08'!D44+'Febrero 08'!D44+'Marzo 08'!D44)</f>
        <v>2620757</v>
      </c>
      <c r="E44" s="28">
        <f t="shared" ref="E44:E51" si="6">D44/B44</f>
        <v>730.55853930496187</v>
      </c>
      <c r="F44" s="82">
        <f t="shared" ref="F44:F51" si="7">D44/3</f>
        <v>873585.66666666663</v>
      </c>
    </row>
    <row r="45" spans="1:6" x14ac:dyDescent="0.3">
      <c r="A45" s="27" t="s">
        <v>32</v>
      </c>
      <c r="B45" s="28">
        <f>('Enero 08'!B45+'Febrero 08'!B45+'Marzo 08'!B45)/3</f>
        <v>6669.333333333333</v>
      </c>
      <c r="C45" s="28">
        <f>('Enero 08'!C45+'Febrero 08'!C45+'Marzo 08'!C45)/3</f>
        <v>15725</v>
      </c>
      <c r="D45" s="69">
        <f>('Enero 08'!D45+'Febrero 08'!D45+'Marzo 08'!D45)</f>
        <v>5293834</v>
      </c>
      <c r="E45" s="28">
        <f t="shared" si="6"/>
        <v>793.75759696121554</v>
      </c>
      <c r="F45" s="83">
        <f t="shared" si="7"/>
        <v>1764611.3333333333</v>
      </c>
    </row>
    <row r="46" spans="1:6" x14ac:dyDescent="0.3">
      <c r="A46" s="27" t="s">
        <v>92</v>
      </c>
      <c r="B46" s="28">
        <f>('Enero 08'!B46+'Febrero 08'!B46+'Marzo 08'!B46)/3</f>
        <v>16402.666666666668</v>
      </c>
      <c r="C46" s="28">
        <f>('Enero 08'!C46+'Febrero 08'!C46+'Marzo 08'!C46)/3</f>
        <v>33842.333333333336</v>
      </c>
      <c r="D46" s="69">
        <f>('Enero 08'!D46+'Febrero 08'!D46+'Marzo 08'!D46)</f>
        <v>11436766</v>
      </c>
      <c r="E46" s="28">
        <f t="shared" si="6"/>
        <v>697.25040643797752</v>
      </c>
      <c r="F46" s="83">
        <f t="shared" si="7"/>
        <v>3812255.3333333335</v>
      </c>
    </row>
    <row r="47" spans="1:6" x14ac:dyDescent="0.3">
      <c r="A47" s="27" t="s">
        <v>33</v>
      </c>
      <c r="B47" s="28">
        <f>('Enero 08'!B47+'Febrero 08'!B47+'Marzo 08'!B47)/3</f>
        <v>5245</v>
      </c>
      <c r="C47" s="28">
        <f>('Enero 08'!C47+'Febrero 08'!C47+'Marzo 08'!C47)/3</f>
        <v>11591.333333333334</v>
      </c>
      <c r="D47" s="69">
        <f>('Enero 08'!D47+'Febrero 08'!D47+'Marzo 08'!D47)</f>
        <v>3895872</v>
      </c>
      <c r="E47" s="28">
        <f t="shared" si="6"/>
        <v>742.77826501429934</v>
      </c>
      <c r="F47" s="83">
        <f t="shared" si="7"/>
        <v>1298624</v>
      </c>
    </row>
    <row r="48" spans="1:6" x14ac:dyDescent="0.3">
      <c r="A48" s="27" t="s">
        <v>34</v>
      </c>
      <c r="B48" s="28">
        <f>('Enero 08'!B48+'Febrero 08'!B48+'Marzo 08'!B48)/3</f>
        <v>4288.333333333333</v>
      </c>
      <c r="C48" s="28">
        <f>('Enero 08'!C48+'Febrero 08'!C48+'Marzo 08'!C48)/3</f>
        <v>9077.6666666666661</v>
      </c>
      <c r="D48" s="69">
        <f>('Enero 08'!D48+'Febrero 08'!D48+'Marzo 08'!D48)</f>
        <v>3108262</v>
      </c>
      <c r="E48" s="28">
        <f t="shared" si="6"/>
        <v>724.81818888457065</v>
      </c>
      <c r="F48" s="83">
        <f t="shared" si="7"/>
        <v>1036087.3333333334</v>
      </c>
    </row>
    <row r="49" spans="1:6" x14ac:dyDescent="0.3">
      <c r="A49" s="27" t="s">
        <v>35</v>
      </c>
      <c r="B49" s="28">
        <f>('Enero 08'!B49+'Febrero 08'!B49+'Marzo 08'!B49)/3</f>
        <v>3976.3333333333335</v>
      </c>
      <c r="C49" s="28">
        <f>('Enero 08'!C49+'Febrero 08'!C49+'Marzo 08'!C49)/3</f>
        <v>8079.333333333333</v>
      </c>
      <c r="D49" s="69">
        <f>('Enero 08'!D49+'Febrero 08'!D49+'Marzo 08'!D49)</f>
        <v>2747102</v>
      </c>
      <c r="E49" s="28">
        <f t="shared" si="6"/>
        <v>690.86310671472881</v>
      </c>
      <c r="F49" s="83">
        <f t="shared" si="7"/>
        <v>915700.66666666663</v>
      </c>
    </row>
    <row r="50" spans="1:6" ht="19.5" thickBot="1" x14ac:dyDescent="0.35">
      <c r="A50" s="27" t="s">
        <v>36</v>
      </c>
      <c r="B50" s="30">
        <f>('Enero 08'!B50+'Febrero 08'!B50+'Marzo 08'!B50)/3</f>
        <v>6055.666666666667</v>
      </c>
      <c r="C50" s="30">
        <f>('Enero 08'!C50+'Febrero 08'!C50+'Marzo 08'!C50)/3</f>
        <v>12642.333333333334</v>
      </c>
      <c r="D50" s="70">
        <f>('Enero 08'!D50+'Febrero 08'!D50+'Marzo 08'!D50)</f>
        <v>4282805</v>
      </c>
      <c r="E50" s="28">
        <f t="shared" si="6"/>
        <v>707.23922496834916</v>
      </c>
      <c r="F50" s="84">
        <f t="shared" si="7"/>
        <v>1427601.6666666667</v>
      </c>
    </row>
    <row r="51" spans="1:6" ht="19.5" thickBot="1" x14ac:dyDescent="0.35">
      <c r="A51" s="32" t="s">
        <v>91</v>
      </c>
      <c r="B51" s="44">
        <f>SUM(B44:B50)</f>
        <v>46224.666666666672</v>
      </c>
      <c r="C51" s="44">
        <f>SUM(C44:C50)</f>
        <v>98550</v>
      </c>
      <c r="D51" s="74">
        <f>SUM(D44:D50)</f>
        <v>33385398</v>
      </c>
      <c r="E51" s="57">
        <f t="shared" si="6"/>
        <v>722.24204969929463</v>
      </c>
      <c r="F51" s="71">
        <f t="shared" si="7"/>
        <v>11128466</v>
      </c>
    </row>
    <row r="52" spans="1:6" ht="19.5" thickBot="1" x14ac:dyDescent="0.35">
      <c r="A52" s="48"/>
      <c r="B52" s="49"/>
      <c r="C52" s="49"/>
      <c r="D52" s="76"/>
      <c r="E52" s="50"/>
      <c r="F52" s="85"/>
    </row>
    <row r="53" spans="1:6" ht="19.5" thickBot="1" x14ac:dyDescent="0.35">
      <c r="A53" s="22" t="s">
        <v>4</v>
      </c>
      <c r="B53" s="46"/>
      <c r="C53" s="46"/>
      <c r="D53" s="67"/>
      <c r="E53" s="46"/>
      <c r="F53" s="86"/>
    </row>
    <row r="54" spans="1:6" x14ac:dyDescent="0.3">
      <c r="A54" s="25" t="s">
        <v>37</v>
      </c>
      <c r="B54" s="41">
        <f>('Enero 08'!B54+'Febrero 08'!B54+'Marzo 08'!B54)/3</f>
        <v>6390</v>
      </c>
      <c r="C54" s="41">
        <f>('Enero 08'!C54+'Febrero 08'!C54+'Marzo 08'!C54)/3</f>
        <v>14115.333333333334</v>
      </c>
      <c r="D54" s="68">
        <f>('Enero 08'!D54+'Febrero 08'!D54+'Marzo 08'!D54)</f>
        <v>4734343</v>
      </c>
      <c r="E54" s="28">
        <f t="shared" ref="E54:E60" si="8">D54/B54</f>
        <v>740.8987480438185</v>
      </c>
      <c r="F54" s="82">
        <f t="shared" ref="F54:F60" si="9">D54/3</f>
        <v>1578114.3333333333</v>
      </c>
    </row>
    <row r="55" spans="1:6" x14ac:dyDescent="0.3">
      <c r="A55" s="27" t="s">
        <v>93</v>
      </c>
      <c r="B55" s="28">
        <f>('Enero 08'!B55+'Febrero 08'!B55+'Marzo 08'!B55)/3</f>
        <v>14451.333333333334</v>
      </c>
      <c r="C55" s="28">
        <f>('Enero 08'!C55+'Febrero 08'!C55+'Marzo 08'!C55)/3</f>
        <v>30674.666666666668</v>
      </c>
      <c r="D55" s="69">
        <f>('Enero 08'!D55+'Febrero 08'!D55+'Marzo 08'!D55)</f>
        <v>10367931</v>
      </c>
      <c r="E55" s="28">
        <f t="shared" si="8"/>
        <v>717.43767587765831</v>
      </c>
      <c r="F55" s="83">
        <f t="shared" si="9"/>
        <v>3455977</v>
      </c>
    </row>
    <row r="56" spans="1:6" x14ac:dyDescent="0.3">
      <c r="A56" s="27" t="s">
        <v>94</v>
      </c>
      <c r="B56" s="28">
        <f>('Enero 08'!B56+'Febrero 08'!B56+'Marzo 08'!B56)/3</f>
        <v>4247</v>
      </c>
      <c r="C56" s="28">
        <f>('Enero 08'!C56+'Febrero 08'!C56+'Marzo 08'!C56)/3</f>
        <v>10001</v>
      </c>
      <c r="D56" s="69">
        <f>('Enero 08'!D56+'Febrero 08'!D56+'Marzo 08'!D56)</f>
        <v>3386327</v>
      </c>
      <c r="E56" s="28">
        <f t="shared" si="8"/>
        <v>797.34565575700492</v>
      </c>
      <c r="F56" s="83">
        <f t="shared" si="9"/>
        <v>1128775.6666666667</v>
      </c>
    </row>
    <row r="57" spans="1:6" x14ac:dyDescent="0.3">
      <c r="A57" s="27" t="s">
        <v>38</v>
      </c>
      <c r="B57" s="28">
        <f>('Enero 08'!B57+'Febrero 08'!B57+'Marzo 08'!B57)/3</f>
        <v>2993</v>
      </c>
      <c r="C57" s="28">
        <f>('Enero 08'!C57+'Febrero 08'!C57+'Marzo 08'!C57)/3</f>
        <v>6418.333333333333</v>
      </c>
      <c r="D57" s="69">
        <f>('Enero 08'!D57+'Febrero 08'!D57+'Marzo 08'!D57)</f>
        <v>2171367</v>
      </c>
      <c r="E57" s="28">
        <f t="shared" si="8"/>
        <v>725.48179084530568</v>
      </c>
      <c r="F57" s="83">
        <f t="shared" si="9"/>
        <v>723789</v>
      </c>
    </row>
    <row r="58" spans="1:6" x14ac:dyDescent="0.3">
      <c r="A58" s="27" t="s">
        <v>95</v>
      </c>
      <c r="B58" s="28">
        <f>('Enero 08'!B58+'Febrero 08'!B58+'Marzo 08'!B58)/3</f>
        <v>7355.333333333333</v>
      </c>
      <c r="C58" s="28">
        <f>('Enero 08'!C58+'Febrero 08'!C58+'Marzo 08'!C58)/3</f>
        <v>15933</v>
      </c>
      <c r="D58" s="69">
        <f>('Enero 08'!D58+'Febrero 08'!D58+'Marzo 08'!D58)</f>
        <v>5371628</v>
      </c>
      <c r="E58" s="28">
        <f t="shared" si="8"/>
        <v>730.3038158252516</v>
      </c>
      <c r="F58" s="83">
        <f t="shared" si="9"/>
        <v>1790542.6666666667</v>
      </c>
    </row>
    <row r="59" spans="1:6" ht="19.5" thickBot="1" x14ac:dyDescent="0.35">
      <c r="A59" s="27" t="s">
        <v>96</v>
      </c>
      <c r="B59" s="30">
        <f>('Enero 08'!B59+'Febrero 08'!B59+'Marzo 08'!B59)/3</f>
        <v>6449</v>
      </c>
      <c r="C59" s="30">
        <f>('Enero 08'!C59+'Febrero 08'!C59+'Marzo 08'!C59)/3</f>
        <v>13541.333333333334</v>
      </c>
      <c r="D59" s="70">
        <f>('Enero 08'!D59+'Febrero 08'!D59+'Marzo 08'!D59)</f>
        <v>4607535</v>
      </c>
      <c r="E59" s="28">
        <f t="shared" si="8"/>
        <v>714.45728019848036</v>
      </c>
      <c r="F59" s="84">
        <f t="shared" si="9"/>
        <v>1535845</v>
      </c>
    </row>
    <row r="60" spans="1:6" ht="19.5" thickBot="1" x14ac:dyDescent="0.35">
      <c r="A60" s="32" t="s">
        <v>91</v>
      </c>
      <c r="B60" s="44">
        <f>SUM(B54:B59)</f>
        <v>41885.666666666672</v>
      </c>
      <c r="C60" s="44">
        <f>SUM(C54:C59)</f>
        <v>90683.666666666672</v>
      </c>
      <c r="D60" s="77">
        <f>SUM(D54:D59)</f>
        <v>30639131</v>
      </c>
      <c r="E60" s="57">
        <f t="shared" si="8"/>
        <v>731.4944093842762</v>
      </c>
      <c r="F60" s="71">
        <f t="shared" si="9"/>
        <v>10213043.666666666</v>
      </c>
    </row>
    <row r="61" spans="1:6" ht="19.5" thickBot="1" x14ac:dyDescent="0.35">
      <c r="A61" s="48"/>
      <c r="B61" s="49"/>
      <c r="C61" s="49"/>
      <c r="D61" s="76"/>
      <c r="E61" s="50"/>
      <c r="F61" s="85"/>
    </row>
    <row r="62" spans="1:6" ht="19.5" thickBot="1" x14ac:dyDescent="0.35">
      <c r="A62" s="22" t="s">
        <v>5</v>
      </c>
      <c r="B62" s="46"/>
      <c r="C62" s="46"/>
      <c r="D62" s="67"/>
      <c r="E62" s="46"/>
      <c r="F62" s="86"/>
    </row>
    <row r="63" spans="1:6" x14ac:dyDescent="0.3">
      <c r="A63" s="25" t="s">
        <v>39</v>
      </c>
      <c r="B63" s="41">
        <f>('Enero 08'!B63+'Febrero 08'!B63+'Marzo 08'!B63)/3</f>
        <v>3307</v>
      </c>
      <c r="C63" s="41">
        <f>('Enero 08'!C63+'Febrero 08'!C63+'Marzo 08'!C63)/3</f>
        <v>7222</v>
      </c>
      <c r="D63" s="68">
        <f>('Enero 08'!D63+'Febrero 08'!D63+'Marzo 08'!D63)</f>
        <v>2439956</v>
      </c>
      <c r="E63" s="28">
        <f t="shared" ref="E63:E69" si="10">D63/B63</f>
        <v>737.81554278802537</v>
      </c>
      <c r="F63" s="82">
        <f t="shared" ref="F63:F69" si="11">D63/3</f>
        <v>813318.66666666663</v>
      </c>
    </row>
    <row r="64" spans="1:6" x14ac:dyDescent="0.3">
      <c r="A64" s="27" t="s">
        <v>40</v>
      </c>
      <c r="B64" s="28">
        <f>('Enero 08'!B64+'Febrero 08'!B64+'Marzo 08'!B64)/3</f>
        <v>5352.666666666667</v>
      </c>
      <c r="C64" s="28">
        <f>('Enero 08'!C64+'Febrero 08'!C64+'Marzo 08'!C64)/3</f>
        <v>10569.333333333334</v>
      </c>
      <c r="D64" s="69">
        <f>('Enero 08'!D64+'Febrero 08'!D64+'Marzo 08'!D64)</f>
        <v>3557663</v>
      </c>
      <c r="E64" s="28">
        <f t="shared" si="10"/>
        <v>664.65244737825378</v>
      </c>
      <c r="F64" s="83">
        <f t="shared" si="11"/>
        <v>1185887.6666666667</v>
      </c>
    </row>
    <row r="65" spans="1:6" x14ac:dyDescent="0.3">
      <c r="A65" s="27" t="s">
        <v>5</v>
      </c>
      <c r="B65" s="28">
        <f>('Enero 08'!B65+'Febrero 08'!B65+'Marzo 08'!B65)/3</f>
        <v>6453.333333333333</v>
      </c>
      <c r="C65" s="28">
        <f>('Enero 08'!C65+'Febrero 08'!C65+'Marzo 08'!C65)/3</f>
        <v>13808.666666666666</v>
      </c>
      <c r="D65" s="69">
        <f>('Enero 08'!D65+'Febrero 08'!D65+'Marzo 08'!D65)</f>
        <v>4680426</v>
      </c>
      <c r="E65" s="28">
        <f t="shared" si="10"/>
        <v>725.27262396694221</v>
      </c>
      <c r="F65" s="83">
        <f t="shared" si="11"/>
        <v>1560142</v>
      </c>
    </row>
    <row r="66" spans="1:6" x14ac:dyDescent="0.3">
      <c r="A66" s="27" t="s">
        <v>41</v>
      </c>
      <c r="B66" s="28">
        <f>('Enero 08'!B66+'Febrero 08'!B66+'Marzo 08'!B66)/3</f>
        <v>3362.6666666666665</v>
      </c>
      <c r="C66" s="28">
        <f>('Enero 08'!C66+'Febrero 08'!C66+'Marzo 08'!C66)/3</f>
        <v>7074.333333333333</v>
      </c>
      <c r="D66" s="69">
        <f>('Enero 08'!D66+'Febrero 08'!D66+'Marzo 08'!D66)</f>
        <v>2402767</v>
      </c>
      <c r="E66" s="28">
        <f t="shared" si="10"/>
        <v>714.54212926249011</v>
      </c>
      <c r="F66" s="83">
        <f t="shared" si="11"/>
        <v>800922.33333333337</v>
      </c>
    </row>
    <row r="67" spans="1:6" x14ac:dyDescent="0.3">
      <c r="A67" s="27" t="s">
        <v>42</v>
      </c>
      <c r="B67" s="28">
        <f>('Enero 08'!B67+'Febrero 08'!B67+'Marzo 08'!B67)/3</f>
        <v>4940.666666666667</v>
      </c>
      <c r="C67" s="28">
        <f>('Enero 08'!C67+'Febrero 08'!C67+'Marzo 08'!C67)/3</f>
        <v>10492</v>
      </c>
      <c r="D67" s="69">
        <f>('Enero 08'!D67+'Febrero 08'!D67+'Marzo 08'!D67)</f>
        <v>3564401</v>
      </c>
      <c r="E67" s="28">
        <f t="shared" si="10"/>
        <v>721.4413034678181</v>
      </c>
      <c r="F67" s="83">
        <f t="shared" si="11"/>
        <v>1188133.6666666667</v>
      </c>
    </row>
    <row r="68" spans="1:6" ht="19.5" thickBot="1" x14ac:dyDescent="0.35">
      <c r="A68" s="29" t="s">
        <v>43</v>
      </c>
      <c r="B68" s="30">
        <f>('Enero 08'!B68+'Febrero 08'!B68+'Marzo 08'!B68)/3</f>
        <v>3277.6666666666665</v>
      </c>
      <c r="C68" s="30">
        <f>('Enero 08'!C68+'Febrero 08'!C68+'Marzo 08'!C68)/3</f>
        <v>7440.333333333333</v>
      </c>
      <c r="D68" s="70">
        <f>('Enero 08'!D68+'Febrero 08'!D68+'Marzo 08'!D68)</f>
        <v>2485326</v>
      </c>
      <c r="E68" s="28">
        <f t="shared" si="10"/>
        <v>758.26075460185098</v>
      </c>
      <c r="F68" s="84">
        <f t="shared" si="11"/>
        <v>828442</v>
      </c>
    </row>
    <row r="69" spans="1:6" ht="19.5" thickBot="1" x14ac:dyDescent="0.35">
      <c r="A69" s="32" t="s">
        <v>91</v>
      </c>
      <c r="B69" s="44">
        <f>SUM(B63:B68)</f>
        <v>26694.000000000004</v>
      </c>
      <c r="C69" s="44">
        <f>SUM(C63:C68)</f>
        <v>56606.666666666672</v>
      </c>
      <c r="D69" s="78">
        <f>SUM(D63:D68)</f>
        <v>19130539</v>
      </c>
      <c r="E69" s="57">
        <f t="shared" si="10"/>
        <v>716.66063534876741</v>
      </c>
      <c r="F69" s="71">
        <f t="shared" si="11"/>
        <v>6376846.333333333</v>
      </c>
    </row>
    <row r="70" spans="1:6" ht="19.5" thickBot="1" x14ac:dyDescent="0.35">
      <c r="A70" s="48"/>
      <c r="B70" s="49"/>
      <c r="C70" s="49"/>
      <c r="D70" s="76"/>
      <c r="E70" s="50"/>
      <c r="F70" s="85"/>
    </row>
    <row r="71" spans="1:6" ht="19.5" thickBot="1" x14ac:dyDescent="0.35">
      <c r="A71" s="22" t="s">
        <v>6</v>
      </c>
      <c r="B71" s="46"/>
      <c r="C71" s="46"/>
      <c r="D71" s="67"/>
      <c r="E71" s="46"/>
      <c r="F71" s="86"/>
    </row>
    <row r="72" spans="1:6" x14ac:dyDescent="0.3">
      <c r="A72" s="25" t="s">
        <v>44</v>
      </c>
      <c r="B72" s="41">
        <f>('Enero 08'!B72+'Febrero 08'!B72+'Marzo 08'!B72)/3</f>
        <v>1883</v>
      </c>
      <c r="C72" s="41">
        <f>('Enero 08'!C72+'Febrero 08'!C72+'Marzo 08'!C72)/3</f>
        <v>3925.3333333333335</v>
      </c>
      <c r="D72" s="68">
        <f>('Enero 08'!D72+'Febrero 08'!D72+'Marzo 08'!D72)</f>
        <v>1323218</v>
      </c>
      <c r="E72" s="28">
        <f t="shared" ref="E72:E82" si="12">D72/B72</f>
        <v>702.71800318640464</v>
      </c>
      <c r="F72" s="82">
        <f t="shared" ref="F72:F82" si="13">D72/3</f>
        <v>441072.66666666669</v>
      </c>
    </row>
    <row r="73" spans="1:6" x14ac:dyDescent="0.3">
      <c r="A73" s="27" t="s">
        <v>70</v>
      </c>
      <c r="B73" s="28">
        <f>('Enero 08'!B73+'Febrero 08'!B73+'Marzo 08'!B73)/3</f>
        <v>98</v>
      </c>
      <c r="C73" s="28">
        <f>('Enero 08'!C73+'Febrero 08'!C73+'Marzo 08'!C73)/3</f>
        <v>205.66666666666666</v>
      </c>
      <c r="D73" s="69">
        <f>('Enero 08'!D73+'Febrero 08'!D73+'Marzo 08'!D73)</f>
        <v>67464</v>
      </c>
      <c r="E73" s="28">
        <f t="shared" si="12"/>
        <v>688.40816326530614</v>
      </c>
      <c r="F73" s="83">
        <f t="shared" si="13"/>
        <v>22488</v>
      </c>
    </row>
    <row r="74" spans="1:6" x14ac:dyDescent="0.3">
      <c r="A74" s="27" t="s">
        <v>45</v>
      </c>
      <c r="B74" s="28">
        <f>('Enero 08'!B74+'Febrero 08'!B74+'Marzo 08'!B74)/3</f>
        <v>5549.333333333333</v>
      </c>
      <c r="C74" s="28">
        <f>('Enero 08'!C74+'Febrero 08'!C74+'Marzo 08'!C74)/3</f>
        <v>11709.666666666666</v>
      </c>
      <c r="D74" s="69">
        <f>('Enero 08'!D74+'Febrero 08'!D74+'Marzo 08'!D74)</f>
        <v>3984490</v>
      </c>
      <c r="E74" s="28">
        <f t="shared" si="12"/>
        <v>718.01237385872184</v>
      </c>
      <c r="F74" s="83">
        <f t="shared" si="13"/>
        <v>1328163.3333333333</v>
      </c>
    </row>
    <row r="75" spans="1:6" x14ac:dyDescent="0.3">
      <c r="A75" s="27" t="s">
        <v>6</v>
      </c>
      <c r="B75" s="28">
        <f>('Enero 08'!B75+'Febrero 08'!B75+'Marzo 08'!B75)/3</f>
        <v>8933.6666666666661</v>
      </c>
      <c r="C75" s="28">
        <f>('Enero 08'!C75+'Febrero 08'!C75+'Marzo 08'!C75)/3</f>
        <v>18186.666666666668</v>
      </c>
      <c r="D75" s="69">
        <f>('Enero 08'!D75+'Febrero 08'!D75+'Marzo 08'!D75)</f>
        <v>6193019</v>
      </c>
      <c r="E75" s="28">
        <f t="shared" si="12"/>
        <v>693.22252901011166</v>
      </c>
      <c r="F75" s="83">
        <f t="shared" si="13"/>
        <v>2064339.6666666667</v>
      </c>
    </row>
    <row r="76" spans="1:6" x14ac:dyDescent="0.3">
      <c r="A76" s="27" t="s">
        <v>46</v>
      </c>
      <c r="B76" s="28">
        <f>('Enero 08'!B76+'Febrero 08'!B76+'Marzo 08'!B76)/3</f>
        <v>6753</v>
      </c>
      <c r="C76" s="28">
        <f>('Enero 08'!C76+'Febrero 08'!C76+'Marzo 08'!C76)/3</f>
        <v>14513.333333333334</v>
      </c>
      <c r="D76" s="69">
        <f>('Enero 08'!D76+'Febrero 08'!D76+'Marzo 08'!D76)</f>
        <v>4958740</v>
      </c>
      <c r="E76" s="28">
        <f t="shared" si="12"/>
        <v>734.30179179623872</v>
      </c>
      <c r="F76" s="83">
        <f t="shared" si="13"/>
        <v>1652913.3333333333</v>
      </c>
    </row>
    <row r="77" spans="1:6" x14ac:dyDescent="0.3">
      <c r="A77" s="27" t="s">
        <v>47</v>
      </c>
      <c r="B77" s="28">
        <f>('Enero 08'!B77+'Febrero 08'!B77+'Marzo 08'!B77)/3</f>
        <v>5621.333333333333</v>
      </c>
      <c r="C77" s="28">
        <f>('Enero 08'!C77+'Febrero 08'!C77+'Marzo 08'!C77)/3</f>
        <v>11724.333333333334</v>
      </c>
      <c r="D77" s="69">
        <f>('Enero 08'!D77+'Febrero 08'!D77+'Marzo 08'!D77)</f>
        <v>4025562</v>
      </c>
      <c r="E77" s="28">
        <f t="shared" si="12"/>
        <v>716.12227229601524</v>
      </c>
      <c r="F77" s="83">
        <f t="shared" si="13"/>
        <v>1341854</v>
      </c>
    </row>
    <row r="78" spans="1:6" x14ac:dyDescent="0.3">
      <c r="A78" s="27" t="s">
        <v>48</v>
      </c>
      <c r="B78" s="28">
        <f>('Enero 08'!B78+'Febrero 08'!B78+'Marzo 08'!B78)/3</f>
        <v>2361.3333333333335</v>
      </c>
      <c r="C78" s="28">
        <f>('Enero 08'!C78+'Febrero 08'!C78+'Marzo 08'!C78)/3</f>
        <v>4949.333333333333</v>
      </c>
      <c r="D78" s="69">
        <f>('Enero 08'!D78+'Febrero 08'!D78+'Marzo 08'!D78)</f>
        <v>1674432</v>
      </c>
      <c r="E78" s="28">
        <f t="shared" si="12"/>
        <v>709.10446075663458</v>
      </c>
      <c r="F78" s="83">
        <f t="shared" si="13"/>
        <v>558144</v>
      </c>
    </row>
    <row r="79" spans="1:6" x14ac:dyDescent="0.3">
      <c r="A79" s="27" t="s">
        <v>49</v>
      </c>
      <c r="B79" s="28">
        <f>('Enero 08'!B79+'Febrero 08'!B79+'Marzo 08'!B79)/3</f>
        <v>4162.666666666667</v>
      </c>
      <c r="C79" s="28">
        <f>('Enero 08'!C79+'Febrero 08'!C79+'Marzo 08'!C79)/3</f>
        <v>8682</v>
      </c>
      <c r="D79" s="69">
        <f>('Enero 08'!D79+'Febrero 08'!D79+'Marzo 08'!D79)</f>
        <v>2969446</v>
      </c>
      <c r="E79" s="28">
        <f t="shared" si="12"/>
        <v>713.35185778347204</v>
      </c>
      <c r="F79" s="83">
        <f t="shared" si="13"/>
        <v>989815.33333333337</v>
      </c>
    </row>
    <row r="80" spans="1:6" x14ac:dyDescent="0.3">
      <c r="A80" s="27" t="s">
        <v>50</v>
      </c>
      <c r="B80" s="28">
        <f>('Enero 08'!B80+'Febrero 08'!B80+'Marzo 08'!B80)/3</f>
        <v>1645.6666666666667</v>
      </c>
      <c r="C80" s="28">
        <f>('Enero 08'!C80+'Febrero 08'!C80+'Marzo 08'!C80)/3</f>
        <v>3409</v>
      </c>
      <c r="D80" s="69">
        <f>('Enero 08'!D80+'Febrero 08'!D80+'Marzo 08'!D80)</f>
        <v>1166161</v>
      </c>
      <c r="E80" s="28">
        <f t="shared" si="12"/>
        <v>708.62527850921606</v>
      </c>
      <c r="F80" s="83">
        <f t="shared" si="13"/>
        <v>388720.33333333331</v>
      </c>
    </row>
    <row r="81" spans="1:6" ht="19.5" thickBot="1" x14ac:dyDescent="0.35">
      <c r="A81" s="29" t="s">
        <v>51</v>
      </c>
      <c r="B81" s="30">
        <f>('Enero 08'!B81+'Febrero 08'!B81+'Marzo 08'!B81)/3</f>
        <v>7494</v>
      </c>
      <c r="C81" s="30">
        <f>('Enero 08'!C81+'Febrero 08'!C81+'Marzo 08'!C81)/3</f>
        <v>15676</v>
      </c>
      <c r="D81" s="70">
        <f>('Enero 08'!D81+'Febrero 08'!D81+'Marzo 08'!D81)</f>
        <v>5329615</v>
      </c>
      <c r="E81" s="28">
        <f t="shared" si="12"/>
        <v>711.18428075793963</v>
      </c>
      <c r="F81" s="84">
        <f t="shared" si="13"/>
        <v>1776538.3333333333</v>
      </c>
    </row>
    <row r="82" spans="1:6" ht="19.5" thickBot="1" x14ac:dyDescent="0.35">
      <c r="A82" s="32" t="s">
        <v>91</v>
      </c>
      <c r="B82" s="44">
        <f>SUM(B72:B81)</f>
        <v>44501.999999999993</v>
      </c>
      <c r="C82" s="44">
        <f>SUM(C72:C81)</f>
        <v>92981.333333333343</v>
      </c>
      <c r="D82" s="44">
        <f>SUM(D72:D81)</f>
        <v>31692147</v>
      </c>
      <c r="E82" s="57">
        <f t="shared" si="12"/>
        <v>712.15107186193893</v>
      </c>
      <c r="F82" s="71">
        <f t="shared" si="13"/>
        <v>10564049</v>
      </c>
    </row>
    <row r="83" spans="1:6" ht="19.5" thickBot="1" x14ac:dyDescent="0.35">
      <c r="A83" s="48"/>
      <c r="B83" s="49"/>
      <c r="C83" s="49"/>
      <c r="D83" s="76"/>
      <c r="E83" s="50"/>
      <c r="F83" s="85"/>
    </row>
    <row r="84" spans="1:6" ht="19.5" thickBot="1" x14ac:dyDescent="0.35">
      <c r="A84" s="22" t="s">
        <v>7</v>
      </c>
      <c r="B84" s="46"/>
      <c r="C84" s="46"/>
      <c r="D84" s="67"/>
      <c r="E84" s="46"/>
      <c r="F84" s="86"/>
    </row>
    <row r="85" spans="1:6" x14ac:dyDescent="0.3">
      <c r="A85" s="25" t="s">
        <v>52</v>
      </c>
      <c r="B85" s="41">
        <f>('Enero 08'!B85+'Febrero 08'!B85+'Marzo 08'!B85)/3</f>
        <v>4523.666666666667</v>
      </c>
      <c r="C85" s="41">
        <f>('Enero 08'!C85+'Febrero 08'!C85+'Marzo 08'!C85)/3</f>
        <v>9438</v>
      </c>
      <c r="D85" s="68">
        <f>('Enero 08'!D85+'Febrero 08'!D85+'Marzo 08'!D85)</f>
        <v>3199663</v>
      </c>
      <c r="E85" s="28">
        <f t="shared" ref="E85:E92" si="14">D85/B85</f>
        <v>707.31626261881945</v>
      </c>
      <c r="F85" s="82">
        <f t="shared" ref="F85:F94" si="15">D85/3</f>
        <v>1066554.3333333333</v>
      </c>
    </row>
    <row r="86" spans="1:6" x14ac:dyDescent="0.3">
      <c r="A86" s="27" t="s">
        <v>53</v>
      </c>
      <c r="B86" s="28">
        <f>('Enero 08'!B86+'Febrero 08'!B86+'Marzo 08'!B86)/3</f>
        <v>6049</v>
      </c>
      <c r="C86" s="28">
        <f>('Enero 08'!C86+'Febrero 08'!C86+'Marzo 08'!C86)/3</f>
        <v>13086.333333333334</v>
      </c>
      <c r="D86" s="69">
        <f>('Enero 08'!D86+'Febrero 08'!D86+'Marzo 08'!D86)</f>
        <v>4418530</v>
      </c>
      <c r="E86" s="28">
        <f t="shared" si="14"/>
        <v>730.45627376425853</v>
      </c>
      <c r="F86" s="83">
        <f t="shared" si="15"/>
        <v>1472843.3333333333</v>
      </c>
    </row>
    <row r="87" spans="1:6" x14ac:dyDescent="0.3">
      <c r="A87" s="27" t="s">
        <v>54</v>
      </c>
      <c r="B87" s="28">
        <f>('Enero 08'!B87+'Febrero 08'!B87+'Marzo 08'!B87)/3</f>
        <v>3560.3333333333335</v>
      </c>
      <c r="C87" s="28">
        <f>('Enero 08'!C87+'Febrero 08'!C87+'Marzo 08'!C87)/3</f>
        <v>7967.333333333333</v>
      </c>
      <c r="D87" s="69">
        <f>('Enero 08'!D87+'Febrero 08'!D87+'Marzo 08'!D87)</f>
        <v>2684837</v>
      </c>
      <c r="E87" s="28">
        <f t="shared" si="14"/>
        <v>754.09708828761347</v>
      </c>
      <c r="F87" s="83">
        <f t="shared" si="15"/>
        <v>894945.66666666663</v>
      </c>
    </row>
    <row r="88" spans="1:6" x14ac:dyDescent="0.3">
      <c r="A88" s="27" t="s">
        <v>55</v>
      </c>
      <c r="B88" s="28">
        <f>('Enero 08'!B88+'Febrero 08'!B88+'Marzo 08'!B88)/3</f>
        <v>1884.6666666666667</v>
      </c>
      <c r="C88" s="28">
        <f>('Enero 08'!C88+'Febrero 08'!C88+'Marzo 08'!C88)/3</f>
        <v>3580.6666666666665</v>
      </c>
      <c r="D88" s="69">
        <f>('Enero 08'!D88+'Febrero 08'!D88+'Marzo 08'!D88)</f>
        <v>1213570</v>
      </c>
      <c r="E88" s="28">
        <f t="shared" si="14"/>
        <v>643.91758047400072</v>
      </c>
      <c r="F88" s="83">
        <f t="shared" si="15"/>
        <v>404523.33333333331</v>
      </c>
    </row>
    <row r="89" spans="1:6" x14ac:dyDescent="0.3">
      <c r="A89" s="27" t="s">
        <v>56</v>
      </c>
      <c r="B89" s="28">
        <f>('Enero 08'!B89+'Febrero 08'!B89+'Marzo 08'!B89)/3</f>
        <v>4058.3333333333335</v>
      </c>
      <c r="C89" s="28">
        <f>('Enero 08'!C89+'Febrero 08'!C89+'Marzo 08'!C89)/3</f>
        <v>8790.6666666666661</v>
      </c>
      <c r="D89" s="69">
        <f>('Enero 08'!D89+'Febrero 08'!D89+'Marzo 08'!D89)</f>
        <v>2966703</v>
      </c>
      <c r="E89" s="28">
        <f t="shared" si="14"/>
        <v>731.01511293634496</v>
      </c>
      <c r="F89" s="83">
        <f t="shared" si="15"/>
        <v>988901</v>
      </c>
    </row>
    <row r="90" spans="1:6" x14ac:dyDescent="0.3">
      <c r="A90" s="27" t="s">
        <v>57</v>
      </c>
      <c r="B90" s="28">
        <f>('Enero 08'!B90+'Febrero 08'!B90+'Marzo 08'!B90)/3</f>
        <v>1013.3333333333334</v>
      </c>
      <c r="C90" s="28">
        <f>('Enero 08'!C90+'Febrero 08'!C90+'Marzo 08'!C90)/3</f>
        <v>2466.6666666666665</v>
      </c>
      <c r="D90" s="69">
        <f>('Enero 08'!D90+'Febrero 08'!D90+'Marzo 08'!D90)</f>
        <v>825616</v>
      </c>
      <c r="E90" s="28">
        <f t="shared" si="14"/>
        <v>814.75263157894733</v>
      </c>
      <c r="F90" s="83">
        <f t="shared" si="15"/>
        <v>275205.33333333331</v>
      </c>
    </row>
    <row r="91" spans="1:6" x14ac:dyDescent="0.3">
      <c r="A91" s="27" t="s">
        <v>97</v>
      </c>
      <c r="B91" s="28">
        <f>('Enero 08'!B91+'Febrero 08'!B91+'Marzo 08'!B91)/3</f>
        <v>12752</v>
      </c>
      <c r="C91" s="28">
        <f>('Enero 08'!C91+'Febrero 08'!C91+'Marzo 08'!C91)/3</f>
        <v>25841.666666666668</v>
      </c>
      <c r="D91" s="69">
        <f>('Enero 08'!D91+'Febrero 08'!D91+'Marzo 08'!D91)</f>
        <v>8886382</v>
      </c>
      <c r="E91" s="28">
        <f t="shared" si="14"/>
        <v>696.8618255959849</v>
      </c>
      <c r="F91" s="83">
        <f t="shared" si="15"/>
        <v>2962127.3333333335</v>
      </c>
    </row>
    <row r="92" spans="1:6" x14ac:dyDescent="0.3">
      <c r="A92" s="51" t="s">
        <v>58</v>
      </c>
      <c r="B92" s="28">
        <f>('Enero 08'!B92+'Febrero 08'!B92+'Marzo 08'!B92)/3</f>
        <v>3516.3333333333335</v>
      </c>
      <c r="C92" s="28">
        <f>('Enero 08'!C92+'Febrero 08'!C92+'Marzo 08'!C92)/3</f>
        <v>7615</v>
      </c>
      <c r="D92" s="69">
        <f>('Enero 08'!D92+'Febrero 08'!D92+'Marzo 08'!D92)</f>
        <v>2563858</v>
      </c>
      <c r="E92" s="28">
        <f t="shared" si="14"/>
        <v>729.12825860271107</v>
      </c>
      <c r="F92" s="83">
        <f t="shared" si="15"/>
        <v>854619.33333333337</v>
      </c>
    </row>
    <row r="93" spans="1:6" ht="19.5" thickBot="1" x14ac:dyDescent="0.35">
      <c r="A93" s="27" t="s">
        <v>59</v>
      </c>
      <c r="B93" s="30">
        <f>('Enero 08'!B93+'Febrero 08'!B93+'Marzo 08'!B93)/3</f>
        <v>5325.333333333333</v>
      </c>
      <c r="C93" s="30">
        <f>('Enero 08'!C93+'Febrero 08'!C93+'Marzo 08'!C93)/3</f>
        <v>11184.333333333334</v>
      </c>
      <c r="D93" s="70">
        <f>('Enero 08'!D93+'Febrero 08'!D93+'Marzo 08'!D93)</f>
        <v>3775037</v>
      </c>
      <c r="E93" s="28">
        <f>D93/B93</f>
        <v>708.88276164246372</v>
      </c>
      <c r="F93" s="84">
        <f t="shared" si="15"/>
        <v>1258345.6666666667</v>
      </c>
    </row>
    <row r="94" spans="1:6" ht="19.5" thickBot="1" x14ac:dyDescent="0.35">
      <c r="A94" s="32" t="s">
        <v>91</v>
      </c>
      <c r="B94" s="44">
        <f>SUM(B85:B93)</f>
        <v>42683</v>
      </c>
      <c r="C94" s="44">
        <f>SUM(C85:C93)</f>
        <v>89970.666666666657</v>
      </c>
      <c r="D94" s="78">
        <f>SUM(D85:D93)</f>
        <v>30534196</v>
      </c>
      <c r="E94" s="57">
        <f>D94/B94</f>
        <v>715.37136564908747</v>
      </c>
      <c r="F94" s="71">
        <f t="shared" si="15"/>
        <v>10178065.333333334</v>
      </c>
    </row>
    <row r="95" spans="1:6" ht="19.5" thickBot="1" x14ac:dyDescent="0.35">
      <c r="A95" s="48"/>
      <c r="B95" s="49"/>
      <c r="C95" s="49"/>
      <c r="D95" s="76"/>
      <c r="E95" s="50"/>
      <c r="F95" s="85"/>
    </row>
    <row r="96" spans="1:6" ht="19.5" thickBot="1" x14ac:dyDescent="0.35">
      <c r="A96" s="37" t="s">
        <v>8</v>
      </c>
      <c r="B96" s="46"/>
      <c r="C96" s="46"/>
      <c r="D96" s="67"/>
      <c r="E96" s="46"/>
      <c r="F96" s="86"/>
    </row>
    <row r="97" spans="1:6" x14ac:dyDescent="0.3">
      <c r="A97" s="52" t="s">
        <v>73</v>
      </c>
      <c r="B97" s="41">
        <f>('Enero 08'!B97+'Febrero 08'!B97+'Marzo 08'!B97)/3</f>
        <v>4129</v>
      </c>
      <c r="C97" s="41">
        <f>('Enero 08'!C97+'Febrero 08'!C97+'Marzo 08'!C97)/3</f>
        <v>10051.666666666666</v>
      </c>
      <c r="D97" s="68">
        <f>('Enero 08'!D97+'Febrero 08'!D97+'Marzo 08'!D97)</f>
        <v>3406446</v>
      </c>
      <c r="E97" s="28">
        <f t="shared" ref="E97:E108" si="16">D97/B97</f>
        <v>825.00508597723422</v>
      </c>
      <c r="F97" s="82">
        <f t="shared" ref="F97:F108" si="17">D97/3</f>
        <v>1135482</v>
      </c>
    </row>
    <row r="98" spans="1:6" x14ac:dyDescent="0.3">
      <c r="A98" s="53" t="s">
        <v>60</v>
      </c>
      <c r="B98" s="28">
        <f>('Enero 08'!B98+'Febrero 08'!B98+'Marzo 08'!B98)/3</f>
        <v>4612.666666666667</v>
      </c>
      <c r="C98" s="28">
        <f>('Enero 08'!C98+'Febrero 08'!C98+'Marzo 08'!C98)/3</f>
        <v>9701.6666666666661</v>
      </c>
      <c r="D98" s="69">
        <f>('Enero 08'!D98+'Febrero 08'!D98+'Marzo 08'!D98)</f>
        <v>3275813</v>
      </c>
      <c r="E98" s="28">
        <f t="shared" si="16"/>
        <v>710.17769908946377</v>
      </c>
      <c r="F98" s="83">
        <f t="shared" si="17"/>
        <v>1091937.6666666667</v>
      </c>
    </row>
    <row r="99" spans="1:6" x14ac:dyDescent="0.3">
      <c r="A99" s="53" t="s">
        <v>61</v>
      </c>
      <c r="B99" s="28">
        <f>('Enero 08'!B99+'Febrero 08'!B99+'Marzo 08'!B99)/3</f>
        <v>6403.333333333333</v>
      </c>
      <c r="C99" s="28">
        <f>('Enero 08'!C99+'Febrero 08'!C99+'Marzo 08'!C99)/3</f>
        <v>14101.666666666666</v>
      </c>
      <c r="D99" s="69">
        <f>('Enero 08'!D99+'Febrero 08'!D99+'Marzo 08'!D99)</f>
        <v>4776558</v>
      </c>
      <c r="E99" s="28">
        <f t="shared" si="16"/>
        <v>745.94867256637167</v>
      </c>
      <c r="F99" s="83">
        <f t="shared" si="17"/>
        <v>1592186</v>
      </c>
    </row>
    <row r="100" spans="1:6" x14ac:dyDescent="0.3">
      <c r="A100" s="27" t="s">
        <v>62</v>
      </c>
      <c r="B100" s="28">
        <f>('Enero 08'!B100+'Febrero 08'!B100+'Marzo 08'!B100)/3</f>
        <v>3752</v>
      </c>
      <c r="C100" s="28">
        <f>('Enero 08'!C100+'Febrero 08'!C100+'Marzo 08'!C100)/3</f>
        <v>8621.3333333333339</v>
      </c>
      <c r="D100" s="69">
        <f>('Enero 08'!D100+'Febrero 08'!D100+'Marzo 08'!D100)</f>
        <v>2904056</v>
      </c>
      <c r="E100" s="28">
        <f t="shared" si="16"/>
        <v>774.00213219616205</v>
      </c>
      <c r="F100" s="83">
        <f t="shared" si="17"/>
        <v>968018.66666666663</v>
      </c>
    </row>
    <row r="101" spans="1:6" x14ac:dyDescent="0.3">
      <c r="A101" s="27" t="s">
        <v>63</v>
      </c>
      <c r="B101" s="28">
        <f>('Enero 08'!B101+'Febrero 08'!B101+'Marzo 08'!B101)/3</f>
        <v>3164.3333333333335</v>
      </c>
      <c r="C101" s="28">
        <f>('Enero 08'!C101+'Febrero 08'!C101+'Marzo 08'!C101)/3</f>
        <v>7961.666666666667</v>
      </c>
      <c r="D101" s="69">
        <f>('Enero 08'!D101+'Febrero 08'!D101+'Marzo 08'!D101)</f>
        <v>2688348</v>
      </c>
      <c r="E101" s="28">
        <f t="shared" si="16"/>
        <v>849.57800484567576</v>
      </c>
      <c r="F101" s="83">
        <f t="shared" si="17"/>
        <v>896116</v>
      </c>
    </row>
    <row r="102" spans="1:6" x14ac:dyDescent="0.3">
      <c r="A102" s="27" t="s">
        <v>64</v>
      </c>
      <c r="B102" s="28">
        <f>('Enero 08'!B102+'Febrero 08'!B102+'Marzo 08'!B102)/3</f>
        <v>6953.666666666667</v>
      </c>
      <c r="C102" s="28">
        <f>('Enero 08'!C102+'Febrero 08'!C102+'Marzo 08'!C102)/3</f>
        <v>16331.666666666666</v>
      </c>
      <c r="D102" s="69">
        <f>('Enero 08'!D102+'Febrero 08'!D102+'Marzo 08'!D102)</f>
        <v>5445424</v>
      </c>
      <c r="E102" s="28">
        <f t="shared" si="16"/>
        <v>783.10109774219836</v>
      </c>
      <c r="F102" s="83">
        <f t="shared" si="17"/>
        <v>1815141.3333333333</v>
      </c>
    </row>
    <row r="103" spans="1:6" x14ac:dyDescent="0.3">
      <c r="A103" s="27" t="s">
        <v>65</v>
      </c>
      <c r="B103" s="28">
        <f>('Enero 08'!B103+'Febrero 08'!B103+'Marzo 08'!B103)/3</f>
        <v>4897</v>
      </c>
      <c r="C103" s="28">
        <f>('Enero 08'!C103+'Febrero 08'!C103+'Marzo 08'!C103)/3</f>
        <v>11662.666666666666</v>
      </c>
      <c r="D103" s="69">
        <f>('Enero 08'!D103+'Febrero 08'!D103+'Marzo 08'!D103)</f>
        <v>3887956</v>
      </c>
      <c r="E103" s="28">
        <f t="shared" si="16"/>
        <v>793.9464978558301</v>
      </c>
      <c r="F103" s="83">
        <f t="shared" si="17"/>
        <v>1295985.3333333333</v>
      </c>
    </row>
    <row r="104" spans="1:6" x14ac:dyDescent="0.3">
      <c r="A104" s="27" t="s">
        <v>66</v>
      </c>
      <c r="B104" s="28">
        <f>('Enero 08'!B104+'Febrero 08'!B104+'Marzo 08'!B104)/3</f>
        <v>4007</v>
      </c>
      <c r="C104" s="28">
        <f>('Enero 08'!C104+'Febrero 08'!C104+'Marzo 08'!C104)/3</f>
        <v>9815</v>
      </c>
      <c r="D104" s="69">
        <f>('Enero 08'!D104+'Febrero 08'!D104+'Marzo 08'!D104)</f>
        <v>3265181</v>
      </c>
      <c r="E104" s="28">
        <f t="shared" si="16"/>
        <v>814.86922884951332</v>
      </c>
      <c r="F104" s="83">
        <f t="shared" si="17"/>
        <v>1088393.6666666667</v>
      </c>
    </row>
    <row r="105" spans="1:6" x14ac:dyDescent="0.3">
      <c r="A105" s="27" t="s">
        <v>98</v>
      </c>
      <c r="B105" s="28">
        <f>('Enero 08'!B105+'Febrero 08'!B105+'Marzo 08'!B105)/3</f>
        <v>25902</v>
      </c>
      <c r="C105" s="28">
        <f>('Enero 08'!C105+'Febrero 08'!C105+'Marzo 08'!C105)/3</f>
        <v>58935</v>
      </c>
      <c r="D105" s="69">
        <f>('Enero 08'!D105+'Febrero 08'!D105+'Marzo 08'!D105)</f>
        <v>19987451</v>
      </c>
      <c r="E105" s="28">
        <f t="shared" si="16"/>
        <v>771.65666743880786</v>
      </c>
      <c r="F105" s="83">
        <f t="shared" si="17"/>
        <v>6662483.666666667</v>
      </c>
    </row>
    <row r="106" spans="1:6" x14ac:dyDescent="0.3">
      <c r="A106" s="27" t="s">
        <v>67</v>
      </c>
      <c r="B106" s="28">
        <f>('Enero 08'!B106+'Febrero 08'!B106+'Marzo 08'!B106)/3</f>
        <v>4633.666666666667</v>
      </c>
      <c r="C106" s="28">
        <f>('Enero 08'!C106+'Febrero 08'!C106+'Marzo 08'!C106)/3</f>
        <v>11045.333333333334</v>
      </c>
      <c r="D106" s="69">
        <f>('Enero 08'!D106+'Febrero 08'!D106+'Marzo 08'!D106)</f>
        <v>3723866</v>
      </c>
      <c r="E106" s="28">
        <f t="shared" si="16"/>
        <v>803.65426947701599</v>
      </c>
      <c r="F106" s="83">
        <f t="shared" si="17"/>
        <v>1241288.6666666667</v>
      </c>
    </row>
    <row r="107" spans="1:6" ht="19.5" thickBot="1" x14ac:dyDescent="0.35">
      <c r="A107" s="27" t="s">
        <v>68</v>
      </c>
      <c r="B107" s="30">
        <f>('Enero 08'!B107+'Febrero 08'!B107+'Marzo 08'!B107)/3</f>
        <v>6810.666666666667</v>
      </c>
      <c r="C107" s="30">
        <f>('Enero 08'!C107+'Febrero 08'!C107+'Marzo 08'!C107)/3</f>
        <v>15101.666666666666</v>
      </c>
      <c r="D107" s="70">
        <f>('Enero 08'!D107+'Febrero 08'!D107+'Marzo 08'!D107)</f>
        <v>5057783</v>
      </c>
      <c r="E107" s="28">
        <f t="shared" si="16"/>
        <v>742.62671299921692</v>
      </c>
      <c r="F107" s="84">
        <f t="shared" si="17"/>
        <v>1685927.6666666667</v>
      </c>
    </row>
    <row r="108" spans="1:6" ht="19.5" thickBot="1" x14ac:dyDescent="0.35">
      <c r="A108" s="32" t="s">
        <v>91</v>
      </c>
      <c r="B108" s="44">
        <f>SUM(B97:B107)</f>
        <v>75265.333333333343</v>
      </c>
      <c r="C108" s="44">
        <f>SUM(C97:C107)</f>
        <v>173329.33333333334</v>
      </c>
      <c r="D108" s="78">
        <f>SUM(D97:D107)</f>
        <v>58418882</v>
      </c>
      <c r="E108" s="57">
        <f t="shared" si="16"/>
        <v>776.17250084146747</v>
      </c>
      <c r="F108" s="71">
        <f t="shared" si="17"/>
        <v>19472960.666666668</v>
      </c>
    </row>
    <row r="109" spans="1:6" ht="19.5" thickBot="1" x14ac:dyDescent="0.35">
      <c r="A109" s="48"/>
      <c r="B109" s="49"/>
      <c r="C109" s="49"/>
      <c r="D109" s="76"/>
      <c r="E109" s="50"/>
      <c r="F109" s="85"/>
    </row>
    <row r="110" spans="1:6" ht="19.5" thickBot="1" x14ac:dyDescent="0.35">
      <c r="A110" s="22" t="s">
        <v>9</v>
      </c>
      <c r="B110" s="46"/>
      <c r="C110" s="46"/>
      <c r="D110" s="67"/>
      <c r="E110" s="46"/>
      <c r="F110" s="86"/>
    </row>
    <row r="111" spans="1:6" x14ac:dyDescent="0.3">
      <c r="A111" s="25" t="s">
        <v>99</v>
      </c>
      <c r="B111" s="41">
        <f>('Enero 08'!B111+'Febrero 08'!B111+'Marzo 08'!B111)/3</f>
        <v>1207</v>
      </c>
      <c r="C111" s="41">
        <f>('Enero 08'!C111+'Febrero 08'!C111+'Marzo 08'!C111)/3</f>
        <v>2942.6666666666665</v>
      </c>
      <c r="D111" s="68">
        <f>('Enero 08'!D111+'Febrero 08'!D111+'Marzo 08'!D111)</f>
        <v>1000850</v>
      </c>
      <c r="E111" s="28">
        <f>D111/B111</f>
        <v>829.20463960231984</v>
      </c>
      <c r="F111" s="82">
        <f>D111/3</f>
        <v>333616.66666666669</v>
      </c>
    </row>
    <row r="112" spans="1:6" x14ac:dyDescent="0.3">
      <c r="A112" s="27" t="s">
        <v>100</v>
      </c>
      <c r="B112" s="28">
        <f>('Enero 08'!B112+'Febrero 08'!B112+'Marzo 08'!B112)/3</f>
        <v>8973.6666666666661</v>
      </c>
      <c r="C112" s="28">
        <f>('Enero 08'!C112+'Febrero 08'!C112+'Marzo 08'!C112)/3</f>
        <v>18705.333333333332</v>
      </c>
      <c r="D112" s="69">
        <f>('Enero 08'!D112+'Febrero 08'!D112+'Marzo 08'!D112)</f>
        <v>6380095</v>
      </c>
      <c r="E112" s="28">
        <f>D112/B112</f>
        <v>710.97971843542223</v>
      </c>
      <c r="F112" s="83">
        <f>D112/3</f>
        <v>2126698.3333333335</v>
      </c>
    </row>
    <row r="113" spans="1:6" x14ac:dyDescent="0.3">
      <c r="A113" s="27" t="s">
        <v>101</v>
      </c>
      <c r="B113" s="28">
        <f>('Enero 08'!B113+'Febrero 08'!B113+'Marzo 08'!B113)/3</f>
        <v>27990.333333333332</v>
      </c>
      <c r="C113" s="28">
        <f>('Enero 08'!C113+'Febrero 08'!C113+'Marzo 08'!C113)/3</f>
        <v>60159.333333333336</v>
      </c>
      <c r="D113" s="69">
        <f>('Enero 08'!D113+'Febrero 08'!D113+'Marzo 08'!D113)</f>
        <v>20562715</v>
      </c>
      <c r="E113" s="28">
        <f>D113/B113</f>
        <v>734.63630300937234</v>
      </c>
      <c r="F113" s="83">
        <f>D113/3</f>
        <v>6854238.333333333</v>
      </c>
    </row>
    <row r="114" spans="1:6" ht="19.5" thickBot="1" x14ac:dyDescent="0.35">
      <c r="A114" s="51" t="s">
        <v>102</v>
      </c>
      <c r="B114" s="30">
        <f>('Enero 08'!B114+'Febrero 08'!B114+'Marzo 08'!B114)/3</f>
        <v>10404.666666666666</v>
      </c>
      <c r="C114" s="30">
        <f>('Enero 08'!C114+'Febrero 08'!C114+'Marzo 08'!C114)/3</f>
        <v>21352.666666666668</v>
      </c>
      <c r="D114" s="70">
        <f>('Enero 08'!D114+'Febrero 08'!D114+'Marzo 08'!D114)</f>
        <v>7385129</v>
      </c>
      <c r="E114" s="28">
        <f>D114/B114</f>
        <v>709.7900621515987</v>
      </c>
      <c r="F114" s="84">
        <f>D114/3</f>
        <v>2461709.6666666665</v>
      </c>
    </row>
    <row r="115" spans="1:6" ht="19.5" thickBot="1" x14ac:dyDescent="0.35">
      <c r="A115" s="32" t="s">
        <v>91</v>
      </c>
      <c r="B115" s="44">
        <f>SUM(B111:B114)</f>
        <v>48575.666666666664</v>
      </c>
      <c r="C115" s="44">
        <f>SUM(C111:C114)</f>
        <v>103160.00000000001</v>
      </c>
      <c r="D115" s="78">
        <f>SUM(D111:D114)</f>
        <v>35328789</v>
      </c>
      <c r="E115" s="57">
        <f>D115/B115</f>
        <v>727.29396062500427</v>
      </c>
      <c r="F115" s="71">
        <f>D115/3</f>
        <v>11776263</v>
      </c>
    </row>
    <row r="116" spans="1:6" ht="19.5" thickBot="1" x14ac:dyDescent="0.35">
      <c r="A116" s="48"/>
      <c r="B116" s="49"/>
      <c r="C116" s="49"/>
      <c r="D116" s="76"/>
      <c r="E116" s="50"/>
      <c r="F116" s="85"/>
    </row>
    <row r="117" spans="1:6" ht="19.5" thickBot="1" x14ac:dyDescent="0.35">
      <c r="A117" s="58" t="s">
        <v>74</v>
      </c>
      <c r="B117" s="55">
        <f>(B15+B29+B41+B51+B60+B69+B82+B94+B108+B115)</f>
        <v>510126.00000000006</v>
      </c>
      <c r="C117" s="55">
        <f>(C15+C29+C41+C51+C60+C69+C82+C94+C108+C115)</f>
        <v>1104791.6666666667</v>
      </c>
      <c r="D117" s="74">
        <f>(D15+D29+D41+D51+D60+D69+D82+D94+D108+D115)</f>
        <v>374800165</v>
      </c>
      <c r="E117" s="57">
        <f>D117/B117</f>
        <v>734.72076506588564</v>
      </c>
      <c r="F117" s="71">
        <f>D117/3</f>
        <v>124933388.33333333</v>
      </c>
    </row>
  </sheetData>
  <mergeCells count="5">
    <mergeCell ref="A5:F5"/>
    <mergeCell ref="A1:F1"/>
    <mergeCell ref="A2:F2"/>
    <mergeCell ref="A3:F3"/>
    <mergeCell ref="A4:F4"/>
  </mergeCells>
  <phoneticPr fontId="0" type="noConversion"/>
  <pageMargins left="0.75" right="0.75" top="1" bottom="1" header="0.5" footer="0.5"/>
  <pageSetup scale="8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7"/>
  <sheetViews>
    <sheetView topLeftCell="A103" zoomScale="75" zoomScaleNormal="100" workbookViewId="0">
      <selection activeCell="A33" sqref="A33:XFD34"/>
    </sheetView>
  </sheetViews>
  <sheetFormatPr defaultRowHeight="18.75" x14ac:dyDescent="0.3"/>
  <cols>
    <col min="1" max="1" width="23.42578125" style="56" customWidth="1"/>
    <col min="2" max="3" width="15.7109375" style="18" customWidth="1"/>
    <col min="4" max="4" width="18" style="79" customWidth="1"/>
    <col min="5" max="5" width="15.7109375" style="18" customWidth="1"/>
    <col min="6" max="6" width="17.28515625" style="79" customWidth="1"/>
    <col min="7" max="16" width="9.140625" style="18"/>
    <col min="17" max="16384" width="9.140625" style="1"/>
  </cols>
  <sheetData>
    <row r="1" spans="1:6" x14ac:dyDescent="0.3">
      <c r="A1" s="356" t="s">
        <v>10</v>
      </c>
      <c r="B1" s="356"/>
      <c r="C1" s="356"/>
      <c r="D1" s="356"/>
      <c r="E1" s="356"/>
      <c r="F1" s="355"/>
    </row>
    <row r="2" spans="1:6" x14ac:dyDescent="0.3">
      <c r="A2" s="356" t="s">
        <v>71</v>
      </c>
      <c r="B2" s="356"/>
      <c r="C2" s="356"/>
      <c r="D2" s="356"/>
      <c r="E2" s="356"/>
      <c r="F2" s="355"/>
    </row>
    <row r="3" spans="1:6" x14ac:dyDescent="0.3">
      <c r="A3" s="357" t="s">
        <v>113</v>
      </c>
      <c r="B3" s="357"/>
      <c r="C3" s="357"/>
      <c r="D3" s="357"/>
      <c r="E3" s="357"/>
      <c r="F3" s="363"/>
    </row>
    <row r="4" spans="1:6" x14ac:dyDescent="0.3">
      <c r="A4" s="356" t="s">
        <v>81</v>
      </c>
      <c r="B4" s="356"/>
      <c r="C4" s="356"/>
      <c r="D4" s="356"/>
      <c r="E4" s="356"/>
      <c r="F4" s="356"/>
    </row>
    <row r="5" spans="1:6" ht="19.5" thickBot="1" x14ac:dyDescent="0.35">
      <c r="A5" s="354"/>
      <c r="B5" s="355"/>
      <c r="C5" s="355"/>
      <c r="D5" s="355"/>
      <c r="E5" s="355"/>
      <c r="F5" s="355"/>
    </row>
    <row r="6" spans="1:6" ht="57" thickBot="1" x14ac:dyDescent="0.35">
      <c r="A6" s="19"/>
      <c r="B6" s="20" t="s">
        <v>75</v>
      </c>
      <c r="C6" s="21" t="s">
        <v>76</v>
      </c>
      <c r="D6" s="66" t="s">
        <v>77</v>
      </c>
      <c r="E6" s="21" t="s">
        <v>78</v>
      </c>
      <c r="F6" s="80" t="s">
        <v>79</v>
      </c>
    </row>
    <row r="7" spans="1:6" ht="21.75" customHeight="1" thickBot="1" x14ac:dyDescent="0.35">
      <c r="A7" s="22" t="s">
        <v>0</v>
      </c>
      <c r="B7" s="23"/>
      <c r="C7" s="23"/>
      <c r="D7" s="67"/>
      <c r="E7" s="23"/>
      <c r="F7" s="81"/>
    </row>
    <row r="8" spans="1:6" x14ac:dyDescent="0.3">
      <c r="A8" s="25" t="s">
        <v>11</v>
      </c>
      <c r="B8" s="41">
        <f>('Abril 08'!B8+'Mayo 08'!B8+'Junio 08'!B8)/3</f>
        <v>5963</v>
      </c>
      <c r="C8" s="41">
        <f>('Abril 08'!C8+'Mayo 08'!C8+'Junio 08'!C8)/3</f>
        <v>13629.666666666666</v>
      </c>
      <c r="D8" s="68">
        <f>('Abril 08'!D8+'Mayo 08'!D8+'Junio 08'!D8)</f>
        <v>4507908</v>
      </c>
      <c r="E8" s="26">
        <f>D8/B8</f>
        <v>755.97987590139189</v>
      </c>
      <c r="F8" s="82">
        <f t="shared" ref="F8:F15" si="0">D8/3</f>
        <v>1502636</v>
      </c>
    </row>
    <row r="9" spans="1:6" x14ac:dyDescent="0.3">
      <c r="A9" s="27" t="s">
        <v>84</v>
      </c>
      <c r="B9" s="28">
        <f>('Abril 08'!B9+'Mayo 08'!B9+'Junio 08'!B9)/3</f>
        <v>10035.666666666666</v>
      </c>
      <c r="C9" s="28">
        <f>('Abril 08'!C9+'Mayo 08'!C9+'Junio 08'!C9)/3</f>
        <v>19520.666666666668</v>
      </c>
      <c r="D9" s="69">
        <f>('Abril 08'!D9+'Mayo 08'!D9+'Junio 08'!D9)</f>
        <v>7101761</v>
      </c>
      <c r="E9" s="28">
        <f t="shared" ref="E9:E15" si="1">D9/B9</f>
        <v>707.65214069817659</v>
      </c>
      <c r="F9" s="83">
        <f t="shared" si="0"/>
        <v>2367253.6666666665</v>
      </c>
    </row>
    <row r="10" spans="1:6" x14ac:dyDescent="0.3">
      <c r="A10" s="27" t="s">
        <v>12</v>
      </c>
      <c r="B10" s="28">
        <f>('Abril 08'!B10+'Mayo 08'!B10+'Junio 08'!B10)/3</f>
        <v>6805</v>
      </c>
      <c r="C10" s="28">
        <f>('Abril 08'!C10+'Mayo 08'!C10+'Junio 08'!C10)/3</f>
        <v>14412</v>
      </c>
      <c r="D10" s="69">
        <f>('Abril 08'!D10+'Mayo 08'!D10+'Junio 08'!D10)</f>
        <v>4809953</v>
      </c>
      <c r="E10" s="28">
        <f t="shared" si="1"/>
        <v>706.82630418809697</v>
      </c>
      <c r="F10" s="83">
        <f t="shared" si="0"/>
        <v>1603317.6666666667</v>
      </c>
    </row>
    <row r="11" spans="1:6" x14ac:dyDescent="0.3">
      <c r="A11" s="27" t="s">
        <v>13</v>
      </c>
      <c r="B11" s="28">
        <f>('Abril 08'!B11+'Mayo 08'!B11+'Junio 08'!B11)/3</f>
        <v>1727.6666666666667</v>
      </c>
      <c r="C11" s="28">
        <f>('Abril 08'!C11+'Mayo 08'!C11+'Junio 08'!C11)/3</f>
        <v>3825.6666666666665</v>
      </c>
      <c r="D11" s="69">
        <f>('Abril 08'!D11+'Mayo 08'!D11+'Junio 08'!D11)</f>
        <v>1295442</v>
      </c>
      <c r="E11" s="28">
        <f t="shared" si="1"/>
        <v>749.82172486976651</v>
      </c>
      <c r="F11" s="83">
        <f t="shared" si="0"/>
        <v>431814</v>
      </c>
    </row>
    <row r="12" spans="1:6" x14ac:dyDescent="0.3">
      <c r="A12" s="27" t="s">
        <v>14</v>
      </c>
      <c r="B12" s="28">
        <f>('Abril 08'!B12+'Mayo 08'!B12+'Junio 08'!B12)/3</f>
        <v>7114.666666666667</v>
      </c>
      <c r="C12" s="28">
        <f>('Abril 08'!C12+'Mayo 08'!C12+'Junio 08'!C12)/3</f>
        <v>16134.666666666666</v>
      </c>
      <c r="D12" s="69">
        <f>('Abril 08'!D12+'Mayo 08'!D12+'Junio 08'!D12)</f>
        <v>5424042</v>
      </c>
      <c r="E12" s="28">
        <f t="shared" si="1"/>
        <v>762.37471889055473</v>
      </c>
      <c r="F12" s="83">
        <f t="shared" si="0"/>
        <v>1808014</v>
      </c>
    </row>
    <row r="13" spans="1:6" x14ac:dyDescent="0.3">
      <c r="A13" s="27" t="s">
        <v>15</v>
      </c>
      <c r="B13" s="28">
        <f>('Abril 08'!B13+'Mayo 08'!B13+'Junio 08'!B13)/3</f>
        <v>2502.6666666666665</v>
      </c>
      <c r="C13" s="28">
        <f>('Abril 08'!C13+'Mayo 08'!C13+'Junio 08'!C13)/3</f>
        <v>5098</v>
      </c>
      <c r="D13" s="69">
        <f>('Abril 08'!D13+'Mayo 08'!D13+'Junio 08'!D13)</f>
        <v>1716516</v>
      </c>
      <c r="E13" s="28">
        <f t="shared" si="1"/>
        <v>685.87480021310603</v>
      </c>
      <c r="F13" s="83">
        <f t="shared" si="0"/>
        <v>572172</v>
      </c>
    </row>
    <row r="14" spans="1:6" ht="19.5" thickBot="1" x14ac:dyDescent="0.35">
      <c r="A14" s="29" t="s">
        <v>72</v>
      </c>
      <c r="B14" s="30">
        <f>('Abril 08'!B14+'Mayo 08'!B14+'Junio 08'!B14)/3</f>
        <v>8749</v>
      </c>
      <c r="C14" s="30">
        <f>('Abril 08'!C14+'Mayo 08'!C14+'Junio 08'!C14)/3</f>
        <v>18044</v>
      </c>
      <c r="D14" s="70">
        <f>('Abril 08'!D14+'Mayo 08'!D14+'Junio 08'!D14)</f>
        <v>6129164</v>
      </c>
      <c r="E14" s="31">
        <f t="shared" si="1"/>
        <v>700.55594925134301</v>
      </c>
      <c r="F14" s="84">
        <f t="shared" si="0"/>
        <v>2043054.6666666667</v>
      </c>
    </row>
    <row r="15" spans="1:6" ht="19.5" thickBot="1" x14ac:dyDescent="0.35">
      <c r="A15" s="32" t="s">
        <v>85</v>
      </c>
      <c r="B15" s="57">
        <f>SUM(B8:B14)</f>
        <v>42897.666666666664</v>
      </c>
      <c r="C15" s="57">
        <f>SUM(C8:C14)</f>
        <v>90664.666666666672</v>
      </c>
      <c r="D15" s="71">
        <f>SUM(D8:D14)</f>
        <v>30984786</v>
      </c>
      <c r="E15" s="57">
        <f t="shared" si="1"/>
        <v>722.29536960052224</v>
      </c>
      <c r="F15" s="71">
        <f t="shared" si="0"/>
        <v>10328262</v>
      </c>
    </row>
    <row r="16" spans="1:6" ht="19.5" thickBot="1" x14ac:dyDescent="0.35">
      <c r="A16" s="35"/>
      <c r="B16" s="36"/>
      <c r="C16" s="36"/>
      <c r="D16" s="72"/>
      <c r="E16" s="36"/>
      <c r="F16" s="85"/>
    </row>
    <row r="17" spans="1:16" ht="19.5" thickBot="1" x14ac:dyDescent="0.35">
      <c r="A17" s="37" t="s">
        <v>1</v>
      </c>
      <c r="B17" s="38"/>
      <c r="C17" s="38"/>
      <c r="D17" s="73"/>
      <c r="E17" s="38"/>
      <c r="F17" s="86"/>
    </row>
    <row r="18" spans="1:16" s="2" customFormat="1" x14ac:dyDescent="0.3">
      <c r="A18" s="40" t="s">
        <v>86</v>
      </c>
      <c r="B18" s="41">
        <f>('Abril 08'!B18+'Mayo 08'!B18+'Junio 08'!B18)/3</f>
        <v>17454</v>
      </c>
      <c r="C18" s="41">
        <f>('Abril 08'!C18+'Mayo 08'!C18+'Junio 08'!C18)/3</f>
        <v>34975.333333333336</v>
      </c>
      <c r="D18" s="68">
        <f>('Abril 08'!D18+'Mayo 08'!D18+'Junio 08'!D18)</f>
        <v>12005517</v>
      </c>
      <c r="E18" s="28">
        <f t="shared" ref="E18:E29" si="2">D18/B18</f>
        <v>687.83757304915775</v>
      </c>
      <c r="F18" s="82">
        <f t="shared" ref="F18:F29" si="3">D18/3</f>
        <v>4001839</v>
      </c>
      <c r="G18" s="42"/>
      <c r="H18" s="42"/>
      <c r="I18" s="42"/>
      <c r="J18" s="42"/>
      <c r="K18" s="42"/>
      <c r="L18" s="42"/>
      <c r="M18" s="42"/>
      <c r="N18" s="42"/>
      <c r="O18" s="42"/>
      <c r="P18" s="42"/>
    </row>
    <row r="19" spans="1:16" x14ac:dyDescent="0.3">
      <c r="A19" s="25" t="s">
        <v>16</v>
      </c>
      <c r="B19" s="28">
        <f>('Abril 08'!B19+'Mayo 08'!B19+'Junio 08'!B19)/3</f>
        <v>4849.666666666667</v>
      </c>
      <c r="C19" s="28">
        <f>('Abril 08'!C19+'Mayo 08'!C19+'Junio 08'!C19)/3</f>
        <v>10150</v>
      </c>
      <c r="D19" s="69">
        <f>('Abril 08'!D19+'Mayo 08'!D19+'Junio 08'!D19)</f>
        <v>3450817</v>
      </c>
      <c r="E19" s="28">
        <f t="shared" si="2"/>
        <v>711.55756409375215</v>
      </c>
      <c r="F19" s="83">
        <f t="shared" si="3"/>
        <v>1150272.3333333333</v>
      </c>
    </row>
    <row r="20" spans="1:16" x14ac:dyDescent="0.3">
      <c r="A20" s="27" t="s">
        <v>17</v>
      </c>
      <c r="B20" s="28">
        <f>('Abril 08'!B20+'Mayo 08'!B20+'Junio 08'!B20)/3</f>
        <v>6136</v>
      </c>
      <c r="C20" s="28">
        <f>('Abril 08'!C20+'Mayo 08'!C20+'Junio 08'!C20)/3</f>
        <v>13004.666666666666</v>
      </c>
      <c r="D20" s="69">
        <f>('Abril 08'!D20+'Mayo 08'!D20+'Junio 08'!D20)</f>
        <v>4358862</v>
      </c>
      <c r="E20" s="28">
        <f t="shared" si="2"/>
        <v>710.37516297262061</v>
      </c>
      <c r="F20" s="83">
        <f t="shared" si="3"/>
        <v>1452954</v>
      </c>
    </row>
    <row r="21" spans="1:16" x14ac:dyDescent="0.3">
      <c r="A21" s="27" t="s">
        <v>18</v>
      </c>
      <c r="B21" s="28">
        <f>('Abril 08'!B21+'Mayo 08'!B21+'Junio 08'!B21)/3</f>
        <v>3957.6666666666665</v>
      </c>
      <c r="C21" s="28">
        <f>('Abril 08'!C21+'Mayo 08'!C21+'Junio 08'!C21)/3</f>
        <v>8807.3333333333339</v>
      </c>
      <c r="D21" s="69">
        <f>('Abril 08'!D21+'Mayo 08'!D21+'Junio 08'!D21)</f>
        <v>2948898</v>
      </c>
      <c r="E21" s="28">
        <f t="shared" si="2"/>
        <v>745.11025014739323</v>
      </c>
      <c r="F21" s="83">
        <f t="shared" si="3"/>
        <v>982966</v>
      </c>
    </row>
    <row r="22" spans="1:16" x14ac:dyDescent="0.3">
      <c r="A22" s="27" t="s">
        <v>19</v>
      </c>
      <c r="B22" s="28">
        <f>('Abril 08'!B22+'Mayo 08'!B22+'Junio 08'!B22)/3</f>
        <v>2553.3333333333335</v>
      </c>
      <c r="C22" s="28">
        <f>('Abril 08'!C22+'Mayo 08'!C22+'Junio 08'!C22)/3</f>
        <v>5649</v>
      </c>
      <c r="D22" s="69">
        <f>('Abril 08'!D22+'Mayo 08'!D22+'Junio 08'!D22)</f>
        <v>1893248</v>
      </c>
      <c r="E22" s="28">
        <f t="shared" si="2"/>
        <v>741.4809399477806</v>
      </c>
      <c r="F22" s="83">
        <f t="shared" si="3"/>
        <v>631082.66666666663</v>
      </c>
    </row>
    <row r="23" spans="1:16" x14ac:dyDescent="0.3">
      <c r="A23" s="27" t="s">
        <v>20</v>
      </c>
      <c r="B23" s="28">
        <f>('Abril 08'!B23+'Mayo 08'!B23+'Junio 08'!B23)/3</f>
        <v>6906</v>
      </c>
      <c r="C23" s="28">
        <f>('Abril 08'!C23+'Mayo 08'!C23+'Junio 08'!C23)/3</f>
        <v>14760.333333333334</v>
      </c>
      <c r="D23" s="69">
        <f>('Abril 08'!D23+'Mayo 08'!D23+'Junio 08'!D23)</f>
        <v>4972770</v>
      </c>
      <c r="E23" s="28">
        <f t="shared" si="2"/>
        <v>720.06516072980014</v>
      </c>
      <c r="F23" s="83">
        <f t="shared" si="3"/>
        <v>1657590</v>
      </c>
    </row>
    <row r="24" spans="1:16" x14ac:dyDescent="0.3">
      <c r="A24" s="27" t="s">
        <v>21</v>
      </c>
      <c r="B24" s="28">
        <f>('Abril 08'!B24+'Mayo 08'!B24+'Junio 08'!B24)/3</f>
        <v>6275</v>
      </c>
      <c r="C24" s="28">
        <f>('Abril 08'!C24+'Mayo 08'!C24+'Junio 08'!C24)/3</f>
        <v>14212.666666666666</v>
      </c>
      <c r="D24" s="69">
        <f>('Abril 08'!D24+'Mayo 08'!D24+'Junio 08'!D24)</f>
        <v>4796601</v>
      </c>
      <c r="E24" s="28">
        <f t="shared" si="2"/>
        <v>764.39856573705174</v>
      </c>
      <c r="F24" s="83">
        <f t="shared" si="3"/>
        <v>1598867</v>
      </c>
    </row>
    <row r="25" spans="1:16" x14ac:dyDescent="0.3">
      <c r="A25" s="27" t="s">
        <v>69</v>
      </c>
      <c r="B25" s="28">
        <f>('Abril 08'!B25+'Mayo 08'!B25+'Junio 08'!B25)/3</f>
        <v>8172</v>
      </c>
      <c r="C25" s="28">
        <f>('Abril 08'!C25+'Mayo 08'!C25+'Junio 08'!C25)/3</f>
        <v>16772.666666666668</v>
      </c>
      <c r="D25" s="69">
        <f>('Abril 08'!D25+'Mayo 08'!D25+'Junio 08'!D25)</f>
        <v>5697344</v>
      </c>
      <c r="E25" s="28">
        <f t="shared" si="2"/>
        <v>697.17865883504646</v>
      </c>
      <c r="F25" s="83">
        <f t="shared" si="3"/>
        <v>1899114.6666666667</v>
      </c>
    </row>
    <row r="26" spans="1:16" x14ac:dyDescent="0.3">
      <c r="A26" s="27" t="s">
        <v>22</v>
      </c>
      <c r="B26" s="28">
        <f>('Abril 08'!B26+'Mayo 08'!B26+'Junio 08'!B26)/3</f>
        <v>5288</v>
      </c>
      <c r="C26" s="28">
        <f>('Abril 08'!C26+'Mayo 08'!C26+'Junio 08'!C26)/3</f>
        <v>12713</v>
      </c>
      <c r="D26" s="69">
        <f>('Abril 08'!D26+'Mayo 08'!D26+'Junio 08'!D26)</f>
        <v>4208673</v>
      </c>
      <c r="E26" s="28">
        <f t="shared" si="2"/>
        <v>795.89126323751896</v>
      </c>
      <c r="F26" s="83">
        <f t="shared" si="3"/>
        <v>1402891</v>
      </c>
    </row>
    <row r="27" spans="1:16" x14ac:dyDescent="0.3">
      <c r="A27" s="27" t="s">
        <v>23</v>
      </c>
      <c r="B27" s="28">
        <f>('Abril 08'!B27+'Mayo 08'!B27+'Junio 08'!B27)/3</f>
        <v>4501</v>
      </c>
      <c r="C27" s="28">
        <f>('Abril 08'!C27+'Mayo 08'!C27+'Junio 08'!C27)/3</f>
        <v>9961</v>
      </c>
      <c r="D27" s="69">
        <f>('Abril 08'!D27+'Mayo 08'!D27+'Junio 08'!D27)</f>
        <v>3300703</v>
      </c>
      <c r="E27" s="28">
        <f t="shared" si="2"/>
        <v>733.32659409020221</v>
      </c>
      <c r="F27" s="83">
        <f t="shared" si="3"/>
        <v>1100234.3333333333</v>
      </c>
    </row>
    <row r="28" spans="1:16" ht="19.5" thickBot="1" x14ac:dyDescent="0.35">
      <c r="A28" s="43" t="s">
        <v>87</v>
      </c>
      <c r="B28" s="30">
        <f>('Abril 08'!B28+'Mayo 08'!B28+'Junio 08'!B28)/3</f>
        <v>6414</v>
      </c>
      <c r="C28" s="30">
        <f>('Abril 08'!C28+'Mayo 08'!C28+'Junio 08'!C28)/3</f>
        <v>14591.333333333334</v>
      </c>
      <c r="D28" s="70">
        <f>('Abril 08'!D28+'Mayo 08'!D28+'Junio 08'!D28)</f>
        <v>4927899</v>
      </c>
      <c r="E28" s="31">
        <f t="shared" si="2"/>
        <v>768.30355472404119</v>
      </c>
      <c r="F28" s="84">
        <f t="shared" si="3"/>
        <v>1642633</v>
      </c>
    </row>
    <row r="29" spans="1:16" ht="19.5" thickBot="1" x14ac:dyDescent="0.35">
      <c r="A29" s="32" t="s">
        <v>88</v>
      </c>
      <c r="B29" s="44">
        <f>SUM(B18:B28)</f>
        <v>72506.666666666672</v>
      </c>
      <c r="C29" s="44">
        <f>SUM(C18:C28)</f>
        <v>155597.33333333334</v>
      </c>
      <c r="D29" s="74">
        <f>SUM(D18:D28)</f>
        <v>52561332</v>
      </c>
      <c r="E29" s="57">
        <f t="shared" si="2"/>
        <v>724.91723059948504</v>
      </c>
      <c r="F29" s="71">
        <f t="shared" si="3"/>
        <v>17520444</v>
      </c>
    </row>
    <row r="30" spans="1:16" ht="19.5" thickBot="1" x14ac:dyDescent="0.35">
      <c r="A30" s="35"/>
      <c r="B30" s="45"/>
      <c r="C30" s="45"/>
      <c r="D30" s="75"/>
      <c r="E30" s="36"/>
      <c r="F30" s="85"/>
    </row>
    <row r="31" spans="1:16" ht="19.5" thickBot="1" x14ac:dyDescent="0.35">
      <c r="A31" s="22" t="s">
        <v>2</v>
      </c>
      <c r="B31" s="46"/>
      <c r="C31" s="46"/>
      <c r="D31" s="67"/>
      <c r="E31" s="46"/>
      <c r="F31" s="86"/>
    </row>
    <row r="32" spans="1:16" x14ac:dyDescent="0.3">
      <c r="A32" s="25" t="s">
        <v>24</v>
      </c>
      <c r="B32" s="41">
        <f>('Abril 08'!B32+'Mayo 08'!B32+'Junio 08'!B32)/3</f>
        <v>20975.666666666668</v>
      </c>
      <c r="C32" s="41">
        <f>('Abril 08'!C32+'Mayo 08'!C32+'Junio 08'!C32)/3</f>
        <v>44363.333333333336</v>
      </c>
      <c r="D32" s="68">
        <f>('Abril 08'!D32+'Mayo 08'!D32+'Junio 08'!D32)</f>
        <v>14928965</v>
      </c>
      <c r="E32" s="28">
        <f t="shared" ref="E32:E41" si="4">D32/B32</f>
        <v>711.72779569977911</v>
      </c>
      <c r="F32" s="82">
        <f t="shared" ref="F32:F41" si="5">D32/3</f>
        <v>4976321.666666667</v>
      </c>
    </row>
    <row r="33" spans="1:6" x14ac:dyDescent="0.3">
      <c r="A33" s="27" t="s">
        <v>25</v>
      </c>
      <c r="B33" s="28">
        <f>('Abril 08'!B33+'Mayo 08'!B33+'Junio 08'!B33)/3</f>
        <v>3852.3333333333335</v>
      </c>
      <c r="C33" s="28">
        <f>('Abril 08'!C33+'Mayo 08'!C33+'Junio 08'!C33)/3</f>
        <v>8590</v>
      </c>
      <c r="D33" s="69">
        <f>('Abril 08'!D33+'Mayo 08'!D33+'Junio 08'!D33)</f>
        <v>2908793</v>
      </c>
      <c r="E33" s="28">
        <f t="shared" si="4"/>
        <v>755.07302933287178</v>
      </c>
      <c r="F33" s="83">
        <f t="shared" si="5"/>
        <v>969597.66666666663</v>
      </c>
    </row>
    <row r="34" spans="1:6" x14ac:dyDescent="0.3">
      <c r="A34" s="27" t="s">
        <v>26</v>
      </c>
      <c r="B34" s="28">
        <f>('Abril 08'!B34+'Mayo 08'!B34+'Junio 08'!B34)/3</f>
        <v>6389.666666666667</v>
      </c>
      <c r="C34" s="28">
        <f>('Abril 08'!C34+'Mayo 08'!C34+'Junio 08'!C34)/3</f>
        <v>14444</v>
      </c>
      <c r="D34" s="69">
        <f>('Abril 08'!D34+'Mayo 08'!D34+'Junio 08'!D34)</f>
        <v>4809516</v>
      </c>
      <c r="E34" s="28">
        <f t="shared" si="4"/>
        <v>752.70217538734414</v>
      </c>
      <c r="F34" s="83">
        <f t="shared" si="5"/>
        <v>1603172</v>
      </c>
    </row>
    <row r="35" spans="1:6" x14ac:dyDescent="0.3">
      <c r="A35" s="27" t="s">
        <v>27</v>
      </c>
      <c r="B35" s="28">
        <f>('Abril 08'!B35+'Mayo 08'!B35+'Junio 08'!B35)/3</f>
        <v>4006.6666666666665</v>
      </c>
      <c r="C35" s="28">
        <f>('Abril 08'!C35+'Mayo 08'!C35+'Junio 08'!C35)/3</f>
        <v>8673</v>
      </c>
      <c r="D35" s="69">
        <f>('Abril 08'!D35+'Mayo 08'!D35+'Junio 08'!D35)</f>
        <v>2879523</v>
      </c>
      <c r="E35" s="28">
        <f t="shared" si="4"/>
        <v>718.68294509151417</v>
      </c>
      <c r="F35" s="83">
        <f t="shared" si="5"/>
        <v>959841</v>
      </c>
    </row>
    <row r="36" spans="1:6" x14ac:dyDescent="0.3">
      <c r="A36" s="27" t="s">
        <v>28</v>
      </c>
      <c r="B36" s="28">
        <f>('Abril 08'!B36+'Mayo 08'!B36+'Junio 08'!B36)/3</f>
        <v>4798</v>
      </c>
      <c r="C36" s="28">
        <f>('Abril 08'!C36+'Mayo 08'!C36+'Junio 08'!C36)/3</f>
        <v>10509.666666666666</v>
      </c>
      <c r="D36" s="69">
        <f>('Abril 08'!D36+'Mayo 08'!D36+'Junio 08'!D36)</f>
        <v>3465801</v>
      </c>
      <c r="E36" s="28">
        <f t="shared" si="4"/>
        <v>722.34285118799505</v>
      </c>
      <c r="F36" s="83">
        <f t="shared" si="5"/>
        <v>1155267</v>
      </c>
    </row>
    <row r="37" spans="1:6" x14ac:dyDescent="0.3">
      <c r="A37" s="27" t="s">
        <v>29</v>
      </c>
      <c r="B37" s="28">
        <f>('Abril 08'!B37+'Mayo 08'!B37+'Junio 08'!B37)/3</f>
        <v>7610.666666666667</v>
      </c>
      <c r="C37" s="28">
        <f>('Abril 08'!C37+'Mayo 08'!C37+'Junio 08'!C37)/3</f>
        <v>17353.666666666668</v>
      </c>
      <c r="D37" s="69">
        <f>('Abril 08'!D37+'Mayo 08'!D37+'Junio 08'!D37)</f>
        <v>5766762</v>
      </c>
      <c r="E37" s="28">
        <f t="shared" si="4"/>
        <v>757.72100560616673</v>
      </c>
      <c r="F37" s="83">
        <f t="shared" si="5"/>
        <v>1922254</v>
      </c>
    </row>
    <row r="38" spans="1:6" x14ac:dyDescent="0.3">
      <c r="A38" s="27" t="s">
        <v>89</v>
      </c>
      <c r="B38" s="28">
        <f>('Abril 08'!B38+'Mayo 08'!B38+'Junio 08'!B38)/3</f>
        <v>9304.6666666666661</v>
      </c>
      <c r="C38" s="28">
        <f>('Abril 08'!C38+'Mayo 08'!C38+'Junio 08'!C38)/3</f>
        <v>20267</v>
      </c>
      <c r="D38" s="69">
        <f>('Abril 08'!D38+'Mayo 08'!D38+'Junio 08'!D38)</f>
        <v>6763924</v>
      </c>
      <c r="E38" s="28">
        <f t="shared" si="4"/>
        <v>726.93888371426533</v>
      </c>
      <c r="F38" s="83">
        <f t="shared" si="5"/>
        <v>2254641.3333333335</v>
      </c>
    </row>
    <row r="39" spans="1:6" x14ac:dyDescent="0.3">
      <c r="A39" s="27" t="s">
        <v>30</v>
      </c>
      <c r="B39" s="28">
        <f>('Abril 08'!B39+'Mayo 08'!B39+'Junio 08'!B39)/3</f>
        <v>5597</v>
      </c>
      <c r="C39" s="28">
        <f>('Abril 08'!C39+'Mayo 08'!C39+'Junio 08'!C39)/3</f>
        <v>12446</v>
      </c>
      <c r="D39" s="69">
        <f>('Abril 08'!D39+'Mayo 08'!D39+'Junio 08'!D39)</f>
        <v>4177040</v>
      </c>
      <c r="E39" s="28">
        <f t="shared" si="4"/>
        <v>746.29980346614252</v>
      </c>
      <c r="F39" s="83">
        <f t="shared" si="5"/>
        <v>1392346.6666666667</v>
      </c>
    </row>
    <row r="40" spans="1:6" ht="19.5" thickBot="1" x14ac:dyDescent="0.35">
      <c r="A40" s="43" t="s">
        <v>90</v>
      </c>
      <c r="B40" s="30">
        <f>('Abril 08'!B40+'Mayo 08'!B40+'Junio 08'!B40)/3</f>
        <v>9900.6666666666661</v>
      </c>
      <c r="C40" s="30">
        <f>('Abril 08'!C40+'Mayo 08'!C40+'Junio 08'!C40)/3</f>
        <v>20985.333333333332</v>
      </c>
      <c r="D40" s="70">
        <f>('Abril 08'!D40+'Mayo 08'!D40+'Junio 08'!D40)</f>
        <v>7097343</v>
      </c>
      <c r="E40" s="31">
        <f t="shared" si="4"/>
        <v>716.85506026530209</v>
      </c>
      <c r="F40" s="84">
        <f t="shared" si="5"/>
        <v>2365781</v>
      </c>
    </row>
    <row r="41" spans="1:6" ht="19.5" thickBot="1" x14ac:dyDescent="0.35">
      <c r="A41" s="32" t="s">
        <v>91</v>
      </c>
      <c r="B41" s="44">
        <f>SUM(B32:B40)</f>
        <v>72435.333333333328</v>
      </c>
      <c r="C41" s="44">
        <f>SUM(C32:C40)</f>
        <v>157632.00000000003</v>
      </c>
      <c r="D41" s="74">
        <f>SUM(D32:D40)</f>
        <v>52797667</v>
      </c>
      <c r="E41" s="57">
        <f t="shared" si="4"/>
        <v>728.89382253596318</v>
      </c>
      <c r="F41" s="71">
        <f t="shared" si="5"/>
        <v>17599222.333333332</v>
      </c>
    </row>
    <row r="42" spans="1:6" ht="19.5" thickBot="1" x14ac:dyDescent="0.35">
      <c r="A42" s="48"/>
      <c r="B42" s="49"/>
      <c r="C42" s="49"/>
      <c r="D42" s="76"/>
      <c r="E42" s="50"/>
      <c r="F42" s="85"/>
    </row>
    <row r="43" spans="1:6" ht="19.5" thickBot="1" x14ac:dyDescent="0.35">
      <c r="A43" s="22" t="s">
        <v>3</v>
      </c>
      <c r="B43" s="46"/>
      <c r="C43" s="46"/>
      <c r="D43" s="67"/>
      <c r="E43" s="46"/>
      <c r="F43" s="86"/>
    </row>
    <row r="44" spans="1:6" x14ac:dyDescent="0.3">
      <c r="A44" s="25" t="s">
        <v>31</v>
      </c>
      <c r="B44" s="41">
        <f>('Abril 08'!B44+'Mayo 08'!B44+'Junio 08'!B44)/3</f>
        <v>3761.6666666666665</v>
      </c>
      <c r="C44" s="41">
        <f>('Abril 08'!C44+'Mayo 08'!C44+'Junio 08'!C44)/3</f>
        <v>7886.333333333333</v>
      </c>
      <c r="D44" s="68">
        <f>('Abril 08'!D44+'Mayo 08'!D44+'Junio 08'!D44)</f>
        <v>2669233</v>
      </c>
      <c r="E44" s="28">
        <f t="shared" ref="E44:E51" si="6">D44/B44</f>
        <v>709.58785999113866</v>
      </c>
      <c r="F44" s="82">
        <f t="shared" ref="F44:F51" si="7">D44/3</f>
        <v>889744.33333333337</v>
      </c>
    </row>
    <row r="45" spans="1:6" x14ac:dyDescent="0.3">
      <c r="A45" s="27" t="s">
        <v>32</v>
      </c>
      <c r="B45" s="28">
        <f>('Abril 08'!B45+'Mayo 08'!B45+'Junio 08'!B45)/3</f>
        <v>6736</v>
      </c>
      <c r="C45" s="28">
        <f>('Abril 08'!C45+'Mayo 08'!C45+'Junio 08'!C45)/3</f>
        <v>15792.333333333334</v>
      </c>
      <c r="D45" s="69">
        <f>('Abril 08'!D45+'Mayo 08'!D45+'Junio 08'!D45)</f>
        <v>5271629</v>
      </c>
      <c r="E45" s="28">
        <f t="shared" si="6"/>
        <v>782.60525534441808</v>
      </c>
      <c r="F45" s="83">
        <f t="shared" si="7"/>
        <v>1757209.6666666667</v>
      </c>
    </row>
    <row r="46" spans="1:6" x14ac:dyDescent="0.3">
      <c r="A46" s="27" t="s">
        <v>92</v>
      </c>
      <c r="B46" s="28">
        <f>('Abril 08'!B46+'Mayo 08'!B46+'Junio 08'!B46)/3</f>
        <v>16969.666666666668</v>
      </c>
      <c r="C46" s="28">
        <f>('Abril 08'!C46+'Mayo 08'!C46+'Junio 08'!C46)/3</f>
        <v>34892.333333333336</v>
      </c>
      <c r="D46" s="69">
        <f>('Abril 08'!D46+'Mayo 08'!D46+'Junio 08'!D46)</f>
        <v>11668741</v>
      </c>
      <c r="E46" s="28">
        <f t="shared" si="6"/>
        <v>687.62346539904536</v>
      </c>
      <c r="F46" s="83">
        <f t="shared" si="7"/>
        <v>3889580.3333333335</v>
      </c>
    </row>
    <row r="47" spans="1:6" x14ac:dyDescent="0.3">
      <c r="A47" s="27" t="s">
        <v>33</v>
      </c>
      <c r="B47" s="28">
        <f>('Abril 08'!B47+'Mayo 08'!B47+'Junio 08'!B47)/3</f>
        <v>5332</v>
      </c>
      <c r="C47" s="28">
        <f>('Abril 08'!C47+'Mayo 08'!C47+'Junio 08'!C47)/3</f>
        <v>11716</v>
      </c>
      <c r="D47" s="69">
        <f>('Abril 08'!D47+'Mayo 08'!D47+'Junio 08'!D47)</f>
        <v>3898178</v>
      </c>
      <c r="E47" s="28">
        <f t="shared" si="6"/>
        <v>731.09114778694675</v>
      </c>
      <c r="F47" s="83">
        <f t="shared" si="7"/>
        <v>1299392.6666666667</v>
      </c>
    </row>
    <row r="48" spans="1:6" x14ac:dyDescent="0.3">
      <c r="A48" s="27" t="s">
        <v>34</v>
      </c>
      <c r="B48" s="28">
        <f>('Abril 08'!B48+'Mayo 08'!B48+'Junio 08'!B48)/3</f>
        <v>4351.666666666667</v>
      </c>
      <c r="C48" s="28">
        <f>('Abril 08'!C48+'Mayo 08'!C48+'Junio 08'!C48)/3</f>
        <v>9200.6666666666661</v>
      </c>
      <c r="D48" s="69">
        <f>('Abril 08'!D48+'Mayo 08'!D48+'Junio 08'!D48)</f>
        <v>3119024</v>
      </c>
      <c r="E48" s="28">
        <f t="shared" si="6"/>
        <v>716.74239754883183</v>
      </c>
      <c r="F48" s="83">
        <f t="shared" si="7"/>
        <v>1039674.6666666666</v>
      </c>
    </row>
    <row r="49" spans="1:6" x14ac:dyDescent="0.3">
      <c r="A49" s="27" t="s">
        <v>35</v>
      </c>
      <c r="B49" s="28">
        <f>('Abril 08'!B49+'Mayo 08'!B49+'Junio 08'!B49)/3</f>
        <v>4110</v>
      </c>
      <c r="C49" s="28">
        <f>('Abril 08'!C49+'Mayo 08'!C49+'Junio 08'!C49)/3</f>
        <v>8297.3333333333339</v>
      </c>
      <c r="D49" s="69">
        <f>('Abril 08'!D49+'Mayo 08'!D49+'Junio 08'!D49)</f>
        <v>2803669</v>
      </c>
      <c r="E49" s="28">
        <f t="shared" si="6"/>
        <v>682.1579075425791</v>
      </c>
      <c r="F49" s="83">
        <f t="shared" si="7"/>
        <v>934556.33333333337</v>
      </c>
    </row>
    <row r="50" spans="1:6" ht="19.5" thickBot="1" x14ac:dyDescent="0.35">
      <c r="A50" s="27" t="s">
        <v>36</v>
      </c>
      <c r="B50" s="30">
        <f>('Abril 08'!B50+'Mayo 08'!B50+'Junio 08'!B50)/3</f>
        <v>6171</v>
      </c>
      <c r="C50" s="30">
        <f>('Abril 08'!C50+'Mayo 08'!C50+'Junio 08'!C50)/3</f>
        <v>12858.333333333334</v>
      </c>
      <c r="D50" s="70">
        <f>('Abril 08'!D50+'Mayo 08'!D50+'Junio 08'!D50)</f>
        <v>4307106</v>
      </c>
      <c r="E50" s="28">
        <f t="shared" si="6"/>
        <v>697.95916383082158</v>
      </c>
      <c r="F50" s="84">
        <f t="shared" si="7"/>
        <v>1435702</v>
      </c>
    </row>
    <row r="51" spans="1:6" ht="19.5" thickBot="1" x14ac:dyDescent="0.35">
      <c r="A51" s="32" t="s">
        <v>91</v>
      </c>
      <c r="B51" s="44">
        <f>SUM(B44:B50)</f>
        <v>47432</v>
      </c>
      <c r="C51" s="44">
        <f>SUM(C44:C50)</f>
        <v>100643.33333333333</v>
      </c>
      <c r="D51" s="74">
        <f>SUM(D44:D50)</f>
        <v>33737580</v>
      </c>
      <c r="E51" s="57">
        <f t="shared" si="6"/>
        <v>711.28310001686623</v>
      </c>
      <c r="F51" s="71">
        <f t="shared" si="7"/>
        <v>11245860</v>
      </c>
    </row>
    <row r="52" spans="1:6" ht="19.5" thickBot="1" x14ac:dyDescent="0.35">
      <c r="A52" s="48"/>
      <c r="B52" s="49"/>
      <c r="C52" s="49"/>
      <c r="D52" s="76"/>
      <c r="E52" s="50"/>
      <c r="F52" s="85"/>
    </row>
    <row r="53" spans="1:6" ht="19.5" thickBot="1" x14ac:dyDescent="0.35">
      <c r="A53" s="22" t="s">
        <v>4</v>
      </c>
      <c r="B53" s="46"/>
      <c r="C53" s="46"/>
      <c r="D53" s="67"/>
      <c r="E53" s="46"/>
      <c r="F53" s="86"/>
    </row>
    <row r="54" spans="1:6" x14ac:dyDescent="0.3">
      <c r="A54" s="25" t="s">
        <v>37</v>
      </c>
      <c r="B54" s="41">
        <f>('Abril 08'!B54+'Mayo 08'!B54+'Junio 08'!B54)/3</f>
        <v>6524.333333333333</v>
      </c>
      <c r="C54" s="41">
        <f>('Abril 08'!C54+'Mayo 08'!C54+'Junio 08'!C54)/3</f>
        <v>14351.333333333334</v>
      </c>
      <c r="D54" s="68">
        <f>('Abril 08'!D54+'Mayo 08'!D54+'Junio 08'!D54)</f>
        <v>4777284</v>
      </c>
      <c r="E54" s="28">
        <f t="shared" ref="E54:E60" si="8">D54/B54</f>
        <v>732.22561692126908</v>
      </c>
      <c r="F54" s="82">
        <f t="shared" ref="F54:F60" si="9">D54/3</f>
        <v>1592428</v>
      </c>
    </row>
    <row r="55" spans="1:6" x14ac:dyDescent="0.3">
      <c r="A55" s="27" t="s">
        <v>93</v>
      </c>
      <c r="B55" s="28">
        <f>('Abril 08'!B55+'Mayo 08'!B55+'Junio 08'!B55)/3</f>
        <v>14785.333333333334</v>
      </c>
      <c r="C55" s="28">
        <f>('Abril 08'!C55+'Mayo 08'!C55+'Junio 08'!C55)/3</f>
        <v>31194</v>
      </c>
      <c r="D55" s="69">
        <f>('Abril 08'!D55+'Mayo 08'!D55+'Junio 08'!D55)</f>
        <v>10448926</v>
      </c>
      <c r="E55" s="28">
        <f t="shared" si="8"/>
        <v>706.70885562268916</v>
      </c>
      <c r="F55" s="83">
        <f t="shared" si="9"/>
        <v>3482975.3333333335</v>
      </c>
    </row>
    <row r="56" spans="1:6" x14ac:dyDescent="0.3">
      <c r="A56" s="27" t="s">
        <v>94</v>
      </c>
      <c r="B56" s="28">
        <f>('Abril 08'!B56+'Mayo 08'!B56+'Junio 08'!B56)/3</f>
        <v>4286</v>
      </c>
      <c r="C56" s="28">
        <f>('Abril 08'!C56+'Mayo 08'!C56+'Junio 08'!C56)/3</f>
        <v>10091.333333333334</v>
      </c>
      <c r="D56" s="69">
        <f>('Abril 08'!D56+'Mayo 08'!D56+'Junio 08'!D56)</f>
        <v>3390078</v>
      </c>
      <c r="E56" s="28">
        <f t="shared" si="8"/>
        <v>790.96546896873542</v>
      </c>
      <c r="F56" s="83">
        <f t="shared" si="9"/>
        <v>1130026</v>
      </c>
    </row>
    <row r="57" spans="1:6" x14ac:dyDescent="0.3">
      <c r="A57" s="27" t="s">
        <v>38</v>
      </c>
      <c r="B57" s="28">
        <f>('Abril 08'!B57+'Mayo 08'!B57+'Junio 08'!B57)/3</f>
        <v>3055</v>
      </c>
      <c r="C57" s="28">
        <f>('Abril 08'!C57+'Mayo 08'!C57+'Junio 08'!C57)/3</f>
        <v>6555.333333333333</v>
      </c>
      <c r="D57" s="69">
        <f>('Abril 08'!D57+'Mayo 08'!D57+'Junio 08'!D57)</f>
        <v>2196082</v>
      </c>
      <c r="E57" s="28">
        <f t="shared" si="8"/>
        <v>718.84844517184945</v>
      </c>
      <c r="F57" s="83">
        <f t="shared" si="9"/>
        <v>732027.33333333337</v>
      </c>
    </row>
    <row r="58" spans="1:6" x14ac:dyDescent="0.3">
      <c r="A58" s="27" t="s">
        <v>95</v>
      </c>
      <c r="B58" s="28">
        <f>('Abril 08'!B58+'Mayo 08'!B58+'Junio 08'!B58)/3</f>
        <v>7409.666666666667</v>
      </c>
      <c r="C58" s="28">
        <f>('Abril 08'!C58+'Mayo 08'!C58+'Junio 08'!C58)/3</f>
        <v>15954.333333333334</v>
      </c>
      <c r="D58" s="69">
        <f>('Abril 08'!D58+'Mayo 08'!D58+'Junio 08'!D58)</f>
        <v>5329972</v>
      </c>
      <c r="E58" s="28">
        <f t="shared" si="8"/>
        <v>719.32682531827788</v>
      </c>
      <c r="F58" s="83">
        <f t="shared" si="9"/>
        <v>1776657.3333333333</v>
      </c>
    </row>
    <row r="59" spans="1:6" ht="19.5" thickBot="1" x14ac:dyDescent="0.35">
      <c r="A59" s="27" t="s">
        <v>96</v>
      </c>
      <c r="B59" s="30">
        <f>('Abril 08'!B59+'Mayo 08'!B59+'Junio 08'!B59)/3</f>
        <v>6641.333333333333</v>
      </c>
      <c r="C59" s="30">
        <f>('Abril 08'!C59+'Mayo 08'!C59+'Junio 08'!C59)/3</f>
        <v>13887.666666666666</v>
      </c>
      <c r="D59" s="70">
        <f>('Abril 08'!D59+'Mayo 08'!D59+'Junio 08'!D59)</f>
        <v>4675514</v>
      </c>
      <c r="E59" s="28">
        <f t="shared" si="8"/>
        <v>704.00230877333877</v>
      </c>
      <c r="F59" s="84">
        <f t="shared" si="9"/>
        <v>1558504.6666666667</v>
      </c>
    </row>
    <row r="60" spans="1:6" ht="19.5" thickBot="1" x14ac:dyDescent="0.35">
      <c r="A60" s="32" t="s">
        <v>91</v>
      </c>
      <c r="B60" s="44">
        <f>SUM(B54:B59)</f>
        <v>42701.666666666672</v>
      </c>
      <c r="C60" s="44">
        <f>SUM(C54:C59)</f>
        <v>92034.000000000015</v>
      </c>
      <c r="D60" s="77">
        <f>SUM(D54:D59)</f>
        <v>30817856</v>
      </c>
      <c r="E60" s="57">
        <f t="shared" si="8"/>
        <v>721.7014792552983</v>
      </c>
      <c r="F60" s="71">
        <f t="shared" si="9"/>
        <v>10272618.666666666</v>
      </c>
    </row>
    <row r="61" spans="1:6" ht="19.5" thickBot="1" x14ac:dyDescent="0.35">
      <c r="A61" s="48"/>
      <c r="B61" s="49"/>
      <c r="C61" s="49"/>
      <c r="D61" s="76"/>
      <c r="E61" s="50"/>
      <c r="F61" s="85"/>
    </row>
    <row r="62" spans="1:6" ht="19.5" thickBot="1" x14ac:dyDescent="0.35">
      <c r="A62" s="22" t="s">
        <v>5</v>
      </c>
      <c r="B62" s="46"/>
      <c r="C62" s="46"/>
      <c r="D62" s="67"/>
      <c r="E62" s="46"/>
      <c r="F62" s="86"/>
    </row>
    <row r="63" spans="1:6" x14ac:dyDescent="0.3">
      <c r="A63" s="25" t="s">
        <v>39</v>
      </c>
      <c r="B63" s="41">
        <f>('Abril 08'!B63+'Mayo 08'!B63+'Junio 08'!B63)/3</f>
        <v>3313</v>
      </c>
      <c r="C63" s="41">
        <f>('Abril 08'!C63+'Mayo 08'!C63+'Junio 08'!C63)/3</f>
        <v>7261.666666666667</v>
      </c>
      <c r="D63" s="68">
        <f>('Abril 08'!D63+'Mayo 08'!D63+'Junio 08'!D63)</f>
        <v>2427956</v>
      </c>
      <c r="E63" s="28">
        <f t="shared" ref="E63:E69" si="10">D63/B63</f>
        <v>732.85722909749472</v>
      </c>
      <c r="F63" s="82">
        <f t="shared" ref="F63:F69" si="11">D63/3</f>
        <v>809318.66666666663</v>
      </c>
    </row>
    <row r="64" spans="1:6" x14ac:dyDescent="0.3">
      <c r="A64" s="27" t="s">
        <v>40</v>
      </c>
      <c r="B64" s="28">
        <f>('Abril 08'!B64+'Mayo 08'!B64+'Junio 08'!B64)/3</f>
        <v>5419.333333333333</v>
      </c>
      <c r="C64" s="28">
        <f>('Abril 08'!C64+'Mayo 08'!C64+'Junio 08'!C64)/3</f>
        <v>10677</v>
      </c>
      <c r="D64" s="69">
        <f>('Abril 08'!D64+'Mayo 08'!D64+'Junio 08'!D64)</f>
        <v>3552755</v>
      </c>
      <c r="E64" s="28">
        <f t="shared" si="10"/>
        <v>655.57048837495392</v>
      </c>
      <c r="F64" s="83">
        <f t="shared" si="11"/>
        <v>1184251.6666666667</v>
      </c>
    </row>
    <row r="65" spans="1:6" x14ac:dyDescent="0.3">
      <c r="A65" s="27" t="s">
        <v>5</v>
      </c>
      <c r="B65" s="28">
        <f>('Abril 08'!B65+'Mayo 08'!B65+'Junio 08'!B65)/3</f>
        <v>6720.333333333333</v>
      </c>
      <c r="C65" s="28">
        <f>('Abril 08'!C65+'Mayo 08'!C65+'Junio 08'!C65)/3</f>
        <v>14294</v>
      </c>
      <c r="D65" s="69">
        <f>('Abril 08'!D65+'Mayo 08'!D65+'Junio 08'!D65)</f>
        <v>4794045</v>
      </c>
      <c r="E65" s="28">
        <f t="shared" si="10"/>
        <v>713.36416844402561</v>
      </c>
      <c r="F65" s="83">
        <f t="shared" si="11"/>
        <v>1598015</v>
      </c>
    </row>
    <row r="66" spans="1:6" x14ac:dyDescent="0.3">
      <c r="A66" s="27" t="s">
        <v>41</v>
      </c>
      <c r="B66" s="28">
        <f>('Abril 08'!B66+'Mayo 08'!B66+'Junio 08'!B66)/3</f>
        <v>3356</v>
      </c>
      <c r="C66" s="28">
        <f>('Abril 08'!C66+'Mayo 08'!C66+'Junio 08'!C66)/3</f>
        <v>7041</v>
      </c>
      <c r="D66" s="69">
        <f>('Abril 08'!D66+'Mayo 08'!D66+'Junio 08'!D66)</f>
        <v>2372572</v>
      </c>
      <c r="E66" s="28">
        <f t="shared" si="10"/>
        <v>706.96424314660305</v>
      </c>
      <c r="F66" s="83">
        <f t="shared" si="11"/>
        <v>790857.33333333337</v>
      </c>
    </row>
    <row r="67" spans="1:6" x14ac:dyDescent="0.3">
      <c r="A67" s="27" t="s">
        <v>42</v>
      </c>
      <c r="B67" s="28">
        <f>('Abril 08'!B67+'Mayo 08'!B67+'Junio 08'!B67)/3</f>
        <v>5004.333333333333</v>
      </c>
      <c r="C67" s="28">
        <f>('Abril 08'!C67+'Mayo 08'!C67+'Junio 08'!C67)/3</f>
        <v>10611.333333333334</v>
      </c>
      <c r="D67" s="69">
        <f>('Abril 08'!D67+'Mayo 08'!D67+'Junio 08'!D67)</f>
        <v>3567678</v>
      </c>
      <c r="E67" s="28">
        <f t="shared" si="10"/>
        <v>712.91773796043435</v>
      </c>
      <c r="F67" s="83">
        <f t="shared" si="11"/>
        <v>1189226</v>
      </c>
    </row>
    <row r="68" spans="1:6" ht="19.5" thickBot="1" x14ac:dyDescent="0.35">
      <c r="A68" s="29" t="s">
        <v>43</v>
      </c>
      <c r="B68" s="30">
        <f>('Abril 08'!B68+'Mayo 08'!B68+'Junio 08'!B68)/3</f>
        <v>3261.6666666666665</v>
      </c>
      <c r="C68" s="30">
        <f>('Abril 08'!C68+'Mayo 08'!C68+'Junio 08'!C68)/3</f>
        <v>7408.666666666667</v>
      </c>
      <c r="D68" s="70">
        <f>('Abril 08'!D68+'Mayo 08'!D68+'Junio 08'!D68)</f>
        <v>2437743</v>
      </c>
      <c r="E68" s="28">
        <f t="shared" si="10"/>
        <v>747.39182422074612</v>
      </c>
      <c r="F68" s="84">
        <f t="shared" si="11"/>
        <v>812581</v>
      </c>
    </row>
    <row r="69" spans="1:6" ht="19.5" thickBot="1" x14ac:dyDescent="0.35">
      <c r="A69" s="32" t="s">
        <v>91</v>
      </c>
      <c r="B69" s="44">
        <f>SUM(B63:B68)</f>
        <v>27074.666666666664</v>
      </c>
      <c r="C69" s="44">
        <f>SUM(C63:C68)</f>
        <v>57293.666666666672</v>
      </c>
      <c r="D69" s="78">
        <f>SUM(D63:D68)</f>
        <v>19152749</v>
      </c>
      <c r="E69" s="57">
        <f t="shared" si="10"/>
        <v>707.40479414951255</v>
      </c>
      <c r="F69" s="71">
        <f t="shared" si="11"/>
        <v>6384249.666666667</v>
      </c>
    </row>
    <row r="70" spans="1:6" ht="19.5" thickBot="1" x14ac:dyDescent="0.35">
      <c r="A70" s="48"/>
      <c r="B70" s="49"/>
      <c r="C70" s="49"/>
      <c r="D70" s="76"/>
      <c r="E70" s="50"/>
      <c r="F70" s="85"/>
    </row>
    <row r="71" spans="1:6" ht="19.5" thickBot="1" x14ac:dyDescent="0.35">
      <c r="A71" s="22" t="s">
        <v>6</v>
      </c>
      <c r="B71" s="46"/>
      <c r="C71" s="46"/>
      <c r="D71" s="67"/>
      <c r="E71" s="46"/>
      <c r="F71" s="86"/>
    </row>
    <row r="72" spans="1:6" x14ac:dyDescent="0.3">
      <c r="A72" s="25" t="s">
        <v>44</v>
      </c>
      <c r="B72" s="41">
        <f>('Abril 08'!B72+'Mayo 08'!B72+'Junio 08'!B72)/3</f>
        <v>1853</v>
      </c>
      <c r="C72" s="41">
        <f>('Abril 08'!C72+'Mayo 08'!C72+'Junio 08'!C72)/3</f>
        <v>3888</v>
      </c>
      <c r="D72" s="68">
        <f>('Abril 08'!D72+'Mayo 08'!D72+'Junio 08'!D72)</f>
        <v>1290207</v>
      </c>
      <c r="E72" s="28">
        <f t="shared" ref="E72:E82" si="12">D72/B72</f>
        <v>696.28008634646517</v>
      </c>
      <c r="F72" s="82">
        <f t="shared" ref="F72:F82" si="13">D72/3</f>
        <v>430069</v>
      </c>
    </row>
    <row r="73" spans="1:6" x14ac:dyDescent="0.3">
      <c r="A73" s="27" t="s">
        <v>70</v>
      </c>
      <c r="B73" s="28">
        <f>('Abril 08'!B73+'Mayo 08'!B73+'Junio 08'!B73)/3</f>
        <v>106.66666666666667</v>
      </c>
      <c r="C73" s="28">
        <f>('Abril 08'!C73+'Mayo 08'!C73+'Junio 08'!C73)/3</f>
        <v>226.33333333333334</v>
      </c>
      <c r="D73" s="69">
        <f>('Abril 08'!D73+'Mayo 08'!D73+'Junio 08'!D73)</f>
        <v>72653</v>
      </c>
      <c r="E73" s="28">
        <f t="shared" si="12"/>
        <v>681.12187499999993</v>
      </c>
      <c r="F73" s="83">
        <f t="shared" si="13"/>
        <v>24217.666666666668</v>
      </c>
    </row>
    <row r="74" spans="1:6" x14ac:dyDescent="0.3">
      <c r="A74" s="27" t="s">
        <v>45</v>
      </c>
      <c r="B74" s="28">
        <f>('Abril 08'!B74+'Mayo 08'!B74+'Junio 08'!B74)/3</f>
        <v>5586.666666666667</v>
      </c>
      <c r="C74" s="28">
        <f>('Abril 08'!C74+'Mayo 08'!C74+'Junio 08'!C74)/3</f>
        <v>11760</v>
      </c>
      <c r="D74" s="69">
        <f>('Abril 08'!D74+'Mayo 08'!D74+'Junio 08'!D74)</f>
        <v>3971245</v>
      </c>
      <c r="E74" s="28">
        <f t="shared" si="12"/>
        <v>710.84337708830549</v>
      </c>
      <c r="F74" s="83">
        <f t="shared" si="13"/>
        <v>1323748.3333333333</v>
      </c>
    </row>
    <row r="75" spans="1:6" x14ac:dyDescent="0.3">
      <c r="A75" s="27" t="s">
        <v>6</v>
      </c>
      <c r="B75" s="28">
        <f>('Abril 08'!B75+'Mayo 08'!B75+'Junio 08'!B75)/3</f>
        <v>9116.6666666666661</v>
      </c>
      <c r="C75" s="28">
        <f>('Abril 08'!C75+'Mayo 08'!C75+'Junio 08'!C75)/3</f>
        <v>18445</v>
      </c>
      <c r="D75" s="69">
        <f>('Abril 08'!D75+'Mayo 08'!D75+'Junio 08'!D75)</f>
        <v>6230696</v>
      </c>
      <c r="E75" s="28">
        <f t="shared" si="12"/>
        <v>683.44014625228522</v>
      </c>
      <c r="F75" s="83">
        <f t="shared" si="13"/>
        <v>2076898.6666666667</v>
      </c>
    </row>
    <row r="76" spans="1:6" x14ac:dyDescent="0.3">
      <c r="A76" s="27" t="s">
        <v>46</v>
      </c>
      <c r="B76" s="28">
        <f>('Abril 08'!B76+'Mayo 08'!B76+'Junio 08'!B76)/3</f>
        <v>6926.333333333333</v>
      </c>
      <c r="C76" s="28">
        <f>('Abril 08'!C76+'Mayo 08'!C76+'Junio 08'!C76)/3</f>
        <v>14820.666666666666</v>
      </c>
      <c r="D76" s="69">
        <f>('Abril 08'!D76+'Mayo 08'!D76+'Junio 08'!D76)</f>
        <v>5013253</v>
      </c>
      <c r="E76" s="28">
        <f t="shared" si="12"/>
        <v>723.79609220847976</v>
      </c>
      <c r="F76" s="83">
        <f t="shared" si="13"/>
        <v>1671084.3333333333</v>
      </c>
    </row>
    <row r="77" spans="1:6" x14ac:dyDescent="0.3">
      <c r="A77" s="27" t="s">
        <v>47</v>
      </c>
      <c r="B77" s="28">
        <f>('Abril 08'!B77+'Mayo 08'!B77+'Junio 08'!B77)/3</f>
        <v>5705</v>
      </c>
      <c r="C77" s="28">
        <f>('Abril 08'!C77+'Mayo 08'!C77+'Junio 08'!C77)/3</f>
        <v>11863.333333333334</v>
      </c>
      <c r="D77" s="69">
        <f>('Abril 08'!D77+'Mayo 08'!D77+'Junio 08'!D77)</f>
        <v>4026458</v>
      </c>
      <c r="E77" s="28">
        <f t="shared" si="12"/>
        <v>705.77703768624019</v>
      </c>
      <c r="F77" s="83">
        <f t="shared" si="13"/>
        <v>1342152.6666666667</v>
      </c>
    </row>
    <row r="78" spans="1:6" x14ac:dyDescent="0.3">
      <c r="A78" s="27" t="s">
        <v>48</v>
      </c>
      <c r="B78" s="28">
        <f>('Abril 08'!B78+'Mayo 08'!B78+'Junio 08'!B78)/3</f>
        <v>2394.3333333333335</v>
      </c>
      <c r="C78" s="28">
        <f>('Abril 08'!C78+'Mayo 08'!C78+'Junio 08'!C78)/3</f>
        <v>4995.666666666667</v>
      </c>
      <c r="D78" s="69">
        <f>('Abril 08'!D78+'Mayo 08'!D78+'Junio 08'!D78)</f>
        <v>1672000</v>
      </c>
      <c r="E78" s="28">
        <f t="shared" si="12"/>
        <v>698.31546707503821</v>
      </c>
      <c r="F78" s="83">
        <f t="shared" si="13"/>
        <v>557333.33333333337</v>
      </c>
    </row>
    <row r="79" spans="1:6" x14ac:dyDescent="0.3">
      <c r="A79" s="27" t="s">
        <v>49</v>
      </c>
      <c r="B79" s="28">
        <f>('Abril 08'!B79+'Mayo 08'!B79+'Junio 08'!B79)/3</f>
        <v>4243.333333333333</v>
      </c>
      <c r="C79" s="28">
        <f>('Abril 08'!C79+'Mayo 08'!C79+'Junio 08'!C79)/3</f>
        <v>8831.3333333333339</v>
      </c>
      <c r="D79" s="69">
        <f>('Abril 08'!D79+'Mayo 08'!D79+'Junio 08'!D79)</f>
        <v>2984730</v>
      </c>
      <c r="E79" s="28">
        <f t="shared" si="12"/>
        <v>703.39277297721924</v>
      </c>
      <c r="F79" s="83">
        <f t="shared" si="13"/>
        <v>994910</v>
      </c>
    </row>
    <row r="80" spans="1:6" x14ac:dyDescent="0.3">
      <c r="A80" s="27" t="s">
        <v>50</v>
      </c>
      <c r="B80" s="28">
        <f>('Abril 08'!B80+'Mayo 08'!B80+'Junio 08'!B80)/3</f>
        <v>1691.6666666666667</v>
      </c>
      <c r="C80" s="28">
        <f>('Abril 08'!C80+'Mayo 08'!C80+'Junio 08'!C80)/3</f>
        <v>3514</v>
      </c>
      <c r="D80" s="69">
        <f>('Abril 08'!D80+'Mayo 08'!D80+'Junio 08'!D80)</f>
        <v>1190133</v>
      </c>
      <c r="E80" s="28">
        <f t="shared" si="12"/>
        <v>703.52689655172412</v>
      </c>
      <c r="F80" s="83">
        <f t="shared" si="13"/>
        <v>396711</v>
      </c>
    </row>
    <row r="81" spans="1:6" ht="19.5" thickBot="1" x14ac:dyDescent="0.35">
      <c r="A81" s="29" t="s">
        <v>51</v>
      </c>
      <c r="B81" s="30">
        <f>('Abril 08'!B81+'Mayo 08'!B81+'Junio 08'!B81)/3</f>
        <v>7621.333333333333</v>
      </c>
      <c r="C81" s="30">
        <f>('Abril 08'!C81+'Mayo 08'!C81+'Junio 08'!C81)/3</f>
        <v>15916.666666666666</v>
      </c>
      <c r="D81" s="70">
        <f>('Abril 08'!D81+'Mayo 08'!D81+'Junio 08'!D81)</f>
        <v>5355580</v>
      </c>
      <c r="E81" s="28">
        <f t="shared" si="12"/>
        <v>702.7090622813156</v>
      </c>
      <c r="F81" s="84">
        <f t="shared" si="13"/>
        <v>1785193.3333333333</v>
      </c>
    </row>
    <row r="82" spans="1:6" ht="19.5" thickBot="1" x14ac:dyDescent="0.35">
      <c r="A82" s="32" t="s">
        <v>91</v>
      </c>
      <c r="B82" s="44">
        <f>SUM(B72:B81)</f>
        <v>45245</v>
      </c>
      <c r="C82" s="44">
        <f>SUM(C72:C81)</f>
        <v>94261</v>
      </c>
      <c r="D82" s="44">
        <f>SUM(D72:D81)</f>
        <v>31806955</v>
      </c>
      <c r="E82" s="57">
        <f t="shared" si="12"/>
        <v>702.99381147088081</v>
      </c>
      <c r="F82" s="71">
        <f t="shared" si="13"/>
        <v>10602318.333333334</v>
      </c>
    </row>
    <row r="83" spans="1:6" ht="19.5" thickBot="1" x14ac:dyDescent="0.35">
      <c r="A83" s="48"/>
      <c r="B83" s="49"/>
      <c r="C83" s="49"/>
      <c r="D83" s="76"/>
      <c r="E83" s="50"/>
      <c r="F83" s="85"/>
    </row>
    <row r="84" spans="1:6" ht="19.5" thickBot="1" x14ac:dyDescent="0.35">
      <c r="A84" s="22" t="s">
        <v>7</v>
      </c>
      <c r="B84" s="46"/>
      <c r="C84" s="46"/>
      <c r="D84" s="67"/>
      <c r="E84" s="46"/>
      <c r="F84" s="86"/>
    </row>
    <row r="85" spans="1:6" x14ac:dyDescent="0.3">
      <c r="A85" s="25" t="s">
        <v>52</v>
      </c>
      <c r="B85" s="41">
        <f>('Abril 08'!B85+'Mayo 08'!B85+'Junio 08'!B85)/3</f>
        <v>4598</v>
      </c>
      <c r="C85" s="41">
        <f>('Abril 08'!C85+'Mayo 08'!C85+'Junio 08'!C85)/3</f>
        <v>9573</v>
      </c>
      <c r="D85" s="68">
        <f>('Abril 08'!D85+'Mayo 08'!D85+'Junio 08'!D85)</f>
        <v>3206897</v>
      </c>
      <c r="E85" s="28">
        <f t="shared" ref="E85:E92" si="14">D85/B85</f>
        <v>697.45476294040884</v>
      </c>
      <c r="F85" s="82">
        <f t="shared" ref="F85:F94" si="15">D85/3</f>
        <v>1068965.6666666667</v>
      </c>
    </row>
    <row r="86" spans="1:6" x14ac:dyDescent="0.3">
      <c r="A86" s="27" t="s">
        <v>53</v>
      </c>
      <c r="B86" s="28">
        <f>('Abril 08'!B86+'Mayo 08'!B86+'Junio 08'!B86)/3</f>
        <v>6086.333333333333</v>
      </c>
      <c r="C86" s="28">
        <f>('Abril 08'!C86+'Mayo 08'!C86+'Junio 08'!C86)/3</f>
        <v>13121</v>
      </c>
      <c r="D86" s="69">
        <f>('Abril 08'!D86+'Mayo 08'!D86+'Junio 08'!D86)</f>
        <v>4382168</v>
      </c>
      <c r="E86" s="28">
        <f t="shared" si="14"/>
        <v>720.00131442028589</v>
      </c>
      <c r="F86" s="83">
        <f t="shared" si="15"/>
        <v>1460722.6666666667</v>
      </c>
    </row>
    <row r="87" spans="1:6" x14ac:dyDescent="0.3">
      <c r="A87" s="27" t="s">
        <v>54</v>
      </c>
      <c r="B87" s="28">
        <f>('Abril 08'!B87+'Mayo 08'!B87+'Junio 08'!B87)/3</f>
        <v>3612.3333333333335</v>
      </c>
      <c r="C87" s="28">
        <f>('Abril 08'!C87+'Mayo 08'!C87+'Junio 08'!C87)/3</f>
        <v>8037.666666666667</v>
      </c>
      <c r="D87" s="69">
        <f>('Abril 08'!D87+'Mayo 08'!D87+'Junio 08'!D87)</f>
        <v>2683264</v>
      </c>
      <c r="E87" s="28">
        <f t="shared" si="14"/>
        <v>742.80631170988283</v>
      </c>
      <c r="F87" s="83">
        <f t="shared" si="15"/>
        <v>894421.33333333337</v>
      </c>
    </row>
    <row r="88" spans="1:6" x14ac:dyDescent="0.3">
      <c r="A88" s="27" t="s">
        <v>55</v>
      </c>
      <c r="B88" s="28">
        <f>('Abril 08'!B88+'Mayo 08'!B88+'Junio 08'!B88)/3</f>
        <v>1899</v>
      </c>
      <c r="C88" s="28">
        <f>('Abril 08'!C88+'Mayo 08'!C88+'Junio 08'!C88)/3</f>
        <v>3625.3333333333335</v>
      </c>
      <c r="D88" s="69">
        <f>('Abril 08'!D88+'Mayo 08'!D88+'Junio 08'!D88)</f>
        <v>1218234</v>
      </c>
      <c r="E88" s="28">
        <f t="shared" si="14"/>
        <v>641.51342812006317</v>
      </c>
      <c r="F88" s="83">
        <f t="shared" si="15"/>
        <v>406078</v>
      </c>
    </row>
    <row r="89" spans="1:6" x14ac:dyDescent="0.3">
      <c r="A89" s="27" t="s">
        <v>56</v>
      </c>
      <c r="B89" s="28">
        <f>('Abril 08'!B89+'Mayo 08'!B89+'Junio 08'!B89)/3</f>
        <v>4110.666666666667</v>
      </c>
      <c r="C89" s="28">
        <f>('Abril 08'!C89+'Mayo 08'!C89+'Junio 08'!C89)/3</f>
        <v>8918</v>
      </c>
      <c r="D89" s="69">
        <f>('Abril 08'!D89+'Mayo 08'!D89+'Junio 08'!D89)</f>
        <v>2972981</v>
      </c>
      <c r="E89" s="28">
        <f t="shared" si="14"/>
        <v>723.23572818683101</v>
      </c>
      <c r="F89" s="83">
        <f t="shared" si="15"/>
        <v>990993.66666666663</v>
      </c>
    </row>
    <row r="90" spans="1:6" x14ac:dyDescent="0.3">
      <c r="A90" s="27" t="s">
        <v>57</v>
      </c>
      <c r="B90" s="28">
        <f>('Abril 08'!B90+'Mayo 08'!B90+'Junio 08'!B90)/3</f>
        <v>993</v>
      </c>
      <c r="C90" s="28">
        <f>('Abril 08'!C90+'Mayo 08'!C90+'Junio 08'!C90)/3</f>
        <v>2437.6666666666665</v>
      </c>
      <c r="D90" s="69">
        <f>('Abril 08'!D90+'Mayo 08'!D90+'Junio 08'!D90)</f>
        <v>811170</v>
      </c>
      <c r="E90" s="28">
        <f t="shared" si="14"/>
        <v>816.88821752265858</v>
      </c>
      <c r="F90" s="83">
        <f t="shared" si="15"/>
        <v>270390</v>
      </c>
    </row>
    <row r="91" spans="1:6" x14ac:dyDescent="0.3">
      <c r="A91" s="27" t="s">
        <v>97</v>
      </c>
      <c r="B91" s="28">
        <f>('Abril 08'!B91+'Mayo 08'!B91+'Junio 08'!B91)/3</f>
        <v>13026</v>
      </c>
      <c r="C91" s="28">
        <f>('Abril 08'!C91+'Mayo 08'!C91+'Junio 08'!C91)/3</f>
        <v>26323.333333333332</v>
      </c>
      <c r="D91" s="69">
        <f>('Abril 08'!D91+'Mayo 08'!D91+'Junio 08'!D91)</f>
        <v>8954232</v>
      </c>
      <c r="E91" s="28">
        <f t="shared" si="14"/>
        <v>687.41225241824043</v>
      </c>
      <c r="F91" s="83">
        <f t="shared" si="15"/>
        <v>2984744</v>
      </c>
    </row>
    <row r="92" spans="1:6" x14ac:dyDescent="0.3">
      <c r="A92" s="51" t="s">
        <v>58</v>
      </c>
      <c r="B92" s="28">
        <f>('Abril 08'!B92+'Mayo 08'!B92+'Junio 08'!B92)/3</f>
        <v>3530</v>
      </c>
      <c r="C92" s="28">
        <f>('Abril 08'!C92+'Mayo 08'!C92+'Junio 08'!C92)/3</f>
        <v>7655</v>
      </c>
      <c r="D92" s="69">
        <f>('Abril 08'!D92+'Mayo 08'!D92+'Junio 08'!D92)</f>
        <v>2542157</v>
      </c>
      <c r="E92" s="28">
        <f t="shared" si="14"/>
        <v>720.157790368272</v>
      </c>
      <c r="F92" s="83">
        <f t="shared" si="15"/>
        <v>847385.66666666663</v>
      </c>
    </row>
    <row r="93" spans="1:6" ht="19.5" thickBot="1" x14ac:dyDescent="0.35">
      <c r="A93" s="27" t="s">
        <v>59</v>
      </c>
      <c r="B93" s="30">
        <f>('Abril 08'!B93+'Mayo 08'!B93+'Junio 08'!B93)/3</f>
        <v>5404</v>
      </c>
      <c r="C93" s="30">
        <f>('Abril 08'!C93+'Mayo 08'!C93+'Junio 08'!C93)/3</f>
        <v>11310.666666666666</v>
      </c>
      <c r="D93" s="70">
        <f>('Abril 08'!D93+'Mayo 08'!D93+'Junio 08'!D93)</f>
        <v>3789164</v>
      </c>
      <c r="E93" s="28">
        <f>D93/B93</f>
        <v>701.17764618800891</v>
      </c>
      <c r="F93" s="84">
        <f t="shared" si="15"/>
        <v>1263054.6666666667</v>
      </c>
    </row>
    <row r="94" spans="1:6" ht="19.5" thickBot="1" x14ac:dyDescent="0.35">
      <c r="A94" s="32" t="s">
        <v>91</v>
      </c>
      <c r="B94" s="44">
        <f>SUM(B85:B93)</f>
        <v>43259.333333333328</v>
      </c>
      <c r="C94" s="44">
        <f>SUM(C85:C93)</f>
        <v>91001.666666666672</v>
      </c>
      <c r="D94" s="78">
        <f>SUM(D85:D93)</f>
        <v>30560267</v>
      </c>
      <c r="E94" s="57">
        <f>D94/B94</f>
        <v>706.44331859020792</v>
      </c>
      <c r="F94" s="71">
        <f t="shared" si="15"/>
        <v>10186755.666666666</v>
      </c>
    </row>
    <row r="95" spans="1:6" ht="19.5" thickBot="1" x14ac:dyDescent="0.35">
      <c r="A95" s="48"/>
      <c r="B95" s="49"/>
      <c r="C95" s="49"/>
      <c r="D95" s="76"/>
      <c r="E95" s="50"/>
      <c r="F95" s="85"/>
    </row>
    <row r="96" spans="1:6" ht="19.5" thickBot="1" x14ac:dyDescent="0.35">
      <c r="A96" s="37" t="s">
        <v>8</v>
      </c>
      <c r="B96" s="46"/>
      <c r="C96" s="46"/>
      <c r="D96" s="67"/>
      <c r="E96" s="46"/>
      <c r="F96" s="86"/>
    </row>
    <row r="97" spans="1:6" x14ac:dyDescent="0.3">
      <c r="A97" s="52" t="s">
        <v>73</v>
      </c>
      <c r="B97" s="41">
        <f>('Abril 08'!B97+'Mayo 08'!B97+'Junio 08'!B97)/3</f>
        <v>4150</v>
      </c>
      <c r="C97" s="41">
        <f>('Abril 08'!C97+'Mayo 08'!C97+'Junio 08'!C97)/3</f>
        <v>10082</v>
      </c>
      <c r="D97" s="68">
        <f>('Abril 08'!D97+'Mayo 08'!D97+'Junio 08'!D97)</f>
        <v>3379757</v>
      </c>
      <c r="E97" s="28">
        <f t="shared" ref="E97:E108" si="16">D97/B97</f>
        <v>814.39927710843369</v>
      </c>
      <c r="F97" s="82">
        <f t="shared" ref="F97:F108" si="17">D97/3</f>
        <v>1126585.6666666667</v>
      </c>
    </row>
    <row r="98" spans="1:6" x14ac:dyDescent="0.3">
      <c r="A98" s="53" t="s">
        <v>60</v>
      </c>
      <c r="B98" s="28">
        <f>('Abril 08'!B98+'Mayo 08'!B98+'Junio 08'!B98)/3</f>
        <v>4667.666666666667</v>
      </c>
      <c r="C98" s="28">
        <f>('Abril 08'!C98+'Mayo 08'!C98+'Junio 08'!C98)/3</f>
        <v>9804</v>
      </c>
      <c r="D98" s="69">
        <f>('Abril 08'!D98+'Mayo 08'!D98+'Junio 08'!D98)</f>
        <v>3278826</v>
      </c>
      <c r="E98" s="28">
        <f t="shared" si="16"/>
        <v>702.45504534742554</v>
      </c>
      <c r="F98" s="83">
        <f t="shared" si="17"/>
        <v>1092942</v>
      </c>
    </row>
    <row r="99" spans="1:6" x14ac:dyDescent="0.3">
      <c r="A99" s="53" t="s">
        <v>61</v>
      </c>
      <c r="B99" s="28">
        <f>('Abril 08'!B99+'Mayo 08'!B99+'Junio 08'!B99)/3</f>
        <v>6504.666666666667</v>
      </c>
      <c r="C99" s="28">
        <f>('Abril 08'!C99+'Mayo 08'!C99+'Junio 08'!C99)/3</f>
        <v>14313</v>
      </c>
      <c r="D99" s="69">
        <f>('Abril 08'!D99+'Mayo 08'!D99+'Junio 08'!D99)</f>
        <v>4798829</v>
      </c>
      <c r="E99" s="28">
        <f t="shared" si="16"/>
        <v>737.75171671620376</v>
      </c>
      <c r="F99" s="83">
        <f t="shared" si="17"/>
        <v>1599609.6666666667</v>
      </c>
    </row>
    <row r="100" spans="1:6" x14ac:dyDescent="0.3">
      <c r="A100" s="27" t="s">
        <v>62</v>
      </c>
      <c r="B100" s="28">
        <f>('Abril 08'!B100+'Mayo 08'!B100+'Junio 08'!B100)/3</f>
        <v>3797.6666666666665</v>
      </c>
      <c r="C100" s="28">
        <f>('Abril 08'!C100+'Mayo 08'!C100+'Junio 08'!C100)/3</f>
        <v>8659.6666666666661</v>
      </c>
      <c r="D100" s="69">
        <f>('Abril 08'!D100+'Mayo 08'!D100+'Junio 08'!D100)</f>
        <v>2895641</v>
      </c>
      <c r="E100" s="28">
        <f t="shared" si="16"/>
        <v>762.47897832002104</v>
      </c>
      <c r="F100" s="83">
        <f t="shared" si="17"/>
        <v>965213.66666666663</v>
      </c>
    </row>
    <row r="101" spans="1:6" x14ac:dyDescent="0.3">
      <c r="A101" s="27" t="s">
        <v>63</v>
      </c>
      <c r="B101" s="28">
        <f>('Abril 08'!B101+'Mayo 08'!B101+'Junio 08'!B101)/3</f>
        <v>3180</v>
      </c>
      <c r="C101" s="28">
        <f>('Abril 08'!C101+'Mayo 08'!C101+'Junio 08'!C101)/3</f>
        <v>7933.333333333333</v>
      </c>
      <c r="D101" s="69">
        <f>('Abril 08'!D101+'Mayo 08'!D101+'Junio 08'!D101)</f>
        <v>2658528</v>
      </c>
      <c r="E101" s="28">
        <f t="shared" si="16"/>
        <v>836.01509433962269</v>
      </c>
      <c r="F101" s="83">
        <f t="shared" si="17"/>
        <v>886176</v>
      </c>
    </row>
    <row r="102" spans="1:6" x14ac:dyDescent="0.3">
      <c r="A102" s="27" t="s">
        <v>64</v>
      </c>
      <c r="B102" s="28">
        <f>('Abril 08'!B102+'Mayo 08'!B102+'Junio 08'!B102)/3</f>
        <v>7075.333333333333</v>
      </c>
      <c r="C102" s="28">
        <f>('Abril 08'!C102+'Mayo 08'!C102+'Junio 08'!C102)/3</f>
        <v>16519</v>
      </c>
      <c r="D102" s="69">
        <f>('Abril 08'!D102+'Mayo 08'!D102+'Junio 08'!D102)</f>
        <v>5462051</v>
      </c>
      <c r="E102" s="28">
        <f t="shared" si="16"/>
        <v>771.98497126166023</v>
      </c>
      <c r="F102" s="83">
        <f t="shared" si="17"/>
        <v>1820683.6666666667</v>
      </c>
    </row>
    <row r="103" spans="1:6" x14ac:dyDescent="0.3">
      <c r="A103" s="27" t="s">
        <v>65</v>
      </c>
      <c r="B103" s="28">
        <f>('Abril 08'!B103+'Mayo 08'!B103+'Junio 08'!B103)/3</f>
        <v>4936.333333333333</v>
      </c>
      <c r="C103" s="28">
        <f>('Abril 08'!C103+'Mayo 08'!C103+'Junio 08'!C103)/3</f>
        <v>11741.333333333334</v>
      </c>
      <c r="D103" s="69">
        <f>('Abril 08'!D103+'Mayo 08'!D103+'Junio 08'!D103)</f>
        <v>3872901</v>
      </c>
      <c r="E103" s="28">
        <f t="shared" si="16"/>
        <v>784.57039638057938</v>
      </c>
      <c r="F103" s="83">
        <f t="shared" si="17"/>
        <v>1290967</v>
      </c>
    </row>
    <row r="104" spans="1:6" x14ac:dyDescent="0.3">
      <c r="A104" s="27" t="s">
        <v>66</v>
      </c>
      <c r="B104" s="28">
        <f>('Abril 08'!B104+'Mayo 08'!B104+'Junio 08'!B104)/3</f>
        <v>4030.3333333333335</v>
      </c>
      <c r="C104" s="28">
        <f>('Abril 08'!C104+'Mayo 08'!C104+'Junio 08'!C104)/3</f>
        <v>9839</v>
      </c>
      <c r="D104" s="69">
        <f>('Abril 08'!D104+'Mayo 08'!D104+'Junio 08'!D104)</f>
        <v>3233689</v>
      </c>
      <c r="E104" s="28">
        <f t="shared" si="16"/>
        <v>802.33785460259696</v>
      </c>
      <c r="F104" s="83">
        <f t="shared" si="17"/>
        <v>1077896.3333333333</v>
      </c>
    </row>
    <row r="105" spans="1:6" x14ac:dyDescent="0.3">
      <c r="A105" s="27" t="s">
        <v>98</v>
      </c>
      <c r="B105" s="28">
        <f>('Abril 08'!B105+'Mayo 08'!B105+'Junio 08'!B105)/3</f>
        <v>26330.333333333332</v>
      </c>
      <c r="C105" s="28">
        <f>('Abril 08'!C105+'Mayo 08'!C105+'Junio 08'!C105)/3</f>
        <v>59640.666666666664</v>
      </c>
      <c r="D105" s="69">
        <f>('Abril 08'!D105+'Mayo 08'!D105+'Junio 08'!D105)</f>
        <v>20047455</v>
      </c>
      <c r="E105" s="28">
        <f t="shared" si="16"/>
        <v>761.38249927206903</v>
      </c>
      <c r="F105" s="83">
        <f t="shared" si="17"/>
        <v>6682485</v>
      </c>
    </row>
    <row r="106" spans="1:6" x14ac:dyDescent="0.3">
      <c r="A106" s="27" t="s">
        <v>67</v>
      </c>
      <c r="B106" s="28">
        <f>('Abril 08'!B106+'Mayo 08'!B106+'Junio 08'!B106)/3</f>
        <v>4648.666666666667</v>
      </c>
      <c r="C106" s="28">
        <f>('Abril 08'!C106+'Mayo 08'!C106+'Junio 08'!C106)/3</f>
        <v>11008</v>
      </c>
      <c r="D106" s="69">
        <f>('Abril 08'!D106+'Mayo 08'!D106+'Junio 08'!D106)</f>
        <v>3670235</v>
      </c>
      <c r="E106" s="28">
        <f t="shared" si="16"/>
        <v>789.52423634016918</v>
      </c>
      <c r="F106" s="83">
        <f t="shared" si="17"/>
        <v>1223411.6666666667</v>
      </c>
    </row>
    <row r="107" spans="1:6" ht="19.5" thickBot="1" x14ac:dyDescent="0.35">
      <c r="A107" s="27" t="s">
        <v>68</v>
      </c>
      <c r="B107" s="30">
        <f>('Abril 08'!B107+'Mayo 08'!B107+'Junio 08'!B107)/3</f>
        <v>6894.333333333333</v>
      </c>
      <c r="C107" s="30">
        <f>('Abril 08'!C107+'Mayo 08'!C107+'Junio 08'!C107)/3</f>
        <v>15239.333333333334</v>
      </c>
      <c r="D107" s="70">
        <f>('Abril 08'!D107+'Mayo 08'!D107+'Junio 08'!D107)</f>
        <v>5060875</v>
      </c>
      <c r="E107" s="28">
        <f t="shared" si="16"/>
        <v>734.06299859788237</v>
      </c>
      <c r="F107" s="84">
        <f t="shared" si="17"/>
        <v>1686958.3333333333</v>
      </c>
    </row>
    <row r="108" spans="1:6" ht="19.5" thickBot="1" x14ac:dyDescent="0.35">
      <c r="A108" s="32" t="s">
        <v>91</v>
      </c>
      <c r="B108" s="44">
        <f>SUM(B97:B107)</f>
        <v>76215.333333333343</v>
      </c>
      <c r="C108" s="44">
        <f>SUM(C97:C107)</f>
        <v>174779.33333333334</v>
      </c>
      <c r="D108" s="78">
        <f>SUM(D97:D107)</f>
        <v>58358787</v>
      </c>
      <c r="E108" s="57">
        <f t="shared" si="16"/>
        <v>765.70926672673033</v>
      </c>
      <c r="F108" s="71">
        <f t="shared" si="17"/>
        <v>19452929</v>
      </c>
    </row>
    <row r="109" spans="1:6" ht="19.5" thickBot="1" x14ac:dyDescent="0.35">
      <c r="A109" s="48"/>
      <c r="B109" s="49"/>
      <c r="C109" s="49"/>
      <c r="D109" s="76"/>
      <c r="E109" s="50"/>
      <c r="F109" s="85"/>
    </row>
    <row r="110" spans="1:6" ht="19.5" thickBot="1" x14ac:dyDescent="0.35">
      <c r="A110" s="22" t="s">
        <v>9</v>
      </c>
      <c r="B110" s="46"/>
      <c r="C110" s="46"/>
      <c r="D110" s="67"/>
      <c r="E110" s="46"/>
      <c r="F110" s="86"/>
    </row>
    <row r="111" spans="1:6" x14ac:dyDescent="0.3">
      <c r="A111" s="25" t="s">
        <v>99</v>
      </c>
      <c r="B111" s="41">
        <f>('Abril 08'!B111+'Mayo 08'!B111+'Junio 08'!B111)/3</f>
        <v>1203</v>
      </c>
      <c r="C111" s="41">
        <f>('Abril 08'!C111+'Mayo 08'!C111+'Junio 08'!C111)/3</f>
        <v>2897</v>
      </c>
      <c r="D111" s="68">
        <f>('Abril 08'!D111+'Mayo 08'!D111+'Junio 08'!D111)</f>
        <v>978030</v>
      </c>
      <c r="E111" s="28">
        <f>D111/B111</f>
        <v>812.9925187032419</v>
      </c>
      <c r="F111" s="82">
        <f>D111/3</f>
        <v>326010</v>
      </c>
    </row>
    <row r="112" spans="1:6" x14ac:dyDescent="0.3">
      <c r="A112" s="27" t="s">
        <v>100</v>
      </c>
      <c r="B112" s="28">
        <f>('Abril 08'!B112+'Mayo 08'!B112+'Junio 08'!B112)/3</f>
        <v>9132.3333333333339</v>
      </c>
      <c r="C112" s="28">
        <f>('Abril 08'!C112+'Mayo 08'!C112+'Junio 08'!C112)/3</f>
        <v>18935</v>
      </c>
      <c r="D112" s="69">
        <f>('Abril 08'!D112+'Mayo 08'!D112+'Junio 08'!D112)</f>
        <v>6404564</v>
      </c>
      <c r="E112" s="28">
        <f>D112/B112</f>
        <v>701.30642041099384</v>
      </c>
      <c r="F112" s="83">
        <f>D112/3</f>
        <v>2134854.6666666665</v>
      </c>
    </row>
    <row r="113" spans="1:6" x14ac:dyDescent="0.3">
      <c r="A113" s="27" t="s">
        <v>101</v>
      </c>
      <c r="B113" s="28">
        <f>('Abril 08'!B113+'Mayo 08'!B113+'Junio 08'!B113)/3</f>
        <v>28460</v>
      </c>
      <c r="C113" s="28">
        <f>('Abril 08'!C113+'Mayo 08'!C113+'Junio 08'!C113)/3</f>
        <v>60839.333333333336</v>
      </c>
      <c r="D113" s="69">
        <f>('Abril 08'!D113+'Mayo 08'!D113+'Junio 08'!D113)</f>
        <v>20622954</v>
      </c>
      <c r="E113" s="28">
        <f>D113/B113</f>
        <v>724.62944483485592</v>
      </c>
      <c r="F113" s="83">
        <f>D113/3</f>
        <v>6874318</v>
      </c>
    </row>
    <row r="114" spans="1:6" ht="19.5" thickBot="1" x14ac:dyDescent="0.35">
      <c r="A114" s="51" t="s">
        <v>102</v>
      </c>
      <c r="B114" s="30">
        <f>('Abril 08'!B114+'Mayo 08'!B114+'Junio 08'!B114)/3</f>
        <v>10588</v>
      </c>
      <c r="C114" s="30">
        <f>('Abril 08'!C114+'Mayo 08'!C114+'Junio 08'!C114)/3</f>
        <v>21576.333333333332</v>
      </c>
      <c r="D114" s="70">
        <f>('Abril 08'!D114+'Mayo 08'!D114+'Junio 08'!D114)</f>
        <v>7374133</v>
      </c>
      <c r="E114" s="28">
        <f>D114/B114</f>
        <v>696.4613713638081</v>
      </c>
      <c r="F114" s="84">
        <f>D114/3</f>
        <v>2458044.3333333335</v>
      </c>
    </row>
    <row r="115" spans="1:6" ht="19.5" thickBot="1" x14ac:dyDescent="0.35">
      <c r="A115" s="32" t="s">
        <v>91</v>
      </c>
      <c r="B115" s="44">
        <f>SUM(B111:B114)</f>
        <v>49383.333333333336</v>
      </c>
      <c r="C115" s="44">
        <f>SUM(C111:C114)</f>
        <v>104247.66666666667</v>
      </c>
      <c r="D115" s="78">
        <f>SUM(D111:D114)</f>
        <v>35379681</v>
      </c>
      <c r="E115" s="57">
        <f>D115/B115</f>
        <v>716.42958488018894</v>
      </c>
      <c r="F115" s="71">
        <f>D115/3</f>
        <v>11793227</v>
      </c>
    </row>
    <row r="116" spans="1:6" ht="19.5" thickBot="1" x14ac:dyDescent="0.35">
      <c r="A116" s="48"/>
      <c r="B116" s="49"/>
      <c r="C116" s="49"/>
      <c r="D116" s="76"/>
      <c r="E116" s="50"/>
      <c r="F116" s="85"/>
    </row>
    <row r="117" spans="1:6" ht="19.5" thickBot="1" x14ac:dyDescent="0.35">
      <c r="A117" s="58" t="s">
        <v>74</v>
      </c>
      <c r="B117" s="55">
        <f>(B15+B29+B41+B51+B60+B69+B82+B94+B108+B115)</f>
        <v>519151.00000000006</v>
      </c>
      <c r="C117" s="55">
        <f>(C15+C29+C41+C51+C60+C69+C82+C94+C108+C115)</f>
        <v>1118154.6666666667</v>
      </c>
      <c r="D117" s="74">
        <f>(D15+D29+D41+D51+D60+D69+D82+D94+D108+D115)</f>
        <v>376157660</v>
      </c>
      <c r="E117" s="57">
        <f>D117/B117</f>
        <v>724.563103990939</v>
      </c>
      <c r="F117" s="71">
        <f>D117/3</f>
        <v>125385886.66666667</v>
      </c>
    </row>
  </sheetData>
  <mergeCells count="5">
    <mergeCell ref="A5:F5"/>
    <mergeCell ref="A1:F1"/>
    <mergeCell ref="A2:F2"/>
    <mergeCell ref="A3:F3"/>
    <mergeCell ref="A4:F4"/>
  </mergeCells>
  <phoneticPr fontId="0" type="noConversion"/>
  <pageMargins left="0.75" right="0.75" top="1" bottom="1" header="0.5" footer="0.5"/>
  <pageSetup scale="8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7"/>
  <sheetViews>
    <sheetView topLeftCell="A94" zoomScale="75" zoomScaleNormal="100" workbookViewId="0">
      <selection activeCell="I104" sqref="I104"/>
    </sheetView>
  </sheetViews>
  <sheetFormatPr defaultRowHeight="18.75" x14ac:dyDescent="0.3"/>
  <cols>
    <col min="1" max="1" width="23.42578125" style="56" customWidth="1"/>
    <col min="2" max="3" width="15.7109375" style="18" customWidth="1"/>
    <col min="4" max="4" width="17.5703125" style="79" customWidth="1"/>
    <col min="5" max="5" width="15.7109375" style="18" customWidth="1"/>
    <col min="6" max="6" width="16.7109375" style="79" customWidth="1"/>
    <col min="7" max="16" width="9.140625" style="18"/>
    <col min="17" max="16384" width="9.140625" style="1"/>
  </cols>
  <sheetData>
    <row r="1" spans="1:6" x14ac:dyDescent="0.3">
      <c r="A1" s="356" t="s">
        <v>10</v>
      </c>
      <c r="B1" s="356"/>
      <c r="C1" s="356"/>
      <c r="D1" s="356"/>
      <c r="E1" s="356"/>
      <c r="F1" s="355"/>
    </row>
    <row r="2" spans="1:6" x14ac:dyDescent="0.3">
      <c r="A2" s="356" t="s">
        <v>71</v>
      </c>
      <c r="B2" s="356"/>
      <c r="C2" s="356"/>
      <c r="D2" s="356"/>
      <c r="E2" s="356"/>
      <c r="F2" s="355"/>
    </row>
    <row r="3" spans="1:6" x14ac:dyDescent="0.3">
      <c r="A3" s="357" t="s">
        <v>113</v>
      </c>
      <c r="B3" s="357"/>
      <c r="C3" s="357"/>
      <c r="D3" s="357"/>
      <c r="E3" s="357"/>
      <c r="F3" s="363"/>
    </row>
    <row r="4" spans="1:6" x14ac:dyDescent="0.3">
      <c r="A4" s="356" t="s">
        <v>82</v>
      </c>
      <c r="B4" s="356"/>
      <c r="C4" s="356"/>
      <c r="D4" s="356"/>
      <c r="E4" s="356"/>
      <c r="F4" s="356"/>
    </row>
    <row r="5" spans="1:6" ht="19.5" thickBot="1" x14ac:dyDescent="0.35">
      <c r="A5" s="354"/>
      <c r="B5" s="355"/>
      <c r="C5" s="355"/>
      <c r="D5" s="355"/>
      <c r="E5" s="355"/>
      <c r="F5" s="355"/>
    </row>
    <row r="6" spans="1:6" ht="57" thickBot="1" x14ac:dyDescent="0.35">
      <c r="A6" s="19"/>
      <c r="B6" s="20" t="s">
        <v>75</v>
      </c>
      <c r="C6" s="21" t="s">
        <v>76</v>
      </c>
      <c r="D6" s="66" t="s">
        <v>77</v>
      </c>
      <c r="E6" s="21" t="s">
        <v>78</v>
      </c>
      <c r="F6" s="80" t="s">
        <v>79</v>
      </c>
    </row>
    <row r="7" spans="1:6" ht="21.75" customHeight="1" thickBot="1" x14ac:dyDescent="0.35">
      <c r="A7" s="22" t="s">
        <v>0</v>
      </c>
      <c r="B7" s="23"/>
      <c r="C7" s="23"/>
      <c r="D7" s="67"/>
      <c r="E7" s="23"/>
      <c r="F7" s="81"/>
    </row>
    <row r="8" spans="1:6" ht="19.5" thickBot="1" x14ac:dyDescent="0.35">
      <c r="A8" s="25" t="s">
        <v>11</v>
      </c>
      <c r="B8" s="41">
        <f>('Julio 08'!B8+'Agosto 08'!B8+'Sept 08'!B8)/3</f>
        <v>6080.666666666667</v>
      </c>
      <c r="C8" s="41">
        <f>('Julio 08'!C8+'Agosto 08'!C8+'Sept 08'!C8)/3</f>
        <v>13817.333333333334</v>
      </c>
      <c r="D8" s="68">
        <f>('Julio 08'!D8+'Agosto 08'!D8+'Sept 08'!D8)</f>
        <v>4914418</v>
      </c>
      <c r="E8" s="26">
        <f>D8/B8</f>
        <v>808.20381537112155</v>
      </c>
      <c r="F8" s="82">
        <f>D8/12</f>
        <v>409534.83333333331</v>
      </c>
    </row>
    <row r="9" spans="1:6" x14ac:dyDescent="0.3">
      <c r="A9" s="27" t="s">
        <v>84</v>
      </c>
      <c r="B9" s="41">
        <f>('Julio 08'!B9+'Agosto 08'!B9+'Sept 08'!B9)/3</f>
        <v>10168.666666666666</v>
      </c>
      <c r="C9" s="41">
        <f>('Julio 08'!C9+'Agosto 08'!C9+'Sept 08'!C9)/3</f>
        <v>21112.666666666668</v>
      </c>
      <c r="D9" s="68">
        <f>('Julio 08'!D9+'Agosto 08'!D9+'Sept 08'!D9)</f>
        <v>7717758</v>
      </c>
      <c r="E9" s="28">
        <f t="shared" ref="E9:E15" si="0">D9/B9</f>
        <v>758.97443125942448</v>
      </c>
      <c r="F9" s="83">
        <f t="shared" ref="F9:F15" si="1">D9/12</f>
        <v>643146.5</v>
      </c>
    </row>
    <row r="10" spans="1:6" x14ac:dyDescent="0.3">
      <c r="A10" s="27" t="s">
        <v>12</v>
      </c>
      <c r="B10" s="28">
        <f>('Julio 08'!B10+'Agosto 08'!B10+'Sept 08'!B10)/3</f>
        <v>6906.666666666667</v>
      </c>
      <c r="C10" s="28">
        <f>('Julio 08'!C10+'Agosto 08'!C10+'Sept 08'!C10)/3</f>
        <v>14626</v>
      </c>
      <c r="D10" s="69">
        <f>('Julio 08'!D10+'Agosto 08'!D10+'Sept 08'!D10)</f>
        <v>5253173</v>
      </c>
      <c r="E10" s="28">
        <f t="shared" si="0"/>
        <v>760.59454633204632</v>
      </c>
      <c r="F10" s="83">
        <f t="shared" si="1"/>
        <v>437764.41666666669</v>
      </c>
    </row>
    <row r="11" spans="1:6" x14ac:dyDescent="0.3">
      <c r="A11" s="27" t="s">
        <v>13</v>
      </c>
      <c r="B11" s="28">
        <f>('Julio 08'!B11+'Agosto 08'!B11+'Sept 08'!B11)/3</f>
        <v>1731</v>
      </c>
      <c r="C11" s="28">
        <f>('Julio 08'!C11+'Agosto 08'!C11+'Sept 08'!C11)/3</f>
        <v>3832.3333333333335</v>
      </c>
      <c r="D11" s="69">
        <f>('Julio 08'!D11+'Agosto 08'!D11+'Sept 08'!D11)</f>
        <v>1396689</v>
      </c>
      <c r="E11" s="28">
        <f t="shared" si="0"/>
        <v>806.86828422876954</v>
      </c>
      <c r="F11" s="83">
        <f t="shared" si="1"/>
        <v>116390.75</v>
      </c>
    </row>
    <row r="12" spans="1:6" x14ac:dyDescent="0.3">
      <c r="A12" s="27" t="s">
        <v>14</v>
      </c>
      <c r="B12" s="28">
        <f>('Julio 08'!B12+'Agosto 08'!B12+'Sept 08'!B12)/3</f>
        <v>7138.666666666667</v>
      </c>
      <c r="C12" s="28">
        <f>('Julio 08'!C12+'Agosto 08'!C12+'Sept 08'!C12)/3</f>
        <v>16114.333333333334</v>
      </c>
      <c r="D12" s="69">
        <f>('Julio 08'!D12+'Agosto 08'!D12+'Sept 08'!D12)</f>
        <v>5835082</v>
      </c>
      <c r="E12" s="28">
        <f t="shared" si="0"/>
        <v>817.39101606275676</v>
      </c>
      <c r="F12" s="83">
        <f t="shared" si="1"/>
        <v>486256.83333333331</v>
      </c>
    </row>
    <row r="13" spans="1:6" x14ac:dyDescent="0.3">
      <c r="A13" s="27" t="s">
        <v>15</v>
      </c>
      <c r="B13" s="28">
        <f>('Julio 08'!B13+'Agosto 08'!B13+'Sept 08'!B13)/3</f>
        <v>2512.3333333333335</v>
      </c>
      <c r="C13" s="28">
        <f>('Julio 08'!C13+'Agosto 08'!C13+'Sept 08'!C13)/3</f>
        <v>5101</v>
      </c>
      <c r="D13" s="69">
        <f>('Julio 08'!D13+'Agosto 08'!D13+'Sept 08'!D13)</f>
        <v>1849777</v>
      </c>
      <c r="E13" s="28">
        <f t="shared" si="0"/>
        <v>736.27849276900622</v>
      </c>
      <c r="F13" s="83">
        <f t="shared" si="1"/>
        <v>154148.08333333334</v>
      </c>
    </row>
    <row r="14" spans="1:6" ht="19.5" thickBot="1" x14ac:dyDescent="0.35">
      <c r="A14" s="29" t="s">
        <v>72</v>
      </c>
      <c r="B14" s="30">
        <f>('Julio 08'!B14+'Agosto 08'!B14+'Sept 08'!B14)/3</f>
        <v>8789</v>
      </c>
      <c r="C14" s="30">
        <f>('Julio 08'!C14+'Agosto 08'!C14+'Sept 08'!C14)/3</f>
        <v>18066.666666666668</v>
      </c>
      <c r="D14" s="70">
        <f>('Julio 08'!D14+'Agosto 08'!D14+'Sept 08'!D14)</f>
        <v>6607157</v>
      </c>
      <c r="E14" s="31">
        <f t="shared" si="0"/>
        <v>751.75298668790538</v>
      </c>
      <c r="F14" s="84">
        <f t="shared" si="1"/>
        <v>550596.41666666663</v>
      </c>
    </row>
    <row r="15" spans="1:6" ht="19.5" thickBot="1" x14ac:dyDescent="0.35">
      <c r="A15" s="32" t="s">
        <v>85</v>
      </c>
      <c r="B15" s="57">
        <f>SUM(B8:B14)</f>
        <v>43327</v>
      </c>
      <c r="C15" s="57">
        <f>SUM(C8:C14)</f>
        <v>92670.333333333343</v>
      </c>
      <c r="D15" s="71">
        <f>SUM(D8:D14)</f>
        <v>33574054</v>
      </c>
      <c r="E15" s="57">
        <f t="shared" si="0"/>
        <v>774.89911602464974</v>
      </c>
      <c r="F15" s="71">
        <f t="shared" si="1"/>
        <v>2797837.8333333335</v>
      </c>
    </row>
    <row r="16" spans="1:6" ht="19.5" thickBot="1" x14ac:dyDescent="0.35">
      <c r="A16" s="35"/>
      <c r="B16" s="36"/>
      <c r="C16" s="36"/>
      <c r="D16" s="72"/>
      <c r="E16" s="36"/>
      <c r="F16" s="85"/>
    </row>
    <row r="17" spans="1:16" ht="19.5" thickBot="1" x14ac:dyDescent="0.35">
      <c r="A17" s="37" t="s">
        <v>1</v>
      </c>
      <c r="B17" s="38"/>
      <c r="C17" s="38"/>
      <c r="D17" s="73"/>
      <c r="E17" s="38"/>
      <c r="F17" s="86"/>
    </row>
    <row r="18" spans="1:16" s="2" customFormat="1" x14ac:dyDescent="0.3">
      <c r="A18" s="40" t="s">
        <v>86</v>
      </c>
      <c r="B18" s="41">
        <f>('Julio 08'!B18+'Agosto 08'!B18+'Sept 08'!B18)/3</f>
        <v>17727</v>
      </c>
      <c r="C18" s="41">
        <f>('Julio 08'!C18+'Agosto 08'!C18+'Sept 08'!C18)/3</f>
        <v>35371.666666666664</v>
      </c>
      <c r="D18" s="68">
        <f>('Julio 08'!D18+'Agosto 08'!D18+'Sept 08'!D18)</f>
        <v>13071049</v>
      </c>
      <c r="E18" s="28">
        <f t="shared" ref="E18:E29" si="2">D18/B18</f>
        <v>737.35256952671068</v>
      </c>
      <c r="F18" s="82">
        <f t="shared" ref="F18:F29" si="3">D18/12</f>
        <v>1089254.0833333333</v>
      </c>
      <c r="G18" s="42"/>
      <c r="H18" s="42"/>
      <c r="I18" s="42"/>
      <c r="J18" s="42"/>
      <c r="K18" s="42"/>
      <c r="L18" s="42"/>
      <c r="M18" s="42"/>
      <c r="N18" s="42"/>
      <c r="O18" s="42"/>
      <c r="P18" s="42"/>
    </row>
    <row r="19" spans="1:16" x14ac:dyDescent="0.3">
      <c r="A19" s="25" t="s">
        <v>16</v>
      </c>
      <c r="B19" s="28">
        <f>('Julio 08'!B19+'Agosto 08'!B19+'Sept 08'!B19)/3</f>
        <v>4897.666666666667</v>
      </c>
      <c r="C19" s="28">
        <f>('Julio 08'!C19+'Agosto 08'!C19+'Sept 08'!C19)/3</f>
        <v>18634.666666666668</v>
      </c>
      <c r="D19" s="69">
        <f>('Julio 08'!D19+'Agosto 08'!D19+'Sept 08'!D19)</f>
        <v>3758073</v>
      </c>
      <c r="E19" s="28">
        <f t="shared" si="2"/>
        <v>767.3190634996256</v>
      </c>
      <c r="F19" s="83">
        <f t="shared" si="3"/>
        <v>313172.75</v>
      </c>
    </row>
    <row r="20" spans="1:16" x14ac:dyDescent="0.3">
      <c r="A20" s="27" t="s">
        <v>17</v>
      </c>
      <c r="B20" s="28">
        <f>('Julio 08'!B20+'Agosto 08'!B20+'Sept 08'!B20)/3</f>
        <v>6196</v>
      </c>
      <c r="C20" s="28">
        <f>('Julio 08'!C20+'Agosto 08'!C20+'Sept 08'!C20)/3</f>
        <v>13079.333333333334</v>
      </c>
      <c r="D20" s="69">
        <f>('Julio 08'!D20+'Agosto 08'!D20+'Sept 08'!D20)</f>
        <v>4723094</v>
      </c>
      <c r="E20" s="28">
        <f t="shared" si="2"/>
        <v>762.28114912847002</v>
      </c>
      <c r="F20" s="83">
        <f t="shared" si="3"/>
        <v>393591.16666666669</v>
      </c>
    </row>
    <row r="21" spans="1:16" x14ac:dyDescent="0.3">
      <c r="A21" s="27" t="s">
        <v>18</v>
      </c>
      <c r="B21" s="28">
        <f>('Julio 08'!B21+'Agosto 08'!B21+'Sept 08'!B21)/3</f>
        <v>3995</v>
      </c>
      <c r="C21" s="28">
        <f>('Julio 08'!C21+'Agosto 08'!C21+'Sept 08'!C21)/3</f>
        <v>8874.6666666666661</v>
      </c>
      <c r="D21" s="69">
        <f>('Julio 08'!D21+'Agosto 08'!D21+'Sept 08'!D21)</f>
        <v>3198036</v>
      </c>
      <c r="E21" s="28">
        <f t="shared" si="2"/>
        <v>800.50963704630783</v>
      </c>
      <c r="F21" s="83">
        <f t="shared" si="3"/>
        <v>266503</v>
      </c>
    </row>
    <row r="22" spans="1:16" x14ac:dyDescent="0.3">
      <c r="A22" s="27" t="s">
        <v>19</v>
      </c>
      <c r="B22" s="28">
        <f>('Julio 08'!B22+'Agosto 08'!B22+'Sept 08'!B22)/3</f>
        <v>2585</v>
      </c>
      <c r="C22" s="28">
        <f>('Julio 08'!C22+'Agosto 08'!C22+'Sept 08'!C22)/3</f>
        <v>5707.666666666667</v>
      </c>
      <c r="D22" s="69">
        <f>('Julio 08'!D22+'Agosto 08'!D22+'Sept 08'!D22)</f>
        <v>2060786</v>
      </c>
      <c r="E22" s="28">
        <f t="shared" si="2"/>
        <v>797.20928433268864</v>
      </c>
      <c r="F22" s="83">
        <f t="shared" si="3"/>
        <v>171732.16666666666</v>
      </c>
    </row>
    <row r="23" spans="1:16" x14ac:dyDescent="0.3">
      <c r="A23" s="27" t="s">
        <v>20</v>
      </c>
      <c r="B23" s="28">
        <f>('Julio 08'!B23+'Agosto 08'!B23+'Sept 08'!B23)/3</f>
        <v>6934.333333333333</v>
      </c>
      <c r="C23" s="28">
        <f>('Julio 08'!C23+'Agosto 08'!C23+'Sept 08'!C23)/3</f>
        <v>14727.333333333334</v>
      </c>
      <c r="D23" s="69">
        <f>('Julio 08'!D23+'Agosto 08'!D23+'Sept 08'!D23)</f>
        <v>5345307</v>
      </c>
      <c r="E23" s="28">
        <f t="shared" si="2"/>
        <v>770.84656059222232</v>
      </c>
      <c r="F23" s="83">
        <f t="shared" si="3"/>
        <v>445442.25</v>
      </c>
    </row>
    <row r="24" spans="1:16" x14ac:dyDescent="0.3">
      <c r="A24" s="27" t="s">
        <v>21</v>
      </c>
      <c r="B24" s="28">
        <f>('Julio 08'!B24+'Agosto 08'!B24+'Sept 08'!B24)/3</f>
        <v>6326.666666666667</v>
      </c>
      <c r="C24" s="28">
        <f>('Julio 08'!C24+'Agosto 08'!C24+'Sept 08'!C24)/3</f>
        <v>14262.333333333334</v>
      </c>
      <c r="D24" s="69">
        <f>('Julio 08'!D24+'Agosto 08'!D24+'Sept 08'!D24)</f>
        <v>5181603</v>
      </c>
      <c r="E24" s="28">
        <f t="shared" si="2"/>
        <v>819.00995785036878</v>
      </c>
      <c r="F24" s="83">
        <f t="shared" si="3"/>
        <v>431800.25</v>
      </c>
    </row>
    <row r="25" spans="1:16" x14ac:dyDescent="0.3">
      <c r="A25" s="27" t="s">
        <v>69</v>
      </c>
      <c r="B25" s="28">
        <f>('Julio 08'!B25+'Agosto 08'!B25+'Sept 08'!B25)/3</f>
        <v>8217</v>
      </c>
      <c r="C25" s="28">
        <f>('Julio 08'!C25+'Agosto 08'!C25+'Sept 08'!C25)/3</f>
        <v>16837.333333333332</v>
      </c>
      <c r="D25" s="69">
        <f>('Julio 08'!D25+'Agosto 08'!D25+'Sept 08'!D25)</f>
        <v>6154374</v>
      </c>
      <c r="E25" s="28">
        <f t="shared" si="2"/>
        <v>748.98064987221619</v>
      </c>
      <c r="F25" s="83">
        <f t="shared" si="3"/>
        <v>512864.5</v>
      </c>
    </row>
    <row r="26" spans="1:16" x14ac:dyDescent="0.3">
      <c r="A26" s="27" t="s">
        <v>22</v>
      </c>
      <c r="B26" s="28">
        <f>('Julio 08'!B26+'Agosto 08'!B26+'Sept 08'!B26)/3</f>
        <v>5362.333333333333</v>
      </c>
      <c r="C26" s="28">
        <f>('Julio 08'!C26+'Agosto 08'!C26+'Sept 08'!C26)/3</f>
        <v>12830</v>
      </c>
      <c r="D26" s="69">
        <f>('Julio 08'!D26+'Agosto 08'!D26+'Sept 08'!D26)</f>
        <v>4568907</v>
      </c>
      <c r="E26" s="28">
        <f t="shared" si="2"/>
        <v>852.03711071051168</v>
      </c>
      <c r="F26" s="83">
        <f t="shared" si="3"/>
        <v>380742.25</v>
      </c>
    </row>
    <row r="27" spans="1:16" x14ac:dyDescent="0.3">
      <c r="A27" s="27" t="s">
        <v>23</v>
      </c>
      <c r="B27" s="28">
        <f>('Julio 08'!B27+'Agosto 08'!B27+'Sept 08'!B27)/3</f>
        <v>4525.666666666667</v>
      </c>
      <c r="C27" s="28">
        <f>('Julio 08'!C27+'Agosto 08'!C27+'Sept 08'!C27)/3</f>
        <v>10034.666666666666</v>
      </c>
      <c r="D27" s="69">
        <f>('Julio 08'!D27+'Agosto 08'!D27+'Sept 08'!D27)</f>
        <v>3580310</v>
      </c>
      <c r="E27" s="28">
        <f t="shared" si="2"/>
        <v>791.11217500184125</v>
      </c>
      <c r="F27" s="83">
        <f t="shared" si="3"/>
        <v>298359.16666666669</v>
      </c>
    </row>
    <row r="28" spans="1:16" ht="19.5" thickBot="1" x14ac:dyDescent="0.35">
      <c r="A28" s="43" t="s">
        <v>87</v>
      </c>
      <c r="B28" s="28">
        <f>('Julio 08'!B28+'Agosto 08'!B28+'Sept 08'!B28)/3</f>
        <v>6415.333333333333</v>
      </c>
      <c r="C28" s="28">
        <f>('Julio 08'!C28+'Agosto 08'!C28+'Sept 08'!C28)/3</f>
        <v>14523</v>
      </c>
      <c r="D28" s="69">
        <f>('Julio 08'!D28+'Agosto 08'!D28+'Sept 08'!D28)</f>
        <v>5281468</v>
      </c>
      <c r="E28" s="31">
        <f t="shared" si="2"/>
        <v>823.25698846513569</v>
      </c>
      <c r="F28" s="84">
        <f t="shared" si="3"/>
        <v>440122.33333333331</v>
      </c>
    </row>
    <row r="29" spans="1:16" ht="19.5" thickBot="1" x14ac:dyDescent="0.35">
      <c r="A29" s="32" t="s">
        <v>88</v>
      </c>
      <c r="B29" s="44">
        <f>SUM(B18:B28)</f>
        <v>73182</v>
      </c>
      <c r="C29" s="44">
        <f>SUM(C18:C28)</f>
        <v>164882.66666666666</v>
      </c>
      <c r="D29" s="74">
        <f>SUM(D18:D28)</f>
        <v>56923007</v>
      </c>
      <c r="E29" s="57">
        <f t="shared" si="2"/>
        <v>777.82797682490229</v>
      </c>
      <c r="F29" s="71">
        <f t="shared" si="3"/>
        <v>4743583.916666667</v>
      </c>
    </row>
    <row r="30" spans="1:16" ht="19.5" thickBot="1" x14ac:dyDescent="0.35">
      <c r="A30" s="35"/>
      <c r="B30" s="45"/>
      <c r="C30" s="45"/>
      <c r="D30" s="75"/>
      <c r="E30" s="36"/>
      <c r="F30" s="85"/>
    </row>
    <row r="31" spans="1:16" ht="19.5" thickBot="1" x14ac:dyDescent="0.35">
      <c r="A31" s="22" t="s">
        <v>2</v>
      </c>
      <c r="B31" s="46"/>
      <c r="C31" s="46"/>
      <c r="D31" s="67"/>
      <c r="E31" s="46"/>
      <c r="F31" s="86"/>
    </row>
    <row r="32" spans="1:16" x14ac:dyDescent="0.3">
      <c r="A32" s="25" t="s">
        <v>24</v>
      </c>
      <c r="B32" s="41">
        <f>('Julio 08'!B32+'Agosto 08'!B32+'Sept 08'!B32)/3</f>
        <v>21509</v>
      </c>
      <c r="C32" s="41">
        <f>('Julio 08'!C32+'Agosto 08'!C32+'Sept 08'!C32)/3</f>
        <v>45423.666666666664</v>
      </c>
      <c r="D32" s="68">
        <f>('Julio 08'!D32+'Agosto 08'!D32+'Sept 08'!D32)</f>
        <v>16449367</v>
      </c>
      <c r="E32" s="28">
        <f t="shared" ref="E32:E41" si="4">D32/B32</f>
        <v>764.76670231066066</v>
      </c>
      <c r="F32" s="82">
        <f t="shared" ref="F32:F41" si="5">D32/12</f>
        <v>1370780.5833333333</v>
      </c>
    </row>
    <row r="33" spans="1:6" x14ac:dyDescent="0.3">
      <c r="A33" s="27" t="s">
        <v>25</v>
      </c>
      <c r="B33" s="28">
        <f>('Julio 08'!B33+'Agosto 08'!B33+'Sept 08'!B33)/3</f>
        <v>3931</v>
      </c>
      <c r="C33" s="28">
        <f>('Julio 08'!C33+'Agosto 08'!C33+'Sept 08'!C33)/3</f>
        <v>8647</v>
      </c>
      <c r="D33" s="69">
        <f>('Julio 08'!D33+'Agosto 08'!D33+'Sept 08'!D33)</f>
        <v>3150464</v>
      </c>
      <c r="E33" s="28">
        <f t="shared" si="4"/>
        <v>801.44085474433984</v>
      </c>
      <c r="F33" s="83">
        <f t="shared" si="5"/>
        <v>262538.66666666669</v>
      </c>
    </row>
    <row r="34" spans="1:6" x14ac:dyDescent="0.3">
      <c r="A34" s="27" t="s">
        <v>26</v>
      </c>
      <c r="B34" s="28">
        <f>('Julio 08'!B34+'Agosto 08'!B34+'Sept 08'!B34)/3</f>
        <v>6473.666666666667</v>
      </c>
      <c r="C34" s="28">
        <f>('Julio 08'!C34+'Agosto 08'!C34+'Sept 08'!C34)/3</f>
        <v>14580.333333333334</v>
      </c>
      <c r="D34" s="69">
        <f>('Julio 08'!D34+'Agosto 08'!D34+'Sept 08'!D34)</f>
        <v>5222024</v>
      </c>
      <c r="E34" s="28">
        <f t="shared" si="4"/>
        <v>806.6562998815715</v>
      </c>
      <c r="F34" s="83">
        <f t="shared" si="5"/>
        <v>435168.66666666669</v>
      </c>
    </row>
    <row r="35" spans="1:6" x14ac:dyDescent="0.3">
      <c r="A35" s="27" t="s">
        <v>27</v>
      </c>
      <c r="B35" s="28">
        <f>('Julio 08'!B35+'Agosto 08'!B35+'Sept 08'!B35)/3</f>
        <v>4126.666666666667</v>
      </c>
      <c r="C35" s="28">
        <f>('Julio 08'!C35+'Agosto 08'!C35+'Sept 08'!C35)/3</f>
        <v>8891.3333333333339</v>
      </c>
      <c r="D35" s="69">
        <f>('Julio 08'!D35+'Agosto 08'!D35+'Sept 08'!D35)</f>
        <v>3173153</v>
      </c>
      <c r="E35" s="28">
        <f t="shared" si="4"/>
        <v>768.93852988691435</v>
      </c>
      <c r="F35" s="83">
        <f t="shared" si="5"/>
        <v>264429.41666666669</v>
      </c>
    </row>
    <row r="36" spans="1:6" x14ac:dyDescent="0.3">
      <c r="A36" s="27" t="s">
        <v>28</v>
      </c>
      <c r="B36" s="28">
        <f>('Julio 08'!B36+'Agosto 08'!B36+'Sept 08'!B36)/3</f>
        <v>4900</v>
      </c>
      <c r="C36" s="28">
        <f>('Julio 08'!C36+'Agosto 08'!C36+'Sept 08'!C36)/3</f>
        <v>10670.333333333334</v>
      </c>
      <c r="D36" s="69">
        <f>('Julio 08'!D36+'Agosto 08'!D36+'Sept 08'!D36)</f>
        <v>3796656</v>
      </c>
      <c r="E36" s="28">
        <f t="shared" si="4"/>
        <v>774.82775510204078</v>
      </c>
      <c r="F36" s="83">
        <f t="shared" si="5"/>
        <v>316388</v>
      </c>
    </row>
    <row r="37" spans="1:6" x14ac:dyDescent="0.3">
      <c r="A37" s="27" t="s">
        <v>29</v>
      </c>
      <c r="B37" s="28">
        <f>('Julio 08'!B37+'Agosto 08'!B37+'Sept 08'!B37)/3</f>
        <v>7737.666666666667</v>
      </c>
      <c r="C37" s="28">
        <f>('Julio 08'!C37+'Agosto 08'!C37+'Sept 08'!C37)/3</f>
        <v>17533</v>
      </c>
      <c r="D37" s="69">
        <f>('Julio 08'!D37+'Agosto 08'!D37+'Sept 08'!D37)</f>
        <v>6263243</v>
      </c>
      <c r="E37" s="28">
        <f t="shared" si="4"/>
        <v>809.44854176539002</v>
      </c>
      <c r="F37" s="83">
        <f t="shared" si="5"/>
        <v>521936.91666666669</v>
      </c>
    </row>
    <row r="38" spans="1:6" x14ac:dyDescent="0.3">
      <c r="A38" s="27" t="s">
        <v>89</v>
      </c>
      <c r="B38" s="28">
        <f>('Julio 08'!B38+'Agosto 08'!B38+'Sept 08'!B38)/3</f>
        <v>8053.333333333333</v>
      </c>
      <c r="C38" s="28">
        <f>('Julio 08'!C38+'Agosto 08'!C38+'Sept 08'!C38)/3</f>
        <v>18401</v>
      </c>
      <c r="D38" s="69">
        <f>('Julio 08'!D38+'Agosto 08'!D38+'Sept 08'!D38)</f>
        <v>6185877</v>
      </c>
      <c r="E38" s="28">
        <f t="shared" si="4"/>
        <v>768.1138658940398</v>
      </c>
      <c r="F38" s="83">
        <f t="shared" si="5"/>
        <v>515489.75</v>
      </c>
    </row>
    <row r="39" spans="1:6" x14ac:dyDescent="0.3">
      <c r="A39" s="27" t="s">
        <v>30</v>
      </c>
      <c r="B39" s="28">
        <f>('Julio 08'!B39+'Agosto 08'!B39+'Sept 08'!B39)/3</f>
        <v>5188.666666666667</v>
      </c>
      <c r="C39" s="28">
        <f>('Julio 08'!C39+'Agosto 08'!C39+'Sept 08'!C39)/3</f>
        <v>11293.333333333334</v>
      </c>
      <c r="D39" s="69">
        <f>('Julio 08'!D39+'Agosto 08'!D39+'Sept 08'!D39)</f>
        <v>4017886</v>
      </c>
      <c r="E39" s="28">
        <f t="shared" si="4"/>
        <v>774.35808814081975</v>
      </c>
      <c r="F39" s="83">
        <f t="shared" si="5"/>
        <v>334823.83333333331</v>
      </c>
    </row>
    <row r="40" spans="1:6" ht="19.5" thickBot="1" x14ac:dyDescent="0.35">
      <c r="A40" s="43" t="s">
        <v>90</v>
      </c>
      <c r="B40" s="28">
        <f>('Julio 08'!B40+'Agosto 08'!B40+'Sept 08'!B40)/3</f>
        <v>8575</v>
      </c>
      <c r="C40" s="28">
        <f>('Julio 08'!C40+'Agosto 08'!C40+'Sept 08'!C40)/3</f>
        <v>18346.333333333332</v>
      </c>
      <c r="D40" s="69">
        <f>('Julio 08'!D40+'Agosto 08'!D40+'Sept 08'!D40)</f>
        <v>6547534</v>
      </c>
      <c r="E40" s="31">
        <f t="shared" si="4"/>
        <v>763.56081632653058</v>
      </c>
      <c r="F40" s="84">
        <f t="shared" si="5"/>
        <v>545627.83333333337</v>
      </c>
    </row>
    <row r="41" spans="1:6" ht="19.5" thickBot="1" x14ac:dyDescent="0.35">
      <c r="A41" s="32" t="s">
        <v>91</v>
      </c>
      <c r="B41" s="44">
        <f>SUM(B32:B40)</f>
        <v>70495</v>
      </c>
      <c r="C41" s="44">
        <f>SUM(C32:C40)</f>
        <v>153786.33333333334</v>
      </c>
      <c r="D41" s="74">
        <f>SUM(D32:D40)</f>
        <v>54806204</v>
      </c>
      <c r="E41" s="57">
        <f t="shared" si="4"/>
        <v>777.44810270231926</v>
      </c>
      <c r="F41" s="71">
        <f t="shared" si="5"/>
        <v>4567183.666666667</v>
      </c>
    </row>
    <row r="42" spans="1:6" ht="19.5" thickBot="1" x14ac:dyDescent="0.35">
      <c r="A42" s="48"/>
      <c r="B42" s="49"/>
      <c r="C42" s="49"/>
      <c r="D42" s="76"/>
      <c r="E42" s="50"/>
      <c r="F42" s="85"/>
    </row>
    <row r="43" spans="1:6" ht="19.5" thickBot="1" x14ac:dyDescent="0.35">
      <c r="A43" s="22" t="s">
        <v>3</v>
      </c>
      <c r="B43" s="46"/>
      <c r="C43" s="46"/>
      <c r="D43" s="67"/>
      <c r="E43" s="46"/>
      <c r="F43" s="86"/>
    </row>
    <row r="44" spans="1:6" x14ac:dyDescent="0.3">
      <c r="A44" s="25" t="s">
        <v>31</v>
      </c>
      <c r="B44" s="41">
        <f>('Julio 08'!B44+'Agosto 08'!B44+'Sept 08'!B45)/3</f>
        <v>3824.6666666666665</v>
      </c>
      <c r="C44" s="41">
        <f>('Julio 08'!C44+'Agosto 08'!C44+'Sept 08'!C45)/3</f>
        <v>8067.333333333333</v>
      </c>
      <c r="D44" s="68">
        <f>('Julio 08'!D44+'Agosto 08'!D44+'Sept 08'!D45)</f>
        <v>2941519</v>
      </c>
      <c r="E44" s="28">
        <f t="shared" ref="E44:E51" si="6">D44/B44</f>
        <v>769.09159839637448</v>
      </c>
      <c r="F44" s="82">
        <f t="shared" ref="F44:F51" si="7">D44/12</f>
        <v>245126.58333333334</v>
      </c>
    </row>
    <row r="45" spans="1:6" x14ac:dyDescent="0.3">
      <c r="A45" s="27" t="s">
        <v>32</v>
      </c>
      <c r="B45" s="28">
        <f>('Julio 08'!B45+'Agosto 08'!B45+'Sept 08'!B46)/3</f>
        <v>6812.333333333333</v>
      </c>
      <c r="C45" s="28">
        <f>('Julio 08'!C45+'Agosto 08'!C45+'Sept 08'!C46)/3</f>
        <v>15926.333333333334</v>
      </c>
      <c r="D45" s="69">
        <f>('Julio 08'!D45+'Agosto 08'!D45+'Sept 08'!D46)</f>
        <v>5724603</v>
      </c>
      <c r="E45" s="28">
        <f t="shared" si="6"/>
        <v>840.32925576160892</v>
      </c>
      <c r="F45" s="83">
        <f t="shared" si="7"/>
        <v>477050.25</v>
      </c>
    </row>
    <row r="46" spans="1:6" x14ac:dyDescent="0.3">
      <c r="A46" s="27" t="s">
        <v>92</v>
      </c>
      <c r="B46" s="28">
        <f>('Julio 08'!B46+'Agosto 08'!B46+'Sept 08'!B47)/3</f>
        <v>17280</v>
      </c>
      <c r="C46" s="28">
        <f>('Julio 08'!C46+'Agosto 08'!C46+'Sept 08'!C47)/3</f>
        <v>35362.333333333336</v>
      </c>
      <c r="D46" s="69">
        <f>('Julio 08'!D46+'Agosto 08'!D46+'Sept 08'!D47)</f>
        <v>12747123</v>
      </c>
      <c r="E46" s="28">
        <f t="shared" si="6"/>
        <v>737.68072916666665</v>
      </c>
      <c r="F46" s="83">
        <f t="shared" si="7"/>
        <v>1062260.25</v>
      </c>
    </row>
    <row r="47" spans="1:6" x14ac:dyDescent="0.3">
      <c r="A47" s="27" t="s">
        <v>33</v>
      </c>
      <c r="B47" s="28">
        <f>('Julio 08'!B47+'Agosto 08'!B47+'Sept 08'!B48)/3</f>
        <v>5359.333333333333</v>
      </c>
      <c r="C47" s="28">
        <f>('Julio 08'!C47+'Agosto 08'!C47+'Sept 08'!C48)/3</f>
        <v>11673.666666666666</v>
      </c>
      <c r="D47" s="69">
        <f>('Julio 08'!D47+'Agosto 08'!D47+'Sept 08'!D48)</f>
        <v>4187606</v>
      </c>
      <c r="E47" s="28">
        <f t="shared" si="6"/>
        <v>781.36696106480906</v>
      </c>
      <c r="F47" s="83">
        <f t="shared" si="7"/>
        <v>348967.16666666669</v>
      </c>
    </row>
    <row r="48" spans="1:6" x14ac:dyDescent="0.3">
      <c r="A48" s="27" t="s">
        <v>34</v>
      </c>
      <c r="B48" s="28">
        <f>('Julio 08'!B48+'Agosto 08'!B48+'Sept 08'!B49)/3</f>
        <v>4401.333333333333</v>
      </c>
      <c r="C48" s="28">
        <f>('Julio 08'!C48+'Agosto 08'!C48+'Sept 08'!C49)/3</f>
        <v>9282</v>
      </c>
      <c r="D48" s="69">
        <f>('Julio 08'!D48+'Agosto 08'!D48+'Sept 08'!D49)</f>
        <v>3390431</v>
      </c>
      <c r="E48" s="28">
        <f t="shared" si="6"/>
        <v>770.31906997879435</v>
      </c>
      <c r="F48" s="83">
        <f t="shared" si="7"/>
        <v>282535.91666666669</v>
      </c>
    </row>
    <row r="49" spans="1:6" x14ac:dyDescent="0.3">
      <c r="A49" s="27" t="s">
        <v>35</v>
      </c>
      <c r="B49" s="28">
        <f>('Julio 08'!B49+'Agosto 08'!B49+'Sept 08'!B50)/3</f>
        <v>4220.666666666667</v>
      </c>
      <c r="C49" s="28">
        <f>('Julio 08'!C49+'Agosto 08'!C49+'Sept 08'!C50)/3</f>
        <v>8456</v>
      </c>
      <c r="D49" s="69">
        <f>('Julio 08'!D49+'Agosto 08'!D49+'Sept 08'!D50)</f>
        <v>3080284</v>
      </c>
      <c r="E49" s="28">
        <f t="shared" si="6"/>
        <v>729.8098246722476</v>
      </c>
      <c r="F49" s="83">
        <f t="shared" si="7"/>
        <v>256690.33333333334</v>
      </c>
    </row>
    <row r="50" spans="1:6" ht="19.5" thickBot="1" x14ac:dyDescent="0.35">
      <c r="A50" s="27" t="s">
        <v>36</v>
      </c>
      <c r="B50" s="30">
        <f>('Julio 08'!B50+'Agosto 08'!B50+'Sept 08'!B51)/3</f>
        <v>6265.666666666667</v>
      </c>
      <c r="C50" s="30">
        <f>('Julio 08'!C50+'Agosto 08'!C50+'Sept 08'!C51)/3</f>
        <v>12981.333333333334</v>
      </c>
      <c r="D50" s="70">
        <f>('Julio 08'!D50+'Agosto 08'!D50+'Sept 08'!D51)</f>
        <v>4682609</v>
      </c>
      <c r="E50" s="28">
        <f t="shared" si="6"/>
        <v>747.34409746236099</v>
      </c>
      <c r="F50" s="84">
        <f t="shared" si="7"/>
        <v>390217.41666666669</v>
      </c>
    </row>
    <row r="51" spans="1:6" ht="19.5" thickBot="1" x14ac:dyDescent="0.35">
      <c r="A51" s="32" t="s">
        <v>91</v>
      </c>
      <c r="B51" s="44">
        <f>SUM(B44:B50)</f>
        <v>48164</v>
      </c>
      <c r="C51" s="44">
        <f>SUM(C44:C50)</f>
        <v>101749</v>
      </c>
      <c r="D51" s="74">
        <f>SUM(D44:D50)</f>
        <v>36754175</v>
      </c>
      <c r="E51" s="57">
        <f t="shared" si="6"/>
        <v>763.10470475874092</v>
      </c>
      <c r="F51" s="71">
        <f t="shared" si="7"/>
        <v>3062847.9166666665</v>
      </c>
    </row>
    <row r="52" spans="1:6" ht="19.5" thickBot="1" x14ac:dyDescent="0.35">
      <c r="A52" s="48"/>
      <c r="B52" s="49"/>
      <c r="C52" s="49"/>
      <c r="D52" s="76"/>
      <c r="E52" s="50"/>
      <c r="F52" s="85"/>
    </row>
    <row r="53" spans="1:6" ht="19.5" thickBot="1" x14ac:dyDescent="0.35">
      <c r="A53" s="336" t="s">
        <v>4</v>
      </c>
      <c r="B53" s="332"/>
      <c r="C53" s="332"/>
      <c r="D53" s="333"/>
      <c r="E53" s="332"/>
      <c r="F53" s="337"/>
    </row>
    <row r="54" spans="1:6" x14ac:dyDescent="0.3">
      <c r="A54" s="340" t="s">
        <v>37</v>
      </c>
      <c r="B54" s="341">
        <f>('Julio 08'!B54+'Agosto 08'!B54+'Sept 08'!B55)/3</f>
        <v>6559.333333333333</v>
      </c>
      <c r="C54" s="341">
        <f>('Julio 08'!C54+'Agosto 08'!C54+'Sept 08'!C55)/3</f>
        <v>14365.666666666666</v>
      </c>
      <c r="D54" s="342">
        <f>('Julio 08'!D54+'Agosto 08'!D54+'Sept 08'!D55)</f>
        <v>5151907</v>
      </c>
      <c r="E54" s="341">
        <f t="shared" ref="E54:E60" si="8">D54/B54</f>
        <v>785.43149710336422</v>
      </c>
      <c r="F54" s="82">
        <f t="shared" ref="F54:F60" si="9">D54/12</f>
        <v>429325.58333333331</v>
      </c>
    </row>
    <row r="55" spans="1:6" x14ac:dyDescent="0.3">
      <c r="A55" s="27" t="s">
        <v>93</v>
      </c>
      <c r="B55" s="28">
        <f>('Julio 08'!B55+'Agosto 08'!B55+'Sept 08'!B56)/3</f>
        <v>15080.666666666666</v>
      </c>
      <c r="C55" s="28">
        <f>('Julio 08'!C55+'Agosto 08'!C55+'Sept 08'!C56)/3</f>
        <v>31637</v>
      </c>
      <c r="D55" s="69">
        <f>('Julio 08'!D55+'Agosto 08'!D55+'Sept 08'!D56)</f>
        <v>11412061</v>
      </c>
      <c r="E55" s="28">
        <f t="shared" si="8"/>
        <v>756.73451659961984</v>
      </c>
      <c r="F55" s="83">
        <f t="shared" si="9"/>
        <v>951005.08333333337</v>
      </c>
    </row>
    <row r="56" spans="1:6" x14ac:dyDescent="0.3">
      <c r="A56" s="27" t="s">
        <v>94</v>
      </c>
      <c r="B56" s="28">
        <f>('Julio 08'!B56+'Agosto 08'!B56+'Sept 08'!B57)/3</f>
        <v>4313.333333333333</v>
      </c>
      <c r="C56" s="28">
        <f>('Julio 08'!C56+'Agosto 08'!C56+'Sept 08'!C57)/3</f>
        <v>10112.333333333334</v>
      </c>
      <c r="D56" s="69">
        <f>('Julio 08'!D56+'Agosto 08'!D56+'Sept 08'!D57)</f>
        <v>3664240</v>
      </c>
      <c r="E56" s="28">
        <f t="shared" si="8"/>
        <v>849.51468315301395</v>
      </c>
      <c r="F56" s="83">
        <f t="shared" si="9"/>
        <v>305353.33333333331</v>
      </c>
    </row>
    <row r="57" spans="1:6" x14ac:dyDescent="0.3">
      <c r="A57" s="27" t="s">
        <v>38</v>
      </c>
      <c r="B57" s="28">
        <f>('Julio 08'!B57+'Agosto 08'!B57+'Sept 08'!B58)/3</f>
        <v>3116</v>
      </c>
      <c r="C57" s="28">
        <f>('Julio 08'!C57+'Agosto 08'!C57+'Sept 08'!C58)/3</f>
        <v>6705.333333333333</v>
      </c>
      <c r="D57" s="69">
        <f>('Julio 08'!D57+'Agosto 08'!D57+'Sept 08'!D58)</f>
        <v>2415192</v>
      </c>
      <c r="E57" s="28">
        <f t="shared" si="8"/>
        <v>775.09370988446722</v>
      </c>
      <c r="F57" s="83">
        <f t="shared" si="9"/>
        <v>201266</v>
      </c>
    </row>
    <row r="58" spans="1:6" x14ac:dyDescent="0.3">
      <c r="A58" s="27" t="s">
        <v>95</v>
      </c>
      <c r="B58" s="28">
        <f>('Julio 08'!B58+'Agosto 08'!B58+'Sept 08'!B59)/3</f>
        <v>7452.666666666667</v>
      </c>
      <c r="C58" s="28">
        <f>('Julio 08'!C58+'Agosto 08'!C58+'Sept 08'!C59)/3</f>
        <v>15978.666666666666</v>
      </c>
      <c r="D58" s="69">
        <f>('Julio 08'!D58+'Agosto 08'!D58+'Sept 08'!D59)</f>
        <v>5744008</v>
      </c>
      <c r="E58" s="28">
        <f t="shared" si="8"/>
        <v>770.73190804186413</v>
      </c>
      <c r="F58" s="83">
        <f t="shared" si="9"/>
        <v>478667.33333333331</v>
      </c>
    </row>
    <row r="59" spans="1:6" ht="19.5" thickBot="1" x14ac:dyDescent="0.35">
      <c r="A59" s="29" t="s">
        <v>96</v>
      </c>
      <c r="B59" s="30">
        <f>('Julio 08'!B59+'Agosto 08'!B59+'Sept 08'!B60)/3</f>
        <v>6762.333333333333</v>
      </c>
      <c r="C59" s="30">
        <f>('Julio 08'!C59+'Agosto 08'!C59+'Sept 08'!C60)/3</f>
        <v>14124</v>
      </c>
      <c r="D59" s="70">
        <f>('Julio 08'!D59+'Agosto 08'!D59+'Sept 08'!D60)</f>
        <v>5101864</v>
      </c>
      <c r="E59" s="30">
        <f t="shared" si="8"/>
        <v>754.45319662838278</v>
      </c>
      <c r="F59" s="84">
        <f t="shared" si="9"/>
        <v>425155.33333333331</v>
      </c>
    </row>
    <row r="60" spans="1:6" ht="19.5" thickBot="1" x14ac:dyDescent="0.35">
      <c r="A60" s="301" t="s">
        <v>91</v>
      </c>
      <c r="B60" s="334">
        <f>SUM(B54:B59)</f>
        <v>43284.333333333336</v>
      </c>
      <c r="C60" s="334">
        <f>SUM(C54:C59)</f>
        <v>92923</v>
      </c>
      <c r="D60" s="335">
        <f>SUM(D54:D59)</f>
        <v>33489272</v>
      </c>
      <c r="E60" s="338">
        <f t="shared" si="8"/>
        <v>773.70423478856856</v>
      </c>
      <c r="F60" s="339">
        <f t="shared" si="9"/>
        <v>2790772.6666666665</v>
      </c>
    </row>
    <row r="61" spans="1:6" ht="19.5" thickBot="1" x14ac:dyDescent="0.35">
      <c r="A61" s="48"/>
      <c r="B61" s="49"/>
      <c r="C61" s="49"/>
      <c r="D61" s="76"/>
      <c r="E61" s="50"/>
      <c r="F61" s="85"/>
    </row>
    <row r="62" spans="1:6" ht="19.5" thickBot="1" x14ac:dyDescent="0.35">
      <c r="A62" s="22" t="s">
        <v>5</v>
      </c>
      <c r="B62" s="46"/>
      <c r="C62" s="46"/>
      <c r="D62" s="67"/>
      <c r="E62" s="46"/>
      <c r="F62" s="86"/>
    </row>
    <row r="63" spans="1:6" x14ac:dyDescent="0.3">
      <c r="A63" s="25" t="s">
        <v>39</v>
      </c>
      <c r="B63" s="41">
        <f>('Julio 08'!B63+'Agosto 08'!B63+'Sept 08'!B64)/3</f>
        <v>3326.3333333333335</v>
      </c>
      <c r="C63" s="41">
        <f>('Julio 08'!C63+'Agosto 08'!C63+'Sept 08'!C64)/3</f>
        <v>7274.666666666667</v>
      </c>
      <c r="D63" s="68">
        <f>('Julio 08'!D63+'Agosto 08'!D63+'Sept 08'!D64)</f>
        <v>2611689</v>
      </c>
      <c r="E63" s="28">
        <f t="shared" ref="E63:E69" si="10">D63/B63</f>
        <v>785.1555266058723</v>
      </c>
      <c r="F63" s="82">
        <f t="shared" ref="F63:F69" si="11">D63/12</f>
        <v>217640.75</v>
      </c>
    </row>
    <row r="64" spans="1:6" x14ac:dyDescent="0.3">
      <c r="A64" s="27" t="s">
        <v>40</v>
      </c>
      <c r="B64" s="28">
        <f>('Julio 08'!B64+'Agosto 08'!B64+'Sept 08'!B65)/3</f>
        <v>5475.333333333333</v>
      </c>
      <c r="C64" s="28">
        <f>('Julio 08'!C64+'Agosto 08'!C64+'Sept 08'!C65)/3</f>
        <v>10789.333333333334</v>
      </c>
      <c r="D64" s="69">
        <f>('Julio 08'!D64+'Agosto 08'!D64+'Sept 08'!D65)</f>
        <v>3857603</v>
      </c>
      <c r="E64" s="28">
        <f t="shared" si="10"/>
        <v>704.54212833313045</v>
      </c>
      <c r="F64" s="83">
        <f t="shared" si="11"/>
        <v>321466.91666666669</v>
      </c>
    </row>
    <row r="65" spans="1:6" x14ac:dyDescent="0.3">
      <c r="A65" s="27" t="s">
        <v>5</v>
      </c>
      <c r="B65" s="28">
        <f>('Julio 08'!B65+'Agosto 08'!B65+'Sept 08'!B66)/3</f>
        <v>6875.333333333333</v>
      </c>
      <c r="C65" s="28">
        <f>('Julio 08'!C65+'Agosto 08'!C65+'Sept 08'!C66)/3</f>
        <v>14565.666666666666</v>
      </c>
      <c r="D65" s="69">
        <f>('Julio 08'!D65+'Agosto 08'!D65+'Sept 08'!D66)</f>
        <v>5258524</v>
      </c>
      <c r="E65" s="28">
        <f t="shared" si="10"/>
        <v>764.83913507223895</v>
      </c>
      <c r="F65" s="83">
        <f t="shared" si="11"/>
        <v>438210.33333333331</v>
      </c>
    </row>
    <row r="66" spans="1:6" x14ac:dyDescent="0.3">
      <c r="A66" s="27" t="s">
        <v>41</v>
      </c>
      <c r="B66" s="28">
        <f>('Julio 08'!B66+'Agosto 08'!B66+'Sept 08'!B67)/3</f>
        <v>3343.6666666666665</v>
      </c>
      <c r="C66" s="28">
        <f>('Julio 08'!C66+'Agosto 08'!C66+'Sept 08'!C67)/3</f>
        <v>6913.666666666667</v>
      </c>
      <c r="D66" s="69">
        <f>('Julio 08'!D66+'Agosto 08'!D66+'Sept 08'!D67)</f>
        <v>2516095</v>
      </c>
      <c r="E66" s="28">
        <f t="shared" si="10"/>
        <v>752.49576313428372</v>
      </c>
      <c r="F66" s="83">
        <f t="shared" si="11"/>
        <v>209674.58333333334</v>
      </c>
    </row>
    <row r="67" spans="1:6" x14ac:dyDescent="0.3">
      <c r="A67" s="27" t="s">
        <v>42</v>
      </c>
      <c r="B67" s="28">
        <f>('Julio 08'!B67+'Agosto 08'!B67+'Sept 08'!B68)/3</f>
        <v>5024</v>
      </c>
      <c r="C67" s="28">
        <f>('Julio 08'!C67+'Agosto 08'!C67+'Sept 08'!C68)/3</f>
        <v>10592.666666666666</v>
      </c>
      <c r="D67" s="69">
        <f>('Julio 08'!D67+'Agosto 08'!D67+'Sept 08'!D68)</f>
        <v>3828083</v>
      </c>
      <c r="E67" s="28">
        <f t="shared" si="10"/>
        <v>761.95919585987258</v>
      </c>
      <c r="F67" s="83">
        <f t="shared" si="11"/>
        <v>319006.91666666669</v>
      </c>
    </row>
    <row r="68" spans="1:6" ht="19.5" thickBot="1" x14ac:dyDescent="0.35">
      <c r="A68" s="29" t="s">
        <v>43</v>
      </c>
      <c r="B68" s="30">
        <f>('Julio 08'!B68+'Agosto 08'!B68+'Sept 08'!B69)/3</f>
        <v>3315.6666666666665</v>
      </c>
      <c r="C68" s="30">
        <f>('Julio 08'!C68+'Agosto 08'!C68+'Sept 08'!C69)/3</f>
        <v>7466</v>
      </c>
      <c r="D68" s="70">
        <f>('Julio 08'!D68+'Agosto 08'!D68+'Sept 08'!D69)</f>
        <v>2631760</v>
      </c>
      <c r="E68" s="28">
        <f t="shared" si="10"/>
        <v>793.734794410375</v>
      </c>
      <c r="F68" s="84">
        <f t="shared" si="11"/>
        <v>219313.33333333334</v>
      </c>
    </row>
    <row r="69" spans="1:6" ht="19.5" thickBot="1" x14ac:dyDescent="0.35">
      <c r="A69" s="32" t="s">
        <v>91</v>
      </c>
      <c r="B69" s="44">
        <f>SUM(B63:B68)</f>
        <v>27360.333333333336</v>
      </c>
      <c r="C69" s="44">
        <f>SUM(C63:C68)</f>
        <v>57601.999999999993</v>
      </c>
      <c r="D69" s="78">
        <f>SUM(D63:D68)</f>
        <v>20703754</v>
      </c>
      <c r="E69" s="57">
        <f t="shared" si="10"/>
        <v>756.70693583167838</v>
      </c>
      <c r="F69" s="71">
        <f t="shared" si="11"/>
        <v>1725312.8333333333</v>
      </c>
    </row>
    <row r="70" spans="1:6" ht="19.5" thickBot="1" x14ac:dyDescent="0.35">
      <c r="A70" s="48"/>
      <c r="B70" s="49"/>
      <c r="C70" s="49"/>
      <c r="D70" s="76"/>
      <c r="E70" s="50"/>
      <c r="F70" s="85"/>
    </row>
    <row r="71" spans="1:6" ht="19.5" thickBot="1" x14ac:dyDescent="0.35">
      <c r="A71" s="22" t="s">
        <v>6</v>
      </c>
      <c r="B71" s="46"/>
      <c r="C71" s="46"/>
      <c r="D71" s="67"/>
      <c r="E71" s="46"/>
      <c r="F71" s="86"/>
    </row>
    <row r="72" spans="1:6" x14ac:dyDescent="0.3">
      <c r="A72" s="25" t="s">
        <v>44</v>
      </c>
      <c r="B72" s="41">
        <f>('Julio 08'!B72+'Agosto 08'!B72+'Sept 08'!B73)/3</f>
        <v>1833</v>
      </c>
      <c r="C72" s="41">
        <f>('Julio 08'!C72+'Agosto 08'!C72+'Sept 08'!C73)/3</f>
        <v>3859.3333333333335</v>
      </c>
      <c r="D72" s="68">
        <f>('Julio 08'!D72+'Agosto 08'!D72+'Sept 08'!D73)</f>
        <v>1377390</v>
      </c>
      <c r="E72" s="28">
        <f t="shared" ref="E72:E82" si="12">D72/B72</f>
        <v>751.44026186579379</v>
      </c>
      <c r="F72" s="82">
        <f t="shared" ref="F72:F82" si="13">D72/12</f>
        <v>114782.5</v>
      </c>
    </row>
    <row r="73" spans="1:6" x14ac:dyDescent="0.3">
      <c r="A73" s="27" t="s">
        <v>70</v>
      </c>
      <c r="B73" s="28">
        <f>('Julio 08'!B73+'Agosto 08'!B73+'Sept 08'!B74)/3</f>
        <v>113.33333333333333</v>
      </c>
      <c r="C73" s="28">
        <f>('Julio 08'!C73+'Agosto 08'!C73+'Sept 08'!C74)/3</f>
        <v>240</v>
      </c>
      <c r="D73" s="69">
        <f>('Julio 08'!D73+'Agosto 08'!D73+'Sept 08'!D74)</f>
        <v>81836</v>
      </c>
      <c r="E73" s="28">
        <f t="shared" si="12"/>
        <v>722.08235294117651</v>
      </c>
      <c r="F73" s="83">
        <f t="shared" si="13"/>
        <v>6819.666666666667</v>
      </c>
    </row>
    <row r="74" spans="1:6" x14ac:dyDescent="0.3">
      <c r="A74" s="27" t="s">
        <v>45</v>
      </c>
      <c r="B74" s="28">
        <f>('Julio 08'!B74+'Agosto 08'!B74+'Sept 08'!B75)/3</f>
        <v>5662.333333333333</v>
      </c>
      <c r="C74" s="28">
        <f>('Julio 08'!C74+'Agosto 08'!C74+'Sept 08'!C75)/3</f>
        <v>11927</v>
      </c>
      <c r="D74" s="69">
        <f>('Julio 08'!D74+'Agosto 08'!D74+'Sept 08'!D75)</f>
        <v>4327787</v>
      </c>
      <c r="E74" s="28">
        <f t="shared" si="12"/>
        <v>764.31159121681287</v>
      </c>
      <c r="F74" s="83">
        <f t="shared" si="13"/>
        <v>360648.91666666669</v>
      </c>
    </row>
    <row r="75" spans="1:6" x14ac:dyDescent="0.3">
      <c r="A75" s="27" t="s">
        <v>6</v>
      </c>
      <c r="B75" s="28">
        <f>('Julio 08'!B75+'Agosto 08'!B75+'Sept 08'!B76)/3</f>
        <v>9313</v>
      </c>
      <c r="C75" s="28">
        <f>('Julio 08'!C75+'Agosto 08'!C75+'Sept 08'!C76)/3</f>
        <v>18753.666666666668</v>
      </c>
      <c r="D75" s="69">
        <f>('Julio 08'!D75+'Agosto 08'!D75+'Sept 08'!D76)</f>
        <v>6813148</v>
      </c>
      <c r="E75" s="28">
        <f t="shared" si="12"/>
        <v>731.57392891656821</v>
      </c>
      <c r="F75" s="83">
        <f t="shared" si="13"/>
        <v>567762.33333333337</v>
      </c>
    </row>
    <row r="76" spans="1:6" x14ac:dyDescent="0.3">
      <c r="A76" s="27" t="s">
        <v>46</v>
      </c>
      <c r="B76" s="28">
        <f>('Julio 08'!B76+'Agosto 08'!B76+'Sept 08'!B77)/3</f>
        <v>6982</v>
      </c>
      <c r="C76" s="28">
        <f>('Julio 08'!C76+'Agosto 08'!C76+'Sept 08'!C77)/3</f>
        <v>14915.666666666666</v>
      </c>
      <c r="D76" s="69">
        <f>('Julio 08'!D76+'Agosto 08'!D76+'Sept 08'!D77)</f>
        <v>5426925</v>
      </c>
      <c r="E76" s="28">
        <f t="shared" si="12"/>
        <v>777.27370380979664</v>
      </c>
      <c r="F76" s="83">
        <f t="shared" si="13"/>
        <v>452243.75</v>
      </c>
    </row>
    <row r="77" spans="1:6" x14ac:dyDescent="0.3">
      <c r="A77" s="27" t="s">
        <v>47</v>
      </c>
      <c r="B77" s="28">
        <f>('Julio 08'!B77+'Agosto 08'!B77+'Sept 08'!B78)/3</f>
        <v>5793</v>
      </c>
      <c r="C77" s="28">
        <f>('Julio 08'!C77+'Agosto 08'!C77+'Sept 08'!C78)/3</f>
        <v>12006</v>
      </c>
      <c r="D77" s="69">
        <f>('Julio 08'!D77+'Agosto 08'!D77+'Sept 08'!D78)</f>
        <v>4380113</v>
      </c>
      <c r="E77" s="28">
        <f t="shared" si="12"/>
        <v>756.10443638874506</v>
      </c>
      <c r="F77" s="83">
        <f t="shared" si="13"/>
        <v>365009.41666666669</v>
      </c>
    </row>
    <row r="78" spans="1:6" x14ac:dyDescent="0.3">
      <c r="A78" s="27" t="s">
        <v>48</v>
      </c>
      <c r="B78" s="28">
        <f>('Julio 08'!B78+'Agosto 08'!B78+'Sept 08'!B79)/3</f>
        <v>2402.6666666666665</v>
      </c>
      <c r="C78" s="28">
        <f>('Julio 08'!C78+'Agosto 08'!C78+'Sept 08'!C79)/3</f>
        <v>4967</v>
      </c>
      <c r="D78" s="69">
        <f>('Julio 08'!D78+'Agosto 08'!D78+'Sept 08'!D79)</f>
        <v>1787172</v>
      </c>
      <c r="E78" s="28">
        <f t="shared" si="12"/>
        <v>743.82852386237516</v>
      </c>
      <c r="F78" s="83">
        <f t="shared" si="13"/>
        <v>148931</v>
      </c>
    </row>
    <row r="79" spans="1:6" x14ac:dyDescent="0.3">
      <c r="A79" s="27" t="s">
        <v>49</v>
      </c>
      <c r="B79" s="28">
        <f>('Julio 08'!B79+'Agosto 08'!B79+'Sept 08'!B80)/3</f>
        <v>4277.333333333333</v>
      </c>
      <c r="C79" s="28">
        <f>('Julio 08'!C79+'Agosto 08'!C79+'Sept 08'!C80)/3</f>
        <v>8912.6666666666661</v>
      </c>
      <c r="D79" s="69">
        <f>('Julio 08'!D79+'Agosto 08'!D79+'Sept 08'!D80)</f>
        <v>3235972</v>
      </c>
      <c r="E79" s="28">
        <f t="shared" si="12"/>
        <v>756.53958852867834</v>
      </c>
      <c r="F79" s="83">
        <f t="shared" si="13"/>
        <v>269664.33333333331</v>
      </c>
    </row>
    <row r="80" spans="1:6" x14ac:dyDescent="0.3">
      <c r="A80" s="27" t="s">
        <v>50</v>
      </c>
      <c r="B80" s="28">
        <f>('Julio 08'!B80+'Agosto 08'!B80+'Sept 08'!B81)/3</f>
        <v>1718</v>
      </c>
      <c r="C80" s="28">
        <f>('Julio 08'!C80+'Agosto 08'!C80+'Sept 08'!C81)/3</f>
        <v>3545.6666666666665</v>
      </c>
      <c r="D80" s="69">
        <f>('Julio 08'!D80+'Agosto 08'!D80+'Sept 08'!D81)</f>
        <v>1292768</v>
      </c>
      <c r="E80" s="28">
        <f t="shared" si="12"/>
        <v>752.4842840512224</v>
      </c>
      <c r="F80" s="83">
        <f t="shared" si="13"/>
        <v>107730.66666666667</v>
      </c>
    </row>
    <row r="81" spans="1:6" ht="19.5" thickBot="1" x14ac:dyDescent="0.35">
      <c r="A81" s="29" t="s">
        <v>51</v>
      </c>
      <c r="B81" s="30">
        <f>('Julio 08'!B81+'Agosto 08'!B81+'Sept 08'!B82)/3</f>
        <v>7705.333333333333</v>
      </c>
      <c r="C81" s="30">
        <f>('Julio 08'!C81+'Agosto 08'!C81+'Sept 08'!C82)/3</f>
        <v>16002.333333333334</v>
      </c>
      <c r="D81" s="70">
        <f>('Julio 08'!D81+'Agosto 08'!D81+'Sept 08'!D82)</f>
        <v>5781948</v>
      </c>
      <c r="E81" s="28">
        <f t="shared" si="12"/>
        <v>750.38259214396953</v>
      </c>
      <c r="F81" s="84">
        <f t="shared" si="13"/>
        <v>481829</v>
      </c>
    </row>
    <row r="82" spans="1:6" ht="19.5" thickBot="1" x14ac:dyDescent="0.35">
      <c r="A82" s="32" t="s">
        <v>91</v>
      </c>
      <c r="B82" s="44">
        <f>SUM(B77:B81)</f>
        <v>21896.333333333332</v>
      </c>
      <c r="C82" s="44">
        <f>SUM(C77:C81)</f>
        <v>45433.666666666664</v>
      </c>
      <c r="D82" s="78">
        <f>SUM(D77:D81)</f>
        <v>16477973</v>
      </c>
      <c r="E82" s="57">
        <f t="shared" si="12"/>
        <v>752.54485530301884</v>
      </c>
      <c r="F82" s="71">
        <f t="shared" si="13"/>
        <v>1373164.4166666667</v>
      </c>
    </row>
    <row r="83" spans="1:6" ht="19.5" thickBot="1" x14ac:dyDescent="0.35">
      <c r="A83" s="48"/>
      <c r="B83" s="49"/>
      <c r="C83" s="49"/>
      <c r="D83" s="76"/>
      <c r="E83" s="50"/>
      <c r="F83" s="85"/>
    </row>
    <row r="84" spans="1:6" ht="19.5" thickBot="1" x14ac:dyDescent="0.35">
      <c r="A84" s="336" t="s">
        <v>7</v>
      </c>
      <c r="B84" s="332"/>
      <c r="C84" s="332"/>
      <c r="D84" s="333"/>
      <c r="E84" s="332"/>
      <c r="F84" s="337"/>
    </row>
    <row r="85" spans="1:6" x14ac:dyDescent="0.3">
      <c r="A85" s="340" t="s">
        <v>52</v>
      </c>
      <c r="B85" s="341">
        <f>('Julio 08'!B85+'Agosto 08'!B85+'Sept 08'!B86)/3</f>
        <v>4604.333333333333</v>
      </c>
      <c r="C85" s="341">
        <f>('Julio 08'!C85+'Agosto 08'!C85+'Sept 08'!C86)/3</f>
        <v>9551.3333333333339</v>
      </c>
      <c r="D85" s="342">
        <f>('Julio 08'!D85+'Agosto 08'!D85+'Sept 08'!D86)</f>
        <v>3442803</v>
      </c>
      <c r="E85" s="341">
        <f t="shared" ref="E85:E92" si="14">D85/B85</f>
        <v>747.73105045971192</v>
      </c>
      <c r="F85" s="82">
        <f t="shared" ref="F85:F94" si="15">D85/12</f>
        <v>286900.25</v>
      </c>
    </row>
    <row r="86" spans="1:6" x14ac:dyDescent="0.3">
      <c r="A86" s="27" t="s">
        <v>53</v>
      </c>
      <c r="B86" s="28">
        <f>('Julio 08'!B86+'Agosto 08'!B86+'Sept 08'!B87)/3</f>
        <v>6177.666666666667</v>
      </c>
      <c r="C86" s="28">
        <f>('Julio 08'!C86+'Agosto 08'!C86+'Sept 08'!C87)/3</f>
        <v>13247.333333333334</v>
      </c>
      <c r="D86" s="69">
        <f>('Julio 08'!D86+'Agosto 08'!D86+'Sept 08'!D87)</f>
        <v>4770354</v>
      </c>
      <c r="E86" s="28">
        <f t="shared" si="14"/>
        <v>772.19349268871736</v>
      </c>
      <c r="F86" s="83">
        <f t="shared" si="15"/>
        <v>397529.5</v>
      </c>
    </row>
    <row r="87" spans="1:6" x14ac:dyDescent="0.3">
      <c r="A87" s="27" t="s">
        <v>54</v>
      </c>
      <c r="B87" s="28">
        <f>('Julio 08'!B87+'Agosto 08'!B87+'Sept 08'!B88)/3</f>
        <v>3659</v>
      </c>
      <c r="C87" s="28">
        <f>('Julio 08'!C87+'Agosto 08'!C87+'Sept 08'!C88)/3</f>
        <v>8119.333333333333</v>
      </c>
      <c r="D87" s="69">
        <f>('Julio 08'!D87+'Agosto 08'!D87+'Sept 08'!D88)</f>
        <v>2913202</v>
      </c>
      <c r="E87" s="28">
        <f t="shared" si="14"/>
        <v>796.17436458048644</v>
      </c>
      <c r="F87" s="83">
        <f t="shared" si="15"/>
        <v>242766.83333333334</v>
      </c>
    </row>
    <row r="88" spans="1:6" x14ac:dyDescent="0.3">
      <c r="A88" s="27" t="s">
        <v>55</v>
      </c>
      <c r="B88" s="28">
        <f>('Julio 08'!B88+'Agosto 08'!B88+'Sept 08'!B89)/3</f>
        <v>1905.6666666666667</v>
      </c>
      <c r="C88" s="28">
        <f>('Julio 08'!C88+'Agosto 08'!C88+'Sept 08'!C89)/3</f>
        <v>3667.6666666666665</v>
      </c>
      <c r="D88" s="69">
        <f>('Julio 08'!D88+'Agosto 08'!D88+'Sept 08'!D89)</f>
        <v>1322712</v>
      </c>
      <c r="E88" s="28">
        <f t="shared" si="14"/>
        <v>694.09410529998252</v>
      </c>
      <c r="F88" s="83">
        <f t="shared" si="15"/>
        <v>110226</v>
      </c>
    </row>
    <row r="89" spans="1:6" x14ac:dyDescent="0.3">
      <c r="A89" s="27" t="s">
        <v>56</v>
      </c>
      <c r="B89" s="28">
        <f>('Julio 08'!B89+'Agosto 08'!B89+'Sept 08'!B90)/3</f>
        <v>4152</v>
      </c>
      <c r="C89" s="28">
        <f>('Julio 08'!C89+'Agosto 08'!C89+'Sept 08'!C90)/3</f>
        <v>8992.3333333333339</v>
      </c>
      <c r="D89" s="69">
        <f>('Julio 08'!D89+'Agosto 08'!D89+'Sept 08'!D90)</f>
        <v>3233388</v>
      </c>
      <c r="E89" s="28">
        <f t="shared" si="14"/>
        <v>778.75433526011557</v>
      </c>
      <c r="F89" s="83">
        <f t="shared" si="15"/>
        <v>269449</v>
      </c>
    </row>
    <row r="90" spans="1:6" x14ac:dyDescent="0.3">
      <c r="A90" s="27" t="s">
        <v>57</v>
      </c>
      <c r="B90" s="28">
        <f>('Julio 08'!B90+'Agosto 08'!B90+'Sept 08'!B91)/3</f>
        <v>994.66666666666663</v>
      </c>
      <c r="C90" s="28">
        <f>('Julio 08'!C90+'Agosto 08'!C90+'Sept 08'!C91)/3</f>
        <v>2435.6666666666665</v>
      </c>
      <c r="D90" s="69">
        <f>('Julio 08'!D90+'Agosto 08'!D90+'Sept 08'!D91)</f>
        <v>872007</v>
      </c>
      <c r="E90" s="28">
        <f t="shared" si="14"/>
        <v>876.68264075067032</v>
      </c>
      <c r="F90" s="83">
        <f t="shared" si="15"/>
        <v>72667.25</v>
      </c>
    </row>
    <row r="91" spans="1:6" x14ac:dyDescent="0.3">
      <c r="A91" s="27" t="s">
        <v>97</v>
      </c>
      <c r="B91" s="28">
        <f>('Julio 08'!B91+'Agosto 08'!B91+'Sept 08'!B92)/3</f>
        <v>13131.666666666666</v>
      </c>
      <c r="C91" s="28">
        <f>('Julio 08'!C91+'Agosto 08'!C91+'Sept 08'!C92)/3</f>
        <v>26375.666666666668</v>
      </c>
      <c r="D91" s="69">
        <f>('Julio 08'!D91+'Agosto 08'!D91+'Sept 08'!D92)</f>
        <v>9656208</v>
      </c>
      <c r="E91" s="28">
        <f t="shared" si="14"/>
        <v>735.33758091128323</v>
      </c>
      <c r="F91" s="83">
        <f t="shared" si="15"/>
        <v>804684</v>
      </c>
    </row>
    <row r="92" spans="1:6" x14ac:dyDescent="0.3">
      <c r="A92" s="51" t="s">
        <v>58</v>
      </c>
      <c r="B92" s="28">
        <f>('Julio 08'!B92+'Agosto 08'!B92+'Sept 08'!B93)/3</f>
        <v>3551.3333333333335</v>
      </c>
      <c r="C92" s="28">
        <f>('Julio 08'!C92+'Agosto 08'!C92+'Sept 08'!C93)/3</f>
        <v>7722.333333333333</v>
      </c>
      <c r="D92" s="69">
        <f>('Julio 08'!D92+'Agosto 08'!D92+'Sept 08'!D93)</f>
        <v>2750177</v>
      </c>
      <c r="E92" s="28">
        <f t="shared" si="14"/>
        <v>774.40688943119949</v>
      </c>
      <c r="F92" s="83">
        <f t="shared" si="15"/>
        <v>229181.41666666666</v>
      </c>
    </row>
    <row r="93" spans="1:6" ht="19.5" thickBot="1" x14ac:dyDescent="0.35">
      <c r="A93" s="29" t="s">
        <v>59</v>
      </c>
      <c r="B93" s="30">
        <f>('Julio 08'!B93+'Agosto 08'!B93+'Sept 08'!B94)/3</f>
        <v>5457</v>
      </c>
      <c r="C93" s="30">
        <f>('Julio 08'!C93+'Agosto 08'!C93+'Sept 08'!C94)/3</f>
        <v>11372.666666666666</v>
      </c>
      <c r="D93" s="70">
        <f>('Julio 08'!D93+'Agosto 08'!D93+'Sept 08'!D94)</f>
        <v>4109333</v>
      </c>
      <c r="E93" s="30">
        <f>D93/B93</f>
        <v>753.03884918453366</v>
      </c>
      <c r="F93" s="84">
        <f t="shared" si="15"/>
        <v>342444.41666666669</v>
      </c>
    </row>
    <row r="94" spans="1:6" ht="19.5" thickBot="1" x14ac:dyDescent="0.35">
      <c r="A94" s="301" t="s">
        <v>91</v>
      </c>
      <c r="B94" s="334">
        <f>SUM(B85:B93)</f>
        <v>43633.333333333336</v>
      </c>
      <c r="C94" s="334">
        <f>SUM(C85:C93)</f>
        <v>91484.333333333328</v>
      </c>
      <c r="D94" s="343">
        <f>SUM(D85:D93)</f>
        <v>33070184</v>
      </c>
      <c r="E94" s="338">
        <f>D94/B94</f>
        <v>757.91101604278072</v>
      </c>
      <c r="F94" s="339">
        <f t="shared" si="15"/>
        <v>2755848.6666666665</v>
      </c>
    </row>
    <row r="95" spans="1:6" ht="19.5" thickBot="1" x14ac:dyDescent="0.35">
      <c r="A95" s="48"/>
      <c r="B95" s="49"/>
      <c r="C95" s="49"/>
      <c r="D95" s="76"/>
      <c r="E95" s="50"/>
      <c r="F95" s="85"/>
    </row>
    <row r="96" spans="1:6" ht="19.5" thickBot="1" x14ac:dyDescent="0.35">
      <c r="A96" s="37" t="s">
        <v>8</v>
      </c>
      <c r="B96" s="46"/>
      <c r="C96" s="46"/>
      <c r="D96" s="67"/>
      <c r="E96" s="46"/>
      <c r="F96" s="86"/>
    </row>
    <row r="97" spans="1:6" x14ac:dyDescent="0.3">
      <c r="A97" s="52" t="s">
        <v>73</v>
      </c>
      <c r="B97" s="41">
        <f>('Julio 08'!B97+'Agosto 08'!B97+'Sept 08'!B99)/3</f>
        <v>4341.666666666667</v>
      </c>
      <c r="C97" s="41">
        <f>('Julio 08'!C97+'Agosto 08'!C97+'Sept 08'!C99)/3</f>
        <v>9385.3333333333339</v>
      </c>
      <c r="D97" s="68">
        <f>('Julio 08'!D97+'Agosto 08'!D97+'Sept 08'!D99)</f>
        <v>3386489</v>
      </c>
      <c r="E97" s="28">
        <f t="shared" ref="E97:E108" si="16">D97/B97</f>
        <v>779.99746641074853</v>
      </c>
      <c r="F97" s="82">
        <f t="shared" ref="F97:F108" si="17">D97/12</f>
        <v>282207.41666666669</v>
      </c>
    </row>
    <row r="98" spans="1:6" x14ac:dyDescent="0.3">
      <c r="A98" s="53" t="s">
        <v>60</v>
      </c>
      <c r="B98" s="28">
        <f>('Julio 08'!B98+'Agosto 08'!B98+'Sept 08'!B100)/3</f>
        <v>3399</v>
      </c>
      <c r="C98" s="28">
        <f>('Julio 08'!C98+'Agosto 08'!C98+'Sept 08'!C100)/3</f>
        <v>7190.333333333333</v>
      </c>
      <c r="D98" s="69">
        <f>('Julio 08'!D98+'Agosto 08'!D98+'Sept 08'!D100)</f>
        <v>2497728</v>
      </c>
      <c r="E98" s="28">
        <f t="shared" si="16"/>
        <v>734.84201235657542</v>
      </c>
      <c r="F98" s="83">
        <f t="shared" si="17"/>
        <v>208144</v>
      </c>
    </row>
    <row r="99" spans="1:6" x14ac:dyDescent="0.3">
      <c r="A99" s="53" t="s">
        <v>61</v>
      </c>
      <c r="B99" s="28">
        <f>('Julio 08'!B99+'Agosto 08'!B100+'Sept 08'!B101)/3</f>
        <v>6584.333333333333</v>
      </c>
      <c r="C99" s="28">
        <f>('Julio 08'!C99+'Agosto 08'!C100+'Sept 08'!C101)/3</f>
        <v>14443.333333333334</v>
      </c>
      <c r="D99" s="69">
        <f>('Julio 08'!D99+'Agosto 08'!D100+'Sept 08'!D101)</f>
        <v>5212079</v>
      </c>
      <c r="E99" s="28">
        <f t="shared" si="16"/>
        <v>791.58796132233078</v>
      </c>
      <c r="F99" s="83">
        <f t="shared" si="17"/>
        <v>434339.91666666669</v>
      </c>
    </row>
    <row r="100" spans="1:6" x14ac:dyDescent="0.3">
      <c r="A100" s="27" t="s">
        <v>62</v>
      </c>
      <c r="B100" s="28">
        <f>('Julio 08'!B100+'Agosto 08'!B101+'Sept 08'!B102)/3</f>
        <v>3865.6666666666665</v>
      </c>
      <c r="C100" s="28">
        <f>('Julio 08'!C100+'Agosto 08'!C101+'Sept 08'!C102)/3</f>
        <v>8750</v>
      </c>
      <c r="D100" s="69">
        <f>('Julio 08'!D100+'Agosto 08'!D101+'Sept 08'!D102)</f>
        <v>3153020</v>
      </c>
      <c r="E100" s="28">
        <f t="shared" si="16"/>
        <v>815.64715012503234</v>
      </c>
      <c r="F100" s="83">
        <f t="shared" si="17"/>
        <v>262751.66666666669</v>
      </c>
    </row>
    <row r="101" spans="1:6" x14ac:dyDescent="0.3">
      <c r="A101" s="27" t="s">
        <v>63</v>
      </c>
      <c r="B101" s="28">
        <f>('Julio 08'!B101+'Agosto 08'!B102+'Sept 08'!B103)/3</f>
        <v>3180</v>
      </c>
      <c r="C101" s="28">
        <f>('Julio 08'!C101+'Agosto 08'!C102+'Sept 08'!C103)/3</f>
        <v>7871</v>
      </c>
      <c r="D101" s="69">
        <f>('Julio 08'!D101+'Agosto 08'!D102+'Sept 08'!D103)</f>
        <v>2839074</v>
      </c>
      <c r="E101" s="28">
        <f t="shared" si="16"/>
        <v>892.79056603773586</v>
      </c>
      <c r="F101" s="83">
        <f t="shared" si="17"/>
        <v>236589.5</v>
      </c>
    </row>
    <row r="102" spans="1:6" x14ac:dyDescent="0.3">
      <c r="A102" s="27" t="s">
        <v>64</v>
      </c>
      <c r="B102" s="28">
        <f>('Julio 08'!B102+'Agosto 08'!B103+'Sept 08'!B104)/3</f>
        <v>7133</v>
      </c>
      <c r="C102" s="28">
        <f>('Julio 08'!C102+'Agosto 08'!C103+'Sept 08'!C104)/3</f>
        <v>16533.333333333332</v>
      </c>
      <c r="D102" s="69">
        <f>('Julio 08'!D102+'Agosto 08'!D103+'Sept 08'!D104)</f>
        <v>5887855</v>
      </c>
      <c r="E102" s="28">
        <f t="shared" si="16"/>
        <v>825.43880555166129</v>
      </c>
      <c r="F102" s="83">
        <f t="shared" si="17"/>
        <v>490654.58333333331</v>
      </c>
    </row>
    <row r="103" spans="1:6" x14ac:dyDescent="0.3">
      <c r="A103" s="27" t="s">
        <v>65</v>
      </c>
      <c r="B103" s="28">
        <f>('Julio 08'!B103+'Agosto 08'!B104+'Sept 08'!B105)/3</f>
        <v>5022</v>
      </c>
      <c r="C103" s="28">
        <f>('Julio 08'!C103+'Agosto 08'!C104+'Sept 08'!C105)/3</f>
        <v>11906.333333333334</v>
      </c>
      <c r="D103" s="69">
        <f>('Julio 08'!D103+'Agosto 08'!D104+'Sept 08'!D105)</f>
        <v>4235626</v>
      </c>
      <c r="E103" s="28">
        <f t="shared" si="16"/>
        <v>843.41417761847867</v>
      </c>
      <c r="F103" s="83">
        <f t="shared" si="17"/>
        <v>352968.83333333331</v>
      </c>
    </row>
    <row r="104" spans="1:6" x14ac:dyDescent="0.3">
      <c r="A104" s="27" t="s">
        <v>66</v>
      </c>
      <c r="B104" s="28">
        <f>('Julio 08'!B104+'Agosto 08'!B105+'Sept 08'!B106)/3</f>
        <v>4049.6666666666665</v>
      </c>
      <c r="C104" s="28">
        <f>('Julio 08'!C104+'Agosto 08'!C105+'Sept 08'!C106)/3</f>
        <v>9810.6666666666661</v>
      </c>
      <c r="D104" s="69">
        <f>('Julio 08'!D104+'Agosto 08'!D105+'Sept 08'!D106)</f>
        <v>3471468</v>
      </c>
      <c r="E104" s="28">
        <f t="shared" si="16"/>
        <v>857.22314593793726</v>
      </c>
      <c r="F104" s="83">
        <f t="shared" si="17"/>
        <v>289289</v>
      </c>
    </row>
    <row r="105" spans="1:6" x14ac:dyDescent="0.3">
      <c r="A105" s="27" t="s">
        <v>98</v>
      </c>
      <c r="B105" s="28">
        <f>('Julio 08'!B105+'Agosto 08'!B106+'Sept 08'!B107)/3</f>
        <v>33600</v>
      </c>
      <c r="C105" s="28">
        <f>('Julio 08'!C105+'Agosto 08'!C106+'Sept 08'!C107)/3</f>
        <v>75860.666666666672</v>
      </c>
      <c r="D105" s="69">
        <f>('Julio 08'!D105+'Agosto 08'!D106+'Sept 08'!D107)</f>
        <v>27987986</v>
      </c>
      <c r="E105" s="28">
        <f t="shared" si="16"/>
        <v>832.97577380952384</v>
      </c>
      <c r="F105" s="83">
        <f t="shared" si="17"/>
        <v>2332332.1666666665</v>
      </c>
    </row>
    <row r="106" spans="1:6" x14ac:dyDescent="0.3">
      <c r="A106" s="27" t="s">
        <v>67</v>
      </c>
      <c r="B106" s="28">
        <f>('Julio 08'!B106+'Agosto 08'!B107+'Sept 08'!B108)/3</f>
        <v>4669</v>
      </c>
      <c r="C106" s="28">
        <f>('Julio 08'!C106+'Agosto 08'!C107+'Sept 08'!C108)/3</f>
        <v>28988.666666666668</v>
      </c>
      <c r="D106" s="69">
        <f>('Julio 08'!D106+'Agosto 08'!D107+'Sept 08'!D108)</f>
        <v>3940800</v>
      </c>
      <c r="E106" s="28">
        <f t="shared" si="16"/>
        <v>844.03512529449563</v>
      </c>
      <c r="F106" s="83">
        <f t="shared" si="17"/>
        <v>328400</v>
      </c>
    </row>
    <row r="107" spans="1:6" ht="19.5" thickBot="1" x14ac:dyDescent="0.35">
      <c r="A107" s="27" t="s">
        <v>68</v>
      </c>
      <c r="B107" s="30">
        <f>('Julio 08'!B107+'Agosto 08'!B108+'Sept 08'!B109)/3</f>
        <v>6958.333333333333</v>
      </c>
      <c r="C107" s="30">
        <f>('Julio 08'!C107+'Agosto 08'!C108+'Sept 08'!C109)/3</f>
        <v>15313</v>
      </c>
      <c r="D107" s="70">
        <f>('Julio 08'!D107+'Agosto 08'!D108+'Sept 08'!D109)</f>
        <v>5482701</v>
      </c>
      <c r="E107" s="28">
        <f t="shared" si="16"/>
        <v>787.93307784431136</v>
      </c>
      <c r="F107" s="84">
        <f t="shared" si="17"/>
        <v>456891.75</v>
      </c>
    </row>
    <row r="108" spans="1:6" ht="19.5" thickBot="1" x14ac:dyDescent="0.35">
      <c r="A108" s="32" t="s">
        <v>91</v>
      </c>
      <c r="B108" s="44">
        <f>SUM(B97:B107)</f>
        <v>82802.666666666672</v>
      </c>
      <c r="C108" s="44">
        <f>SUM(C97:C107)</f>
        <v>206052.66666666666</v>
      </c>
      <c r="D108" s="78">
        <f>SUM(D97:D107)</f>
        <v>68094826</v>
      </c>
      <c r="E108" s="57">
        <f t="shared" si="16"/>
        <v>822.37479469260245</v>
      </c>
      <c r="F108" s="71">
        <f t="shared" si="17"/>
        <v>5674568.833333333</v>
      </c>
    </row>
    <row r="109" spans="1:6" ht="19.5" thickBot="1" x14ac:dyDescent="0.35">
      <c r="A109" s="48"/>
      <c r="B109" s="49"/>
      <c r="C109" s="49"/>
      <c r="D109" s="76"/>
      <c r="E109" s="50"/>
      <c r="F109" s="85"/>
    </row>
    <row r="110" spans="1:6" ht="19.5" thickBot="1" x14ac:dyDescent="0.35">
      <c r="A110" s="336" t="s">
        <v>9</v>
      </c>
      <c r="B110" s="332"/>
      <c r="C110" s="332"/>
      <c r="D110" s="333"/>
      <c r="E110" s="332"/>
      <c r="F110" s="337"/>
    </row>
    <row r="111" spans="1:6" x14ac:dyDescent="0.3">
      <c r="A111" s="340" t="s">
        <v>99</v>
      </c>
      <c r="B111" s="341">
        <f>('Julio 08'!B111+'Agosto 08'!B112+'Sept 08'!B113)/3</f>
        <v>1231</v>
      </c>
      <c r="C111" s="341">
        <f>('Julio 08'!C111+'Agosto 08'!C112+'Sept 08'!C113)/3</f>
        <v>2914.3333333333335</v>
      </c>
      <c r="D111" s="342">
        <f>('Julio 08'!D111+'Agosto 08'!D112+'Sept 08'!D113)</f>
        <v>1055056</v>
      </c>
      <c r="E111" s="341">
        <f>D111/B111</f>
        <v>857.072298943948</v>
      </c>
      <c r="F111" s="82">
        <f t="shared" ref="F111:F117" si="18">D111/12</f>
        <v>87921.333333333328</v>
      </c>
    </row>
    <row r="112" spans="1:6" x14ac:dyDescent="0.3">
      <c r="A112" s="27" t="s">
        <v>100</v>
      </c>
      <c r="B112" s="28">
        <f>('Julio 08'!B112+'Agosto 08'!B113+'Sept 08'!B114)/3</f>
        <v>9281.3333333333339</v>
      </c>
      <c r="C112" s="28">
        <f>('Julio 08'!C112+'Agosto 08'!C113+'Sept 08'!C114)/3</f>
        <v>19161.333333333332</v>
      </c>
      <c r="D112" s="69">
        <f>('Julio 08'!D112+'Agosto 08'!D113+'Sept 08'!D114)</f>
        <v>6973128</v>
      </c>
      <c r="E112" s="28">
        <f>D112/B112</f>
        <v>751.30670880620596</v>
      </c>
      <c r="F112" s="83">
        <f t="shared" si="18"/>
        <v>581094</v>
      </c>
    </row>
    <row r="113" spans="1:6" x14ac:dyDescent="0.3">
      <c r="A113" s="27" t="s">
        <v>101</v>
      </c>
      <c r="B113" s="28">
        <f>('Julio 08'!B113+'Agosto 08'!B114+'Sept 08'!B115)/3</f>
        <v>29025</v>
      </c>
      <c r="C113" s="28">
        <f>('Julio 08'!C113+'Agosto 08'!C114+'Sept 08'!C115)/3</f>
        <v>61633</v>
      </c>
      <c r="D113" s="69">
        <f>('Julio 08'!D113+'Agosto 08'!D114+'Sept 08'!D115)</f>
        <v>21494484</v>
      </c>
      <c r="E113" s="28">
        <f>D113/B113</f>
        <v>740.55069767441864</v>
      </c>
      <c r="F113" s="83">
        <f t="shared" si="18"/>
        <v>1791207</v>
      </c>
    </row>
    <row r="114" spans="1:6" ht="19.5" thickBot="1" x14ac:dyDescent="0.35">
      <c r="A114" s="344" t="s">
        <v>102</v>
      </c>
      <c r="B114" s="30">
        <f>('Julio 08'!B114+'Agosto 08'!B115+'Sept 08'!B116)/3</f>
        <v>10715.666666666666</v>
      </c>
      <c r="C114" s="30">
        <f>('Julio 08'!C114+'Agosto 08'!C115+'Sept 08'!C116)/3</f>
        <v>21617.666666666668</v>
      </c>
      <c r="D114" s="70">
        <f>('Julio 08'!D114+'Agosto 08'!D115+'Sept 08'!D116)</f>
        <v>7953051</v>
      </c>
      <c r="E114" s="30">
        <f>D114/B114</f>
        <v>742.18910007154636</v>
      </c>
      <c r="F114" s="84">
        <f t="shared" si="18"/>
        <v>662754.25</v>
      </c>
    </row>
    <row r="115" spans="1:6" ht="19.5" thickBot="1" x14ac:dyDescent="0.35">
      <c r="A115" s="301" t="s">
        <v>91</v>
      </c>
      <c r="B115" s="334">
        <f>SUM(B111:B114)</f>
        <v>50253</v>
      </c>
      <c r="C115" s="334">
        <f>SUM(C111:C114)</f>
        <v>105326.33333333333</v>
      </c>
      <c r="D115" s="343">
        <f>SUM(D111:D114)</f>
        <v>37475719</v>
      </c>
      <c r="E115" s="338">
        <f>D115/B115</f>
        <v>745.74093088969812</v>
      </c>
      <c r="F115" s="339">
        <f t="shared" si="18"/>
        <v>3122976.5833333335</v>
      </c>
    </row>
    <row r="116" spans="1:6" ht="19.5" thickBot="1" x14ac:dyDescent="0.35">
      <c r="A116" s="48"/>
      <c r="B116" s="49"/>
      <c r="C116" s="49"/>
      <c r="D116" s="76"/>
      <c r="E116" s="50"/>
      <c r="F116" s="85"/>
    </row>
    <row r="117" spans="1:6" ht="19.5" thickBot="1" x14ac:dyDescent="0.35">
      <c r="A117" s="54" t="s">
        <v>74</v>
      </c>
      <c r="B117" s="55">
        <f>(B15+B29+B41+B51+B60+B69+B82+B94+B108+B115)</f>
        <v>504397.99999999994</v>
      </c>
      <c r="C117" s="55">
        <f>(C15+C29+C41+C51+C60+C69+C82+C94+C108+C115)</f>
        <v>1111910.3333333333</v>
      </c>
      <c r="D117" s="74">
        <f>(D15+D29+D41+D51+D60+D69+D82+D94+D108+D115)</f>
        <v>391369168</v>
      </c>
      <c r="E117" s="57">
        <f>D117/B117</f>
        <v>775.91340171848435</v>
      </c>
      <c r="F117" s="71">
        <f t="shared" si="18"/>
        <v>32614097.333333332</v>
      </c>
    </row>
  </sheetData>
  <mergeCells count="5">
    <mergeCell ref="A5:F5"/>
    <mergeCell ref="A1:F1"/>
    <mergeCell ref="A2:F2"/>
    <mergeCell ref="A3:F3"/>
    <mergeCell ref="A4:F4"/>
  </mergeCells>
  <phoneticPr fontId="0" type="noConversion"/>
  <pageMargins left="0.75" right="0.75" top="1" bottom="1" header="0.5" footer="0.5"/>
  <pageSetup scale="8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0"/>
  <sheetViews>
    <sheetView zoomScale="90" zoomScaleNormal="90" workbookViewId="0">
      <pane xSplit="1" ySplit="6" topLeftCell="B25" activePane="bottomRight" state="frozen"/>
      <selection activeCell="D120" sqref="D120"/>
      <selection pane="topRight" activeCell="D120" sqref="D120"/>
      <selection pane="bottomLeft" activeCell="D120" sqref="D120"/>
      <selection pane="bottomRight" activeCell="L6" sqref="L6"/>
    </sheetView>
  </sheetViews>
  <sheetFormatPr defaultRowHeight="20.25" x14ac:dyDescent="0.4"/>
  <cols>
    <col min="1" max="1" width="22.140625" style="99" customWidth="1"/>
    <col min="2" max="2" width="13.85546875" style="110" customWidth="1"/>
    <col min="3" max="3" width="15" style="110" bestFit="1" customWidth="1"/>
    <col min="4" max="4" width="25.7109375" style="120" customWidth="1"/>
    <col min="5" max="5" width="31.28515625" style="120" bestFit="1" customWidth="1"/>
    <col min="6" max="6" width="24.28515625" style="120" bestFit="1" customWidth="1"/>
    <col min="7" max="7" width="25.28515625" style="120" customWidth="1"/>
    <col min="8" max="8" width="33.5703125" style="106" bestFit="1" customWidth="1"/>
    <col min="9" max="14" width="9.140625" style="18"/>
    <col min="15" max="16384" width="9.140625" style="1"/>
  </cols>
  <sheetData>
    <row r="1" spans="1:14" s="63" customFormat="1" ht="22.5" x14ac:dyDescent="0.45">
      <c r="A1" s="364" t="s">
        <v>10</v>
      </c>
      <c r="B1" s="364"/>
      <c r="C1" s="364"/>
      <c r="D1" s="364"/>
      <c r="E1" s="364"/>
      <c r="F1" s="364"/>
      <c r="G1" s="364"/>
      <c r="H1" s="364"/>
      <c r="I1" s="62"/>
      <c r="J1" s="62"/>
      <c r="K1" s="62"/>
      <c r="L1" s="62"/>
      <c r="M1" s="62"/>
      <c r="N1" s="62"/>
    </row>
    <row r="2" spans="1:14" s="63" customFormat="1" ht="22.5" x14ac:dyDescent="0.45">
      <c r="A2" s="364" t="s">
        <v>71</v>
      </c>
      <c r="B2" s="364"/>
      <c r="C2" s="364"/>
      <c r="D2" s="364"/>
      <c r="E2" s="364"/>
      <c r="F2" s="364"/>
      <c r="G2" s="364"/>
      <c r="H2" s="364"/>
      <c r="I2" s="62"/>
      <c r="J2" s="62"/>
      <c r="K2" s="62"/>
      <c r="L2" s="62"/>
      <c r="M2" s="62"/>
      <c r="N2" s="62"/>
    </row>
    <row r="3" spans="1:14" s="63" customFormat="1" ht="22.5" x14ac:dyDescent="0.45">
      <c r="A3" s="366" t="s">
        <v>106</v>
      </c>
      <c r="B3" s="366"/>
      <c r="C3" s="366"/>
      <c r="D3" s="366"/>
      <c r="E3" s="366"/>
      <c r="F3" s="366"/>
      <c r="G3" s="366"/>
      <c r="H3" s="366"/>
      <c r="I3" s="62"/>
      <c r="J3" s="62"/>
      <c r="K3" s="62"/>
      <c r="L3" s="62"/>
      <c r="M3" s="62"/>
      <c r="N3" s="62"/>
    </row>
    <row r="4" spans="1:14" s="63" customFormat="1" ht="22.5" x14ac:dyDescent="0.45">
      <c r="A4" s="364" t="s">
        <v>114</v>
      </c>
      <c r="B4" s="364"/>
      <c r="C4" s="364"/>
      <c r="D4" s="364"/>
      <c r="E4" s="364"/>
      <c r="F4" s="364"/>
      <c r="G4" s="364"/>
      <c r="H4" s="364"/>
      <c r="I4" s="62"/>
      <c r="J4" s="62"/>
      <c r="K4" s="62"/>
      <c r="L4" s="62"/>
      <c r="M4" s="62"/>
      <c r="N4" s="62"/>
    </row>
    <row r="5" spans="1:14" s="63" customFormat="1" ht="23.25" thickBot="1" x14ac:dyDescent="0.5">
      <c r="A5" s="365" t="s">
        <v>142</v>
      </c>
      <c r="B5" s="365"/>
      <c r="C5" s="365"/>
      <c r="D5" s="365"/>
      <c r="E5" s="365"/>
      <c r="F5" s="365"/>
      <c r="G5" s="365"/>
      <c r="H5" s="365"/>
      <c r="I5" s="62"/>
      <c r="J5" s="62"/>
      <c r="K5" s="62"/>
      <c r="L5" s="62"/>
      <c r="M5" s="62"/>
      <c r="N5" s="62"/>
    </row>
    <row r="6" spans="1:14" s="65" customFormat="1" ht="39.75" thickBot="1" x14ac:dyDescent="0.45">
      <c r="A6" s="216"/>
      <c r="B6" s="217" t="s">
        <v>75</v>
      </c>
      <c r="C6" s="218" t="s">
        <v>76</v>
      </c>
      <c r="D6" s="219" t="s">
        <v>77</v>
      </c>
      <c r="E6" s="220" t="s">
        <v>115</v>
      </c>
      <c r="F6" s="221" t="s">
        <v>79</v>
      </c>
      <c r="G6" s="214" t="s">
        <v>116</v>
      </c>
      <c r="H6" s="215" t="s">
        <v>117</v>
      </c>
      <c r="I6" s="64"/>
      <c r="J6" s="64"/>
      <c r="K6" s="64"/>
      <c r="L6" s="64"/>
      <c r="M6" s="64"/>
      <c r="N6" s="64"/>
    </row>
    <row r="7" spans="1:14" s="65" customFormat="1" ht="21.75" customHeight="1" thickBot="1" x14ac:dyDescent="0.45">
      <c r="A7" s="222" t="s">
        <v>0</v>
      </c>
      <c r="B7" s="319"/>
      <c r="C7" s="319"/>
      <c r="D7" s="315"/>
      <c r="E7" s="320"/>
      <c r="F7" s="321"/>
      <c r="G7" s="320"/>
      <c r="H7" s="322"/>
      <c r="I7" s="64"/>
      <c r="J7" s="64"/>
      <c r="K7" s="64"/>
      <c r="L7" s="64"/>
      <c r="M7" s="64"/>
      <c r="N7" s="64"/>
    </row>
    <row r="8" spans="1:14" ht="21" thickBot="1" x14ac:dyDescent="0.45">
      <c r="A8" s="318" t="s">
        <v>11</v>
      </c>
      <c r="B8" s="325">
        <f>('Oct 07'!B8+'Nov 07'!B8+'Dic 07'!B8+'Enero 08'!B8+'Febrero 08'!B8+'Marzo 08'!B8+'Abril 08'!B8+'Mayo 08'!B8+'Junio 08'!B8+'Julio 08'!B8+'Agosto 08'!B8+'Sept 08'!B8)/12</f>
        <v>5882.583333333333</v>
      </c>
      <c r="C8" s="325">
        <f>('Oct 07'!C8+'Nov 07'!C8+'Dic 07'!C8+'Enero 08'!C8+'Febrero 08'!C8+'Marzo 08'!C8+'Abril 08'!C8+'Mayo 08'!C8+'Junio 08'!C8+'Julio 08'!C8+'Agosto 08'!C8+'Sept 08'!C8)/12</f>
        <v>13484.75</v>
      </c>
      <c r="D8" s="326">
        <f>('Oct 07'!D8+'Nov 07'!D8+'Dic 07'!D8+'Enero 08'!D8+'Febrero 08'!D8+'Marzo 08'!D8+'Abril 08'!D8+'Mayo 08'!D8+'Junio 08'!D8+'Julio 08'!D8+'Agosto 08'!D8+'Sept 08'!D8)</f>
        <v>18279781</v>
      </c>
      <c r="E8" s="327">
        <f>D8/B8</f>
        <v>3107.4410618917427</v>
      </c>
      <c r="F8" s="328">
        <f t="shared" ref="F8:F14" si="0">D8/11</f>
        <v>1661798.2727272727</v>
      </c>
      <c r="G8" s="328">
        <f t="shared" ref="G8:G14" si="1">F8/C8</f>
        <v>123.23537868534994</v>
      </c>
      <c r="H8" s="107">
        <f t="shared" ref="H8:H14" si="2">F8/B8</f>
        <v>282.49464199015841</v>
      </c>
    </row>
    <row r="9" spans="1:14" ht="21" thickBot="1" x14ac:dyDescent="0.45">
      <c r="A9" s="318" t="s">
        <v>84</v>
      </c>
      <c r="B9" s="325">
        <f>('Oct 07'!B9+'Nov 07'!B9+'Dic 07'!B9+'Enero 08'!B9+'Febrero 08'!B9+'Marzo 08'!B9+'Abril 08'!B9+'Mayo 08'!B9+'Junio 08'!B9+'Julio 08'!B9+'Agosto 08'!B9+'Sept 08'!B9)/12</f>
        <v>9906.0833333333339</v>
      </c>
      <c r="C9" s="325">
        <f>('Oct 07'!C9+'Nov 07'!C9+'Dic 07'!C9+'Enero 08'!C9+'Febrero 08'!C9+'Marzo 08'!C9+'Abril 08'!C9+'Mayo 08'!C9+'Junio 08'!C9+'Julio 08'!C9+'Agosto 08'!C9+'Sept 08'!C9)/12</f>
        <v>20287.333333333332</v>
      </c>
      <c r="D9" s="317">
        <f>('Oct 07'!D9+'Nov 07'!D9+'Dic 07'!D9+'Enero 08'!D9+'Febrero 08'!D9+'Marzo 08'!D9+'Abril 08'!D9+'Mayo 08'!D9+'Junio 08'!D9+'Julio 08'!D9+'Agosto 08'!D9+'Sept 08'!D9)</f>
        <v>28751996</v>
      </c>
      <c r="E9" s="121">
        <f t="shared" ref="E9:E15" si="3">D9/B9</f>
        <v>2902.4585229614795</v>
      </c>
      <c r="F9" s="324">
        <f t="shared" si="0"/>
        <v>2613817.8181818184</v>
      </c>
      <c r="G9" s="324">
        <f t="shared" si="1"/>
        <v>128.839891139717</v>
      </c>
      <c r="H9" s="122">
        <f t="shared" si="2"/>
        <v>263.85986572377089</v>
      </c>
    </row>
    <row r="10" spans="1:14" ht="21" thickBot="1" x14ac:dyDescent="0.45">
      <c r="A10" s="318" t="s">
        <v>12</v>
      </c>
      <c r="B10" s="325">
        <f>('Oct 07'!B10+'Nov 07'!B10+'Dic 07'!B10+'Enero 08'!B10+'Febrero 08'!B10+'Marzo 08'!B10+'Abril 08'!B10+'Mayo 08'!B10+'Junio 08'!B10+'Julio 08'!B10+'Agosto 08'!B10+'Sept 08'!B10)/12</f>
        <v>6779.666666666667</v>
      </c>
      <c r="C10" s="325">
        <f>('Oct 07'!C10+'Nov 07'!C10+'Dic 07'!C10+'Enero 08'!C10+'Febrero 08'!C10+'Marzo 08'!C10+'Abril 08'!C10+'Mayo 08'!C10+'Junio 08'!C10+'Julio 08'!C10+'Agosto 08'!C10+'Sept 08'!C10)/12</f>
        <v>14344.166666666666</v>
      </c>
      <c r="D10" s="317">
        <f>('Oct 07'!D10+'Nov 07'!D10+'Dic 07'!D10+'Enero 08'!D10+'Febrero 08'!D10+'Marzo 08'!D10+'Abril 08'!D10+'Mayo 08'!D10+'Junio 08'!D10+'Julio 08'!D10+'Agosto 08'!D10+'Sept 08'!D10)</f>
        <v>19657616</v>
      </c>
      <c r="E10" s="121">
        <f t="shared" si="3"/>
        <v>2899.4959437533803</v>
      </c>
      <c r="F10" s="324">
        <f t="shared" si="0"/>
        <v>1787056</v>
      </c>
      <c r="G10" s="324">
        <f t="shared" si="1"/>
        <v>124.58416313251612</v>
      </c>
      <c r="H10" s="122">
        <f t="shared" si="2"/>
        <v>263.59054034121635</v>
      </c>
    </row>
    <row r="11" spans="1:14" ht="21" thickBot="1" x14ac:dyDescent="0.45">
      <c r="A11" s="318" t="s">
        <v>13</v>
      </c>
      <c r="B11" s="325">
        <f>('Oct 07'!B11+'Nov 07'!B11+'Dic 07'!B11+'Enero 08'!B11+'Febrero 08'!B11+'Marzo 08'!B11+'Abril 08'!B11+'Mayo 08'!B11+'Junio 08'!B11+'Julio 08'!B11+'Agosto 08'!B11+'Sept 08'!B11)/12</f>
        <v>1721.5</v>
      </c>
      <c r="C11" s="325">
        <f>('Oct 07'!C11+'Nov 07'!C11+'Dic 07'!C11+'Enero 08'!C11+'Febrero 08'!C11+'Marzo 08'!C11+'Abril 08'!C11+'Mayo 08'!C11+'Junio 08'!C11+'Julio 08'!C11+'Agosto 08'!C11+'Sept 08'!C11)/12</f>
        <v>3809.5</v>
      </c>
      <c r="D11" s="317">
        <f>('Oct 07'!D11+'Nov 07'!D11+'Dic 07'!D11+'Enero 08'!D11+'Febrero 08'!D11+'Marzo 08'!D11+'Abril 08'!D11+'Mayo 08'!D11+'Junio 08'!D11+'Julio 08'!D11+'Agosto 08'!D11+'Sept 08'!D11)</f>
        <v>5287103</v>
      </c>
      <c r="E11" s="121">
        <f t="shared" si="3"/>
        <v>3071.2187046180657</v>
      </c>
      <c r="F11" s="324">
        <f t="shared" si="0"/>
        <v>480645.72727272729</v>
      </c>
      <c r="G11" s="324">
        <f t="shared" si="1"/>
        <v>126.17029197341574</v>
      </c>
      <c r="H11" s="122">
        <f t="shared" si="2"/>
        <v>279.20170041982414</v>
      </c>
    </row>
    <row r="12" spans="1:14" ht="21" thickBot="1" x14ac:dyDescent="0.45">
      <c r="A12" s="318" t="s">
        <v>14</v>
      </c>
      <c r="B12" s="325">
        <f>('Oct 07'!B12+'Nov 07'!B12+'Dic 07'!B12+'Enero 08'!B12+'Febrero 08'!B12+'Marzo 08'!B12+'Abril 08'!B12+'Mayo 08'!B12+'Junio 08'!B12+'Julio 08'!B12+'Agosto 08'!B12+'Sept 08'!B12)/12</f>
        <v>7064</v>
      </c>
      <c r="C12" s="325">
        <f>('Oct 07'!C12+'Nov 07'!C12+'Dic 07'!C12+'Enero 08'!C12+'Febrero 08'!C12+'Marzo 08'!C12+'Abril 08'!C12+'Mayo 08'!C12+'Junio 08'!C12+'Julio 08'!C12+'Agosto 08'!C12+'Sept 08'!C12)/12</f>
        <v>16085.583333333334</v>
      </c>
      <c r="D12" s="317">
        <f>('Oct 07'!D12+'Nov 07'!D12+'Dic 07'!D12+'Enero 08'!D12+'Febrero 08'!D12+'Marzo 08'!D12+'Abril 08'!D12+'Mayo 08'!D12+'Junio 08'!D12+'Julio 08'!D12+'Agosto 08'!D12+'Sept 08'!D12)</f>
        <v>22159387</v>
      </c>
      <c r="E12" s="121">
        <f t="shared" si="3"/>
        <v>3136.9460645526615</v>
      </c>
      <c r="F12" s="324">
        <f t="shared" si="0"/>
        <v>2014489.7272727273</v>
      </c>
      <c r="G12" s="324">
        <f t="shared" si="1"/>
        <v>125.23572726754665</v>
      </c>
      <c r="H12" s="122">
        <f t="shared" si="2"/>
        <v>285.17691495933286</v>
      </c>
    </row>
    <row r="13" spans="1:14" ht="21" thickBot="1" x14ac:dyDescent="0.45">
      <c r="A13" s="318" t="s">
        <v>15</v>
      </c>
      <c r="B13" s="325">
        <f>('Oct 07'!B13+'Nov 07'!B13+'Dic 07'!B13+'Enero 08'!B13+'Febrero 08'!B13+'Marzo 08'!B13+'Abril 08'!B13+'Mayo 08'!B13+'Junio 08'!B13+'Julio 08'!B13+'Agosto 08'!B13+'Sept 08'!B13)/12</f>
        <v>2477.5</v>
      </c>
      <c r="C13" s="325">
        <f>('Oct 07'!C13+'Nov 07'!C13+'Dic 07'!C13+'Enero 08'!C13+'Febrero 08'!C13+'Marzo 08'!C13+'Abril 08'!C13+'Mayo 08'!C13+'Junio 08'!C13+'Julio 08'!C13+'Agosto 08'!C13+'Sept 08'!C13)/12</f>
        <v>5043.833333333333</v>
      </c>
      <c r="D13" s="317">
        <f>('Oct 07'!D13+'Nov 07'!D13+'Dic 07'!D13+'Enero 08'!D13+'Febrero 08'!D13+'Marzo 08'!D13+'Abril 08'!D13+'Mayo 08'!D13+'Junio 08'!D13+'Julio 08'!D13+'Agosto 08'!D13+'Sept 08'!D13)</f>
        <v>6981151</v>
      </c>
      <c r="E13" s="121">
        <f t="shared" si="3"/>
        <v>2817.8207870837537</v>
      </c>
      <c r="F13" s="324">
        <f t="shared" si="0"/>
        <v>634650.09090909094</v>
      </c>
      <c r="G13" s="324">
        <f t="shared" si="1"/>
        <v>125.82693538163916</v>
      </c>
      <c r="H13" s="122">
        <f t="shared" si="2"/>
        <v>256.16552609852306</v>
      </c>
    </row>
    <row r="14" spans="1:14" ht="21" thickBot="1" x14ac:dyDescent="0.45">
      <c r="A14" s="318" t="s">
        <v>72</v>
      </c>
      <c r="B14" s="325">
        <f>('Oct 07'!B14+'Nov 07'!B14+'Dic 07'!B14+'Enero 08'!B14+'Febrero 08'!B14+'Marzo 08'!B14+'Abril 08'!B14+'Mayo 08'!B14+'Junio 08'!B14+'Julio 08'!B14+'Agosto 08'!B14+'Sept 08'!B14)/12</f>
        <v>8710.0833333333339</v>
      </c>
      <c r="C14" s="325">
        <f>('Oct 07'!C14+'Nov 07'!C14+'Dic 07'!C14+'Enero 08'!C14+'Febrero 08'!C14+'Marzo 08'!C14+'Abril 08'!C14+'Mayo 08'!C14+'Junio 08'!C14+'Julio 08'!C14+'Agosto 08'!C14+'Sept 08'!C14)/12</f>
        <v>17986.75</v>
      </c>
      <c r="D14" s="329">
        <f>('Oct 07'!D14+'Nov 07'!D14+'Dic 07'!D14+'Enero 08'!D14+'Febrero 08'!D14+'Marzo 08'!D14+'Abril 08'!D14+'Mayo 08'!D14+'Junio 08'!D14+'Julio 08'!D14+'Agosto 08'!D14+'Sept 08'!D14)</f>
        <v>25047865</v>
      </c>
      <c r="E14" s="330">
        <f t="shared" si="3"/>
        <v>2875.7319581710849</v>
      </c>
      <c r="F14" s="331">
        <f t="shared" si="0"/>
        <v>2277078.6363636362</v>
      </c>
      <c r="G14" s="331">
        <f t="shared" si="1"/>
        <v>126.59755855636156</v>
      </c>
      <c r="H14" s="124">
        <f t="shared" si="2"/>
        <v>261.43017801555317</v>
      </c>
    </row>
    <row r="15" spans="1:14" s="65" customFormat="1" ht="21" thickBot="1" x14ac:dyDescent="0.45">
      <c r="A15" s="232" t="s">
        <v>85</v>
      </c>
      <c r="B15" s="323">
        <f>SUM(B8:B14)</f>
        <v>42541.416666666672</v>
      </c>
      <c r="C15" s="323">
        <f>SUM(C8:C14)</f>
        <v>91041.916666666657</v>
      </c>
      <c r="D15" s="316">
        <f>SUM(D8:D14)</f>
        <v>126164899</v>
      </c>
      <c r="E15" s="316">
        <f t="shared" si="3"/>
        <v>2965.6957592307103</v>
      </c>
      <c r="F15" s="316">
        <f>D15/12</f>
        <v>10513741.583333334</v>
      </c>
      <c r="G15" s="316">
        <f>SUM(G8:G14)/7</f>
        <v>125.78427801950659</v>
      </c>
      <c r="H15" s="316">
        <f>SUM(H8:H14)/7</f>
        <v>270.27419536405415</v>
      </c>
      <c r="I15" s="64"/>
      <c r="J15" s="64"/>
      <c r="K15" s="64"/>
      <c r="L15" s="64"/>
      <c r="M15" s="64"/>
      <c r="N15" s="64"/>
    </row>
    <row r="16" spans="1:14" ht="21" thickBot="1" x14ac:dyDescent="0.45">
      <c r="A16" s="97"/>
      <c r="B16" s="105"/>
      <c r="C16" s="105"/>
      <c r="D16" s="118"/>
      <c r="E16" s="118"/>
      <c r="F16" s="119"/>
    </row>
    <row r="17" spans="1:14" ht="21" thickBot="1" x14ac:dyDescent="0.45">
      <c r="A17" s="237" t="s">
        <v>1</v>
      </c>
      <c r="B17" s="285"/>
      <c r="C17" s="286"/>
      <c r="D17" s="212"/>
      <c r="E17" s="212"/>
      <c r="F17" s="213"/>
      <c r="G17" s="226"/>
      <c r="H17" s="227"/>
    </row>
    <row r="18" spans="1:14" s="2" customFormat="1" ht="21" thickBot="1" x14ac:dyDescent="0.45">
      <c r="A18" s="132" t="s">
        <v>86</v>
      </c>
      <c r="B18" s="104">
        <f>('Oct 07'!B18+'Nov 07'!B18+'Dic 07'!B18+'Enero 08'!B18+'Febrero 08'!B18+'Marzo 08'!B18+'Abril 08'!B18+'Mayo 08'!B18+'Junio 08'!B18+'Julio 08'!B18+'Agosto 08'!B18+'Sept 08'!B18)/12</f>
        <v>17321.583333333332</v>
      </c>
      <c r="C18" s="104">
        <f>('Oct 07'!C18+'Nov 07'!C18+'Dic 07'!C18+'Enero 08'!C18+'Febrero 08'!C18+'Marzo 08'!C18+'Abril 08'!C18+'Mayo 08'!C18+'Junio 08'!C18+'Julio 08'!C18+'Agosto 08'!C18+'Sept 08'!C18)/12</f>
        <v>34811.5</v>
      </c>
      <c r="D18" s="314">
        <f>('Oct 07'!D18+'Nov 07'!D18+'Dic 07'!D18+'Enero 08'!D18+'Febrero 08'!D18+'Marzo 08'!D18+'Abril 08'!D18+'Mayo 08'!D18+'Junio 08'!D18+'Julio 08'!D18+'Agosto 08'!D18+'Sept 08'!D18)</f>
        <v>48959199</v>
      </c>
      <c r="E18" s="112">
        <f t="shared" ref="E18:E29" si="4">D18/B18</f>
        <v>2826.4852039122675</v>
      </c>
      <c r="F18" s="107">
        <f>D18/12</f>
        <v>4079933.25</v>
      </c>
      <c r="G18" s="102">
        <f t="shared" ref="G18:G28" si="5">F18/C18</f>
        <v>117.20073108024647</v>
      </c>
      <c r="H18" s="102">
        <f t="shared" ref="H18:H28" si="6">F18/B18</f>
        <v>235.54043365935564</v>
      </c>
      <c r="I18" s="42"/>
      <c r="J18" s="104"/>
      <c r="K18" s="42"/>
      <c r="L18" s="42"/>
      <c r="M18" s="42"/>
      <c r="N18" s="42"/>
    </row>
    <row r="19" spans="1:14" ht="21" thickBot="1" x14ac:dyDescent="0.45">
      <c r="A19" s="101" t="s">
        <v>16</v>
      </c>
      <c r="B19" s="104">
        <f>('Oct 07'!B19+'Nov 07'!B19+'Dic 07'!B19+'Enero 08'!B19+'Febrero 08'!B19+'Marzo 08'!B19+'Abril 08'!B19+'Mayo 08'!B19+'Junio 08'!B19+'Julio 08'!B19+'Agosto 08'!B19+'Sept 08'!B19)/12</f>
        <v>4817.833333333333</v>
      </c>
      <c r="C19" s="104">
        <f>('Oct 07'!C19+'Nov 07'!C19+'Dic 07'!C19+'Enero 08'!C19+'Febrero 08'!C19+'Marzo 08'!C19+'Abril 08'!C19+'Mayo 08'!C19+'Junio 08'!C19+'Julio 08'!C19+'Agosto 08'!C19+'Sept 08'!C19)/12</f>
        <v>12194.166666666666</v>
      </c>
      <c r="D19" s="314">
        <f>('Oct 07'!D19+'Nov 07'!D19+'Dic 07'!D19+'Enero 08'!D19+'Febrero 08'!D19+'Marzo 08'!D19+'Abril 08'!D19+'Mayo 08'!D19+'Junio 08'!D19+'Julio 08'!D19+'Agosto 08'!D19+'Sept 08'!D19)</f>
        <v>14077561</v>
      </c>
      <c r="E19" s="121">
        <f t="shared" si="4"/>
        <v>2921.9692807970391</v>
      </c>
      <c r="F19" s="122">
        <f>D19/12</f>
        <v>1173130.0833333333</v>
      </c>
      <c r="G19" s="117">
        <f t="shared" si="5"/>
        <v>96.204202829221614</v>
      </c>
      <c r="H19" s="117">
        <f t="shared" si="6"/>
        <v>243.4974400664199</v>
      </c>
    </row>
    <row r="20" spans="1:14" ht="21" thickBot="1" x14ac:dyDescent="0.45">
      <c r="A20" s="101" t="s">
        <v>17</v>
      </c>
      <c r="B20" s="104">
        <f>('Oct 07'!B20+'Nov 07'!B20+'Dic 07'!B20+'Enero 08'!B20+'Febrero 08'!B20+'Marzo 08'!B20+'Abril 08'!B20+'Mayo 08'!B20+'Junio 08'!B20+'Julio 08'!B20+'Agosto 08'!B20+'Sept 08'!B20)/12</f>
        <v>6112.666666666667</v>
      </c>
      <c r="C20" s="104">
        <f>('Oct 07'!C20+'Nov 07'!C20+'Dic 07'!C20+'Enero 08'!C20+'Febrero 08'!C20+'Marzo 08'!C20+'Abril 08'!C20+'Mayo 08'!C20+'Junio 08'!C20+'Julio 08'!C20+'Agosto 08'!C20+'Sept 08'!C20)/12</f>
        <v>12974.5</v>
      </c>
      <c r="D20" s="314">
        <f>('Oct 07'!D20+'Nov 07'!D20+'Dic 07'!D20+'Enero 08'!D20+'Febrero 08'!D20+'Marzo 08'!D20+'Abril 08'!D20+'Mayo 08'!D20+'Junio 08'!D20+'Julio 08'!D20+'Agosto 08'!D20+'Sept 08'!D20)</f>
        <v>17818311</v>
      </c>
      <c r="E20" s="121">
        <f t="shared" si="4"/>
        <v>2914.9816228596355</v>
      </c>
      <c r="F20" s="122">
        <f t="shared" ref="F20:F28" si="7">D20/11</f>
        <v>1619846.4545454546</v>
      </c>
      <c r="G20" s="117">
        <f t="shared" si="5"/>
        <v>124.84846849939917</v>
      </c>
      <c r="H20" s="117">
        <f t="shared" si="6"/>
        <v>264.99832935087596</v>
      </c>
    </row>
    <row r="21" spans="1:14" ht="21" thickBot="1" x14ac:dyDescent="0.45">
      <c r="A21" s="101" t="s">
        <v>18</v>
      </c>
      <c r="B21" s="104">
        <f>('Oct 07'!B21+'Nov 07'!B21+'Dic 07'!B21+'Enero 08'!B21+'Febrero 08'!B21+'Marzo 08'!B21+'Abril 08'!B21+'Mayo 08'!B21+'Junio 08'!B21+'Julio 08'!B21+'Agosto 08'!B21+'Sept 08'!B21)/12</f>
        <v>3931.3333333333335</v>
      </c>
      <c r="C21" s="104">
        <f>('Oct 07'!C21+'Nov 07'!C21+'Dic 07'!C21+'Enero 08'!C21+'Febrero 08'!C21+'Marzo 08'!C21+'Abril 08'!C21+'Mayo 08'!C21+'Junio 08'!C21+'Julio 08'!C21+'Agosto 08'!C21+'Sept 08'!C21)/12</f>
        <v>8794</v>
      </c>
      <c r="D21" s="314">
        <f>('Oct 07'!D21+'Nov 07'!D21+'Dic 07'!D21+'Enero 08'!D21+'Febrero 08'!D21+'Marzo 08'!D21+'Abril 08'!D21+'Mayo 08'!D21+'Junio 08'!D21+'Julio 08'!D21+'Agosto 08'!D21+'Sept 08'!D21)</f>
        <v>12060170</v>
      </c>
      <c r="E21" s="121">
        <f t="shared" si="4"/>
        <v>3067.7047651348144</v>
      </c>
      <c r="F21" s="122">
        <f t="shared" si="7"/>
        <v>1096379.0909090908</v>
      </c>
      <c r="G21" s="117">
        <f t="shared" si="5"/>
        <v>124.67353774267578</v>
      </c>
      <c r="H21" s="117">
        <f t="shared" si="6"/>
        <v>278.88225137589217</v>
      </c>
    </row>
    <row r="22" spans="1:14" ht="21" thickBot="1" x14ac:dyDescent="0.45">
      <c r="A22" s="101" t="s">
        <v>19</v>
      </c>
      <c r="B22" s="104">
        <f>('Oct 07'!B22+'Nov 07'!B22+'Dic 07'!B22+'Enero 08'!B22+'Febrero 08'!B22+'Marzo 08'!B22+'Abril 08'!B22+'Mayo 08'!B22+'Junio 08'!B22+'Julio 08'!B22+'Agosto 08'!B22+'Sept 08'!B22)/12</f>
        <v>2546.8333333333335</v>
      </c>
      <c r="C22" s="104">
        <f>('Oct 07'!C22+'Nov 07'!C22+'Dic 07'!C22+'Enero 08'!C22+'Febrero 08'!C22+'Marzo 08'!C22+'Abril 08'!C22+'Mayo 08'!C22+'Junio 08'!C22+'Julio 08'!C22+'Agosto 08'!C22+'Sept 08'!C22)/12</f>
        <v>5634.583333333333</v>
      </c>
      <c r="D22" s="314">
        <f>('Oct 07'!D22+'Nov 07'!D22+'Dic 07'!D22+'Enero 08'!D22+'Febrero 08'!D22+'Marzo 08'!D22+'Abril 08'!D22+'Mayo 08'!D22+'Junio 08'!D22+'Julio 08'!D22+'Agosto 08'!D22+'Sept 08'!D22)</f>
        <v>7742729</v>
      </c>
      <c r="E22" s="121">
        <f t="shared" si="4"/>
        <v>3040.1396505464299</v>
      </c>
      <c r="F22" s="122">
        <f t="shared" si="7"/>
        <v>703884.45454545459</v>
      </c>
      <c r="G22" s="117">
        <f t="shared" si="5"/>
        <v>124.92218375427724</v>
      </c>
      <c r="H22" s="117">
        <f t="shared" si="6"/>
        <v>276.37633186785729</v>
      </c>
    </row>
    <row r="23" spans="1:14" ht="21" thickBot="1" x14ac:dyDescent="0.45">
      <c r="A23" s="101" t="s">
        <v>20</v>
      </c>
      <c r="B23" s="104">
        <f>('Oct 07'!B23+'Nov 07'!B23+'Dic 07'!B23+'Enero 08'!B23+'Febrero 08'!B23+'Marzo 08'!B23+'Abril 08'!B23+'Mayo 08'!B23+'Junio 08'!B23+'Julio 08'!B23+'Agosto 08'!B23+'Sept 08'!B23)/12</f>
        <v>6877.25</v>
      </c>
      <c r="C23" s="104">
        <f>('Oct 07'!C23+'Nov 07'!C23+'Dic 07'!C23+'Enero 08'!C23+'Febrero 08'!C23+'Marzo 08'!C23+'Abril 08'!C23+'Mayo 08'!C23+'Junio 08'!C23+'Julio 08'!C23+'Agosto 08'!C23+'Sept 08'!C23)/12</f>
        <v>14716.75</v>
      </c>
      <c r="D23" s="314">
        <f>('Oct 07'!D23+'Nov 07'!D23+'Dic 07'!D23+'Enero 08'!D23+'Febrero 08'!D23+'Marzo 08'!D23+'Abril 08'!D23+'Mayo 08'!D23+'Junio 08'!D23+'Julio 08'!D23+'Agosto 08'!D23+'Sept 08'!D23)</f>
        <v>20319498</v>
      </c>
      <c r="E23" s="121">
        <f t="shared" si="4"/>
        <v>2954.5963866371007</v>
      </c>
      <c r="F23" s="122">
        <f t="shared" si="7"/>
        <v>1847227.0909090908</v>
      </c>
      <c r="G23" s="117">
        <f t="shared" si="5"/>
        <v>125.51868387443497</v>
      </c>
      <c r="H23" s="117">
        <f t="shared" si="6"/>
        <v>268.59967151246366</v>
      </c>
    </row>
    <row r="24" spans="1:14" ht="21" thickBot="1" x14ac:dyDescent="0.45">
      <c r="A24" s="101" t="s">
        <v>21</v>
      </c>
      <c r="B24" s="104">
        <f>('Oct 07'!B24+'Nov 07'!B24+'Dic 07'!B24+'Enero 08'!B24+'Febrero 08'!B24+'Marzo 08'!B24+'Abril 08'!B24+'Mayo 08'!B24+'Junio 08'!B24+'Julio 08'!B24+'Agosto 08'!B24+'Sept 08'!B24)/12</f>
        <v>6243.583333333333</v>
      </c>
      <c r="C24" s="104">
        <f>('Oct 07'!C24+'Nov 07'!C24+'Dic 07'!C24+'Enero 08'!C24+'Febrero 08'!C24+'Marzo 08'!C24+'Abril 08'!C24+'Mayo 08'!C24+'Junio 08'!C24+'Julio 08'!C24+'Agosto 08'!C24+'Sept 08'!C24)/12</f>
        <v>14138.166666666666</v>
      </c>
      <c r="D24" s="314">
        <f>('Oct 07'!D24+'Nov 07'!D24+'Dic 07'!D24+'Enero 08'!D24+'Febrero 08'!D24+'Marzo 08'!D24+'Abril 08'!D24+'Mayo 08'!D24+'Junio 08'!D24+'Julio 08'!D24+'Agosto 08'!D24+'Sept 08'!D24)</f>
        <v>19557778</v>
      </c>
      <c r="E24" s="121">
        <f t="shared" si="4"/>
        <v>3132.4604727520255</v>
      </c>
      <c r="F24" s="122">
        <f t="shared" si="7"/>
        <v>1777979.8181818181</v>
      </c>
      <c r="G24" s="117">
        <f t="shared" si="5"/>
        <v>125.75745215776337</v>
      </c>
      <c r="H24" s="117">
        <f t="shared" si="6"/>
        <v>284.76913388654776</v>
      </c>
    </row>
    <row r="25" spans="1:14" ht="21" thickBot="1" x14ac:dyDescent="0.45">
      <c r="A25" s="101" t="s">
        <v>69</v>
      </c>
      <c r="B25" s="104">
        <f>('Oct 07'!B25+'Nov 07'!B25+'Dic 07'!B25+'Enero 08'!B25+'Febrero 08'!B25+'Marzo 08'!B25+'Abril 08'!B25+'Mayo 08'!B25+'Junio 08'!B25+'Julio 08'!B25+'Agosto 08'!B25+'Sept 08'!B25)/12</f>
        <v>8086.333333333333</v>
      </c>
      <c r="C25" s="104">
        <f>('Oct 07'!C25+'Nov 07'!C25+'Dic 07'!C25+'Enero 08'!C25+'Febrero 08'!C25+'Marzo 08'!C25+'Abril 08'!C25+'Mayo 08'!C25+'Junio 08'!C25+'Julio 08'!C25+'Agosto 08'!C25+'Sept 08'!C25)/12</f>
        <v>16678.416666666668</v>
      </c>
      <c r="D25" s="314">
        <f>('Oct 07'!D25+'Nov 07'!D25+'Dic 07'!D25+'Enero 08'!D25+'Febrero 08'!D25+'Marzo 08'!D25+'Abril 08'!D25+'Mayo 08'!D25+'Junio 08'!D25+'Julio 08'!D25+'Agosto 08'!D25+'Sept 08'!D25)</f>
        <v>23219035</v>
      </c>
      <c r="E25" s="121">
        <f t="shared" si="4"/>
        <v>2871.392266787584</v>
      </c>
      <c r="F25" s="122">
        <f t="shared" si="7"/>
        <v>2110821.3636363638</v>
      </c>
      <c r="G25" s="117">
        <f t="shared" si="5"/>
        <v>126.56005697801231</v>
      </c>
      <c r="H25" s="117">
        <f t="shared" si="6"/>
        <v>261.03566061705311</v>
      </c>
    </row>
    <row r="26" spans="1:14" ht="21" thickBot="1" x14ac:dyDescent="0.45">
      <c r="A26" s="101" t="s">
        <v>22</v>
      </c>
      <c r="B26" s="104">
        <f>('Oct 07'!B26+'Nov 07'!B26+'Dic 07'!B26+'Enero 08'!B26+'Febrero 08'!B26+'Marzo 08'!B26+'Abril 08'!B26+'Mayo 08'!B26+'Junio 08'!B26+'Julio 08'!B26+'Agosto 08'!B26+'Sept 08'!B26)/12</f>
        <v>5216.5</v>
      </c>
      <c r="C26" s="104">
        <f>('Oct 07'!C26+'Nov 07'!C26+'Dic 07'!C26+'Enero 08'!C26+'Febrero 08'!C26+'Marzo 08'!C26+'Abril 08'!C26+'Mayo 08'!C26+'Junio 08'!C26+'Julio 08'!C26+'Agosto 08'!C26+'Sept 08'!C26)/12</f>
        <v>12580.083333333334</v>
      </c>
      <c r="D26" s="314">
        <f>('Oct 07'!D26+'Nov 07'!D26+'Dic 07'!D26+'Enero 08'!D26+'Febrero 08'!D26+'Marzo 08'!D26+'Abril 08'!D26+'Mayo 08'!D26+'Junio 08'!D26+'Julio 08'!D26+'Agosto 08'!D26+'Sept 08'!D26)</f>
        <v>17067620</v>
      </c>
      <c r="E26" s="121">
        <f t="shared" si="4"/>
        <v>3271.8527748490369</v>
      </c>
      <c r="F26" s="122">
        <f t="shared" si="7"/>
        <v>1551601.8181818181</v>
      </c>
      <c r="G26" s="117">
        <f t="shared" si="5"/>
        <v>123.3379602558397</v>
      </c>
      <c r="H26" s="117">
        <f t="shared" si="6"/>
        <v>297.44116134991242</v>
      </c>
    </row>
    <row r="27" spans="1:14" ht="21" thickBot="1" x14ac:dyDescent="0.45">
      <c r="A27" s="101" t="s">
        <v>23</v>
      </c>
      <c r="B27" s="104">
        <f>('Oct 07'!B27+'Nov 07'!B27+'Dic 07'!B27+'Enero 08'!B27+'Febrero 08'!B27+'Marzo 08'!B27+'Abril 08'!B27+'Mayo 08'!B27+'Junio 08'!B27+'Julio 08'!B27+'Agosto 08'!B27+'Sept 08'!B27)/12</f>
        <v>4463.75</v>
      </c>
      <c r="C27" s="104">
        <f>('Oct 07'!C27+'Nov 07'!C27+'Dic 07'!C27+'Enero 08'!C27+'Febrero 08'!C27+'Marzo 08'!C27+'Abril 08'!C27+'Mayo 08'!C27+'Junio 08'!C27+'Julio 08'!C27+'Agosto 08'!C27+'Sept 08'!C27)/12</f>
        <v>9913.8333333333339</v>
      </c>
      <c r="D27" s="314">
        <f>('Oct 07'!D27+'Nov 07'!D27+'Dic 07'!D27+'Enero 08'!D27+'Febrero 08'!D27+'Marzo 08'!D27+'Abril 08'!D27+'Mayo 08'!D27+'Junio 08'!D27+'Julio 08'!D27+'Agosto 08'!D27+'Sept 08'!D27)</f>
        <v>13483274</v>
      </c>
      <c r="E27" s="121">
        <f t="shared" si="4"/>
        <v>3020.6158499019884</v>
      </c>
      <c r="F27" s="122">
        <f t="shared" si="7"/>
        <v>1225752.1818181819</v>
      </c>
      <c r="G27" s="117">
        <f t="shared" si="5"/>
        <v>123.6405879143468</v>
      </c>
      <c r="H27" s="117">
        <f t="shared" si="6"/>
        <v>274.60144090018076</v>
      </c>
    </row>
    <row r="28" spans="1:14" ht="21" thickBot="1" x14ac:dyDescent="0.45">
      <c r="A28" s="101" t="s">
        <v>87</v>
      </c>
      <c r="B28" s="104">
        <f>('Oct 07'!B28+'Nov 07'!B28+'Dic 07'!B28+'Enero 08'!B28+'Febrero 08'!B28+'Marzo 08'!B28+'Abril 08'!B28+'Mayo 08'!B28+'Junio 08'!B28+'Julio 08'!B28+'Agosto 08'!B28+'Sept 08'!B28)/12</f>
        <v>6390.75</v>
      </c>
      <c r="C28" s="104">
        <f>('Oct 07'!C28+'Nov 07'!C28+'Dic 07'!C28+'Enero 08'!C28+'Febrero 08'!C28+'Marzo 08'!C28+'Abril 08'!C28+'Mayo 08'!C28+'Junio 08'!C28+'Julio 08'!C28+'Agosto 08'!C28+'Sept 08'!C28)/12</f>
        <v>14535.5</v>
      </c>
      <c r="D28" s="314">
        <f>('Oct 07'!D28+'Nov 07'!D28+'Dic 07'!D28+'Enero 08'!D28+'Febrero 08'!D28+'Marzo 08'!D28+'Abril 08'!D28+'Mayo 08'!D28+'Junio 08'!D28+'Julio 08'!D28+'Agosto 08'!D28+'Sept 08'!D28)</f>
        <v>20109529</v>
      </c>
      <c r="E28" s="123">
        <f t="shared" si="4"/>
        <v>3146.6618159058012</v>
      </c>
      <c r="F28" s="124">
        <f t="shared" si="7"/>
        <v>1828139</v>
      </c>
      <c r="G28" s="117">
        <f t="shared" si="5"/>
        <v>125.77063052526573</v>
      </c>
      <c r="H28" s="117">
        <f t="shared" si="6"/>
        <v>286.06016508234558</v>
      </c>
    </row>
    <row r="29" spans="1:14" s="65" customFormat="1" ht="21" thickBot="1" x14ac:dyDescent="0.45">
      <c r="A29" s="232" t="s">
        <v>88</v>
      </c>
      <c r="B29" s="233">
        <f>SUM(B18:B28)</f>
        <v>72008.416666666672</v>
      </c>
      <c r="C29" s="231">
        <f>SUM(C18:C28)</f>
        <v>156971.5</v>
      </c>
      <c r="D29" s="215">
        <f>SUM(D18:D28)</f>
        <v>214414704</v>
      </c>
      <c r="E29" s="215">
        <f t="shared" si="4"/>
        <v>2977.6339201088758</v>
      </c>
      <c r="F29" s="215">
        <f>D29/12</f>
        <v>17867892</v>
      </c>
      <c r="G29" s="215">
        <f>SUM(G20:G28)/11</f>
        <v>102.27541470018319</v>
      </c>
      <c r="H29" s="215">
        <f>SUM(H20:H28)/11</f>
        <v>226.6149223584662</v>
      </c>
      <c r="I29" s="64"/>
      <c r="J29" s="64"/>
      <c r="K29" s="64"/>
      <c r="L29" s="64"/>
      <c r="M29" s="64"/>
      <c r="N29" s="64"/>
    </row>
    <row r="30" spans="1:14" ht="21" thickBot="1" x14ac:dyDescent="0.45">
      <c r="A30" s="97"/>
      <c r="B30" s="108"/>
      <c r="C30" s="108"/>
      <c r="D30" s="118"/>
      <c r="E30" s="118"/>
      <c r="F30" s="119"/>
    </row>
    <row r="31" spans="1:14" ht="21" thickBot="1" x14ac:dyDescent="0.45">
      <c r="A31" s="222" t="s">
        <v>2</v>
      </c>
      <c r="B31" s="236"/>
      <c r="C31" s="236"/>
      <c r="D31" s="223"/>
      <c r="E31" s="212"/>
      <c r="F31" s="213"/>
      <c r="G31" s="226"/>
      <c r="H31" s="227"/>
    </row>
    <row r="32" spans="1:14" ht="21" thickBot="1" x14ac:dyDescent="0.45">
      <c r="A32" s="101" t="s">
        <v>24</v>
      </c>
      <c r="B32" s="104">
        <f>('Oct 07'!B32+'Nov 07'!B32+'Dic 07'!B32+'Enero 08'!B32+'Febrero 08'!B32+'Marzo 08'!B32+'Abril 08'!B32+'Mayo 08'!B32+'Junio 08'!B32+'Julio 08'!B32+'Agosto 08'!B32+'Sept 08'!B32)/12</f>
        <v>20649.25</v>
      </c>
      <c r="C32" s="104">
        <f>('Oct 07'!C32+'Nov 07'!C32+'Dic 07'!C32+'Enero 08'!C32+'Febrero 08'!C32+'Marzo 08'!C32+'Abril 08'!C32+'Mayo 08'!C32+'Junio 08'!C32+'Julio 08'!C32+'Agosto 08'!C32+'Sept 08'!C32)/12</f>
        <v>43780.666666666664</v>
      </c>
      <c r="D32" s="111">
        <f>('Oct 07'!D32+'Nov 07'!D32+'Dic 07'!D32+'Enero 08'!D32+'Febrero 08'!D32+'Marzo 08'!D32+'Abril 08'!D32+'Mayo 08'!D32+'Junio 08'!D32+'Julio 08'!D32+'Agosto 08'!D32+'Sept 08'!D32)</f>
        <v>60464860</v>
      </c>
      <c r="E32" s="112">
        <f t="shared" ref="E32:E41" si="8">D32/B32</f>
        <v>2928.1867380171193</v>
      </c>
      <c r="F32" s="107">
        <f t="shared" ref="F32:F40" si="9">D32/11</f>
        <v>5496805.4545454541</v>
      </c>
      <c r="G32" s="103">
        <f t="shared" ref="G32:G40" si="10">F32/C32</f>
        <v>125.55326067546073</v>
      </c>
      <c r="H32" s="103">
        <f t="shared" ref="H32:H40" si="11">F32/B32</f>
        <v>266.19879436519261</v>
      </c>
    </row>
    <row r="33" spans="1:8" ht="21" thickBot="1" x14ac:dyDescent="0.45">
      <c r="A33" s="101" t="s">
        <v>25</v>
      </c>
      <c r="B33" s="104">
        <f>('Oct 07'!B33+'Nov 07'!B33+'Dic 07'!B33+'Enero 08'!B33+'Febrero 08'!B33+'Marzo 08'!B33+'Abril 08'!B33+'Mayo 08'!B33+'Junio 08'!B33+'Julio 08'!B33+'Agosto 08'!B33+'Sept 08'!B33)/12</f>
        <v>3826.8333333333335</v>
      </c>
      <c r="C33" s="104">
        <f>('Oct 07'!C33+'Nov 07'!C33+'Dic 07'!C33+'Enero 08'!C33+'Febrero 08'!C33+'Marzo 08'!C33+'Abril 08'!C33+'Mayo 08'!C33+'Junio 08'!C33+'Julio 08'!C33+'Agosto 08'!C33+'Sept 08'!C33)/12</f>
        <v>8522.6666666666661</v>
      </c>
      <c r="D33" s="111">
        <f>('Oct 07'!D33+'Nov 07'!D33+'Dic 07'!D33+'Enero 08'!D33+'Febrero 08'!D33+'Marzo 08'!D33+'Abril 08'!D33+'Mayo 08'!D33+'Junio 08'!D33+'Julio 08'!D33+'Agosto 08'!D33+'Sept 08'!D33)</f>
        <v>11811179</v>
      </c>
      <c r="E33" s="121">
        <f t="shared" si="8"/>
        <v>3086.4106092940201</v>
      </c>
      <c r="F33" s="122">
        <f t="shared" si="9"/>
        <v>1073743.5454545454</v>
      </c>
      <c r="G33" s="117">
        <f t="shared" si="10"/>
        <v>125.98680523950392</v>
      </c>
      <c r="H33" s="117">
        <f t="shared" si="11"/>
        <v>280.58278266309276</v>
      </c>
    </row>
    <row r="34" spans="1:8" ht="21" thickBot="1" x14ac:dyDescent="0.45">
      <c r="A34" s="101" t="s">
        <v>26</v>
      </c>
      <c r="B34" s="104">
        <f>('Oct 07'!B34+'Nov 07'!B34+'Dic 07'!B34+'Enero 08'!B34+'Febrero 08'!B34+'Marzo 08'!B34+'Abril 08'!B34+'Mayo 08'!B34+'Junio 08'!B34+'Julio 08'!B34+'Agosto 08'!B34+'Sept 08'!B34)/12</f>
        <v>6344.416666666667</v>
      </c>
      <c r="C34" s="104">
        <f>('Oct 07'!C34+'Nov 07'!C34+'Dic 07'!C34+'Enero 08'!C34+'Febrero 08'!C34+'Marzo 08'!C34+'Abril 08'!C34+'Mayo 08'!C34+'Junio 08'!C34+'Julio 08'!C34+'Agosto 08'!C34+'Sept 08'!C34)/12</f>
        <v>14392.75</v>
      </c>
      <c r="D34" s="111">
        <f>('Oct 07'!D34+'Nov 07'!D34+'Dic 07'!D34+'Enero 08'!D34+'Febrero 08'!D34+'Marzo 08'!D34+'Abril 08'!D34+'Mayo 08'!D34+'Junio 08'!D34+'Julio 08'!D34+'Agosto 08'!D34+'Sept 08'!D34)</f>
        <v>19630257</v>
      </c>
      <c r="E34" s="121">
        <f t="shared" si="8"/>
        <v>3094.0995888773591</v>
      </c>
      <c r="F34" s="122">
        <f t="shared" si="9"/>
        <v>1784568.8181818181</v>
      </c>
      <c r="G34" s="117">
        <f t="shared" si="10"/>
        <v>123.99081608322372</v>
      </c>
      <c r="H34" s="117">
        <f t="shared" si="11"/>
        <v>281.28178080703265</v>
      </c>
    </row>
    <row r="35" spans="1:8" ht="21" thickBot="1" x14ac:dyDescent="0.45">
      <c r="A35" s="101" t="s">
        <v>27</v>
      </c>
      <c r="B35" s="104">
        <f>('Oct 07'!B35+'Nov 07'!B35+'Dic 07'!B35+'Enero 08'!B35+'Febrero 08'!B35+'Marzo 08'!B35+'Abril 08'!B35+'Mayo 08'!B35+'Junio 08'!B35+'Julio 08'!B35+'Agosto 08'!B35+'Sept 08'!B35)/12</f>
        <v>3970</v>
      </c>
      <c r="C35" s="104">
        <f>('Oct 07'!C35+'Nov 07'!C35+'Dic 07'!C35+'Enero 08'!C35+'Febrero 08'!C35+'Marzo 08'!C35+'Abril 08'!C35+'Mayo 08'!C35+'Junio 08'!C35+'Julio 08'!C35+'Agosto 08'!C35+'Sept 08'!C35)/12</f>
        <v>8592.9166666666661</v>
      </c>
      <c r="D35" s="111">
        <f>('Oct 07'!D35+'Nov 07'!D35+'Dic 07'!D35+'Enero 08'!D35+'Febrero 08'!D35+'Marzo 08'!D35+'Abril 08'!D35+'Mayo 08'!D35+'Junio 08'!D35+'Julio 08'!D35+'Agosto 08'!D35+'Sept 08'!D35)</f>
        <v>11717052</v>
      </c>
      <c r="E35" s="121">
        <f t="shared" si="8"/>
        <v>2951.3984886649873</v>
      </c>
      <c r="F35" s="122">
        <f t="shared" si="9"/>
        <v>1065186.5454545454</v>
      </c>
      <c r="G35" s="117">
        <f t="shared" si="10"/>
        <v>123.96100029534544</v>
      </c>
      <c r="H35" s="117">
        <f t="shared" si="11"/>
        <v>268.30895351499885</v>
      </c>
    </row>
    <row r="36" spans="1:8" ht="21" thickBot="1" x14ac:dyDescent="0.45">
      <c r="A36" s="101" t="s">
        <v>28</v>
      </c>
      <c r="B36" s="104">
        <f>('Oct 07'!B36+'Nov 07'!B36+'Dic 07'!B36+'Enero 08'!B36+'Febrero 08'!B36+'Marzo 08'!B36+'Abril 08'!B36+'Mayo 08'!B36+'Junio 08'!B36+'Julio 08'!B36+'Agosto 08'!B36+'Sept 08'!B36)/12</f>
        <v>4764.083333333333</v>
      </c>
      <c r="C36" s="104">
        <f>('Oct 07'!C36+'Nov 07'!C36+'Dic 07'!C36+'Enero 08'!C36+'Febrero 08'!C36+'Marzo 08'!C36+'Abril 08'!C36+'Mayo 08'!C36+'Junio 08'!C36+'Julio 08'!C36+'Agosto 08'!C36+'Sept 08'!C36)/12</f>
        <v>10457.166666666666</v>
      </c>
      <c r="D36" s="111">
        <f>('Oct 07'!D36+'Nov 07'!D36+'Dic 07'!D36+'Enero 08'!D36+'Febrero 08'!D36+'Marzo 08'!D36+'Abril 08'!D36+'Mayo 08'!D36+'Junio 08'!D36+'Julio 08'!D36+'Agosto 08'!D36+'Sept 08'!D36)</f>
        <v>14144078</v>
      </c>
      <c r="E36" s="121">
        <f t="shared" si="8"/>
        <v>2968.8981091150799</v>
      </c>
      <c r="F36" s="122">
        <f t="shared" si="9"/>
        <v>1285825.2727272727</v>
      </c>
      <c r="G36" s="117">
        <f t="shared" si="10"/>
        <v>122.96115321810619</v>
      </c>
      <c r="H36" s="117">
        <f t="shared" si="11"/>
        <v>269.89982810137093</v>
      </c>
    </row>
    <row r="37" spans="1:8" ht="21" thickBot="1" x14ac:dyDescent="0.45">
      <c r="A37" s="101" t="s">
        <v>29</v>
      </c>
      <c r="B37" s="104">
        <f>('Oct 07'!B37+'Nov 07'!B37+'Dic 07'!B37+'Enero 08'!B37+'Febrero 08'!B37+'Marzo 08'!B37+'Abril 08'!B37+'Mayo 08'!B37+'Junio 08'!B37+'Julio 08'!B37+'Agosto 08'!B37+'Sept 08'!B37)/12</f>
        <v>7552.333333333333</v>
      </c>
      <c r="C37" s="104">
        <f>('Oct 07'!C37+'Nov 07'!C37+'Dic 07'!C37+'Enero 08'!C37+'Febrero 08'!C37+'Marzo 08'!C37+'Abril 08'!C37+'Mayo 08'!C37+'Junio 08'!C37+'Julio 08'!C37+'Agosto 08'!C37+'Sept 08'!C37)/12</f>
        <v>17228.916666666668</v>
      </c>
      <c r="D37" s="111">
        <f>('Oct 07'!D37+'Nov 07'!D37+'Dic 07'!D37+'Enero 08'!D37+'Febrero 08'!D37+'Marzo 08'!D37+'Abril 08'!D37+'Mayo 08'!D37+'Junio 08'!D37+'Julio 08'!D37+'Agosto 08'!D37+'Sept 08'!D37)</f>
        <v>23473553</v>
      </c>
      <c r="E37" s="121">
        <f t="shared" si="8"/>
        <v>3108.1193008783157</v>
      </c>
      <c r="F37" s="122">
        <f t="shared" si="9"/>
        <v>2133959.3636363638</v>
      </c>
      <c r="G37" s="117">
        <f t="shared" si="10"/>
        <v>123.85917262952479</v>
      </c>
      <c r="H37" s="117">
        <f t="shared" si="11"/>
        <v>282.55630007984689</v>
      </c>
    </row>
    <row r="38" spans="1:8" ht="21" thickBot="1" x14ac:dyDescent="0.45">
      <c r="A38" s="101" t="s">
        <v>89</v>
      </c>
      <c r="B38" s="104">
        <f>('Oct 07'!B38+'Nov 07'!B38+'Dic 07'!B38+'Enero 08'!B38+'Febrero 08'!B38+'Marzo 08'!B38+'Abril 08'!B38+'Mayo 08'!B38+'Junio 08'!B38+'Julio 08'!B38+'Agosto 08'!B38+'Sept 08'!B38)/12</f>
        <v>8828.5833333333339</v>
      </c>
      <c r="C38" s="104">
        <f>('Oct 07'!C38+'Nov 07'!C38+'Dic 07'!C38+'Enero 08'!C38+'Febrero 08'!C38+'Marzo 08'!C38+'Abril 08'!C38+'Mayo 08'!C38+'Junio 08'!C38+'Julio 08'!C38+'Agosto 08'!C38+'Sept 08'!C38)/12</f>
        <v>19528.416666666668</v>
      </c>
      <c r="D38" s="111">
        <f>('Oct 07'!D38+'Nov 07'!D38+'Dic 07'!D38+'Enero 08'!D38+'Febrero 08'!D38+'Marzo 08'!D38+'Abril 08'!D38+'Mayo 08'!D38+'Junio 08'!D38+'Julio 08'!D38+'Agosto 08'!D38+'Sept 08'!D38)</f>
        <v>26275246</v>
      </c>
      <c r="E38" s="121">
        <f t="shared" si="8"/>
        <v>2976.1565370057483</v>
      </c>
      <c r="F38" s="122">
        <f t="shared" si="9"/>
        <v>2388658.7272727271</v>
      </c>
      <c r="G38" s="117">
        <f t="shared" si="10"/>
        <v>122.3170709661251</v>
      </c>
      <c r="H38" s="117">
        <f t="shared" si="11"/>
        <v>270.55968518234073</v>
      </c>
    </row>
    <row r="39" spans="1:8" ht="21" thickBot="1" x14ac:dyDescent="0.45">
      <c r="A39" s="101" t="s">
        <v>30</v>
      </c>
      <c r="B39" s="104">
        <f>('Oct 07'!B39+'Nov 07'!B39+'Dic 07'!B39+'Enero 08'!B39+'Febrero 08'!B39+'Marzo 08'!B39+'Abril 08'!B39+'Mayo 08'!B39+'Junio 08'!B39+'Julio 08'!B39+'Agosto 08'!B39+'Sept 08'!B39)/12</f>
        <v>5411.166666666667</v>
      </c>
      <c r="C39" s="104">
        <f>('Oct 07'!C39+'Nov 07'!C39+'Dic 07'!C39+'Enero 08'!C39+'Febrero 08'!C39+'Marzo 08'!C39+'Abril 08'!C39+'Mayo 08'!C39+'Junio 08'!C39+'Julio 08'!C39+'Agosto 08'!C39+'Sept 08'!C39)/12</f>
        <v>12032.666666666666</v>
      </c>
      <c r="D39" s="111">
        <f>('Oct 07'!D39+'Nov 07'!D39+'Dic 07'!D39+'Enero 08'!D39+'Febrero 08'!D39+'Marzo 08'!D39+'Abril 08'!D39+'Mayo 08'!D39+'Junio 08'!D39+'Julio 08'!D39+'Agosto 08'!D39+'Sept 08'!D39)</f>
        <v>16451953</v>
      </c>
      <c r="E39" s="121">
        <f t="shared" si="8"/>
        <v>3040.3707764807341</v>
      </c>
      <c r="F39" s="122">
        <f t="shared" si="9"/>
        <v>1495632.0909090908</v>
      </c>
      <c r="G39" s="117">
        <f t="shared" si="10"/>
        <v>124.29764177315288</v>
      </c>
      <c r="H39" s="117">
        <f t="shared" si="11"/>
        <v>276.39734331643035</v>
      </c>
    </row>
    <row r="40" spans="1:8" ht="21" thickBot="1" x14ac:dyDescent="0.45">
      <c r="A40" s="101" t="s">
        <v>90</v>
      </c>
      <c r="B40" s="104">
        <f>('Oct 07'!B40+'Nov 07'!B40+'Dic 07'!B40+'Enero 08'!B40+'Febrero 08'!B40+'Marzo 08'!B40+'Abril 08'!B40+'Mayo 08'!B40+'Junio 08'!B40+'Julio 08'!B40+'Agosto 08'!B40+'Sept 08'!B40)/12</f>
        <v>9419.5833333333339</v>
      </c>
      <c r="C40" s="104">
        <f>('Oct 07'!C40+'Nov 07'!C40+'Dic 07'!C40+'Enero 08'!C40+'Febrero 08'!C40+'Marzo 08'!C40+'Abril 08'!C40+'Mayo 08'!C40+'Junio 08'!C40+'Julio 08'!C40+'Agosto 08'!C40+'Sept 08'!C40)/12</f>
        <v>20083.583333333332</v>
      </c>
      <c r="D40" s="111">
        <f>('Oct 07'!D40+'Nov 07'!D40+'Dic 07'!D40+'Enero 08'!D40+'Febrero 08'!D40+'Marzo 08'!D40+'Abril 08'!D40+'Mayo 08'!D40+'Junio 08'!D40+'Julio 08'!D40+'Agosto 08'!D40+'Sept 08'!D40)</f>
        <v>27669149</v>
      </c>
      <c r="E40" s="123">
        <f t="shared" si="8"/>
        <v>2937.4068916707211</v>
      </c>
      <c r="F40" s="124">
        <f t="shared" si="9"/>
        <v>2515377.1818181816</v>
      </c>
      <c r="G40" s="117">
        <f t="shared" si="10"/>
        <v>125.24543753321818</v>
      </c>
      <c r="H40" s="117">
        <f t="shared" si="11"/>
        <v>267.03699015188374</v>
      </c>
    </row>
    <row r="41" spans="1:8" ht="21" thickBot="1" x14ac:dyDescent="0.45">
      <c r="A41" s="232" t="s">
        <v>91</v>
      </c>
      <c r="B41" s="233">
        <f>SUM(B32:B40)</f>
        <v>70766.25</v>
      </c>
      <c r="C41" s="233">
        <f>SUM(C32:C40)</f>
        <v>154619.75000000003</v>
      </c>
      <c r="D41" s="215">
        <f>SUM(D32:D40)</f>
        <v>211637327</v>
      </c>
      <c r="E41" s="215">
        <f t="shared" si="8"/>
        <v>2990.6534117605497</v>
      </c>
      <c r="F41" s="215">
        <f>D41/12</f>
        <v>17636443.916666668</v>
      </c>
      <c r="G41" s="215">
        <f>SUM(G32:G40)/11</f>
        <v>101.65203258306009</v>
      </c>
      <c r="H41" s="215">
        <f>SUM(H32:H40)/11</f>
        <v>223.89295074383546</v>
      </c>
    </row>
    <row r="42" spans="1:8" ht="21" thickBot="1" x14ac:dyDescent="0.45">
      <c r="A42" s="98"/>
      <c r="B42" s="109"/>
      <c r="C42" s="109"/>
      <c r="D42" s="125"/>
      <c r="E42" s="125"/>
      <c r="F42" s="126"/>
    </row>
    <row r="43" spans="1:8" ht="21" thickBot="1" x14ac:dyDescent="0.45">
      <c r="A43" s="222" t="s">
        <v>3</v>
      </c>
      <c r="B43" s="236"/>
      <c r="C43" s="236"/>
      <c r="D43" s="223"/>
      <c r="E43" s="223"/>
      <c r="F43" s="224"/>
      <c r="G43" s="226"/>
      <c r="H43" s="227"/>
    </row>
    <row r="44" spans="1:8" ht="21" thickBot="1" x14ac:dyDescent="0.45">
      <c r="A44" s="101" t="s">
        <v>31</v>
      </c>
      <c r="B44" s="104">
        <f>('Oct 07'!B44+'Nov 07'!B44+'Dic 07'!B44+'Enero 08'!B44+'Febrero 08'!B44+'Marzo 08'!B44+'Abril 08'!B44+'Mayo 08'!B44+'Junio 08'!B44+'Julio 08'!B44+'Agosto 08'!B44+'Sept 08'!B45)/12</f>
        <v>3666.5</v>
      </c>
      <c r="C44" s="104">
        <f>('Oct 07'!C44+'Nov 07'!C44+'Dic 07'!C44+'Enero 08'!C44+'Febrero 08'!C44+'Marzo 08'!C44+'Abril 08'!C44+'Mayo 08'!C44+'Junio 08'!C44+'Julio 08'!C44+'Agosto 08'!C44+'Sept 08'!C45)/12</f>
        <v>7740.333333333333</v>
      </c>
      <c r="D44" s="104">
        <f>('Oct 07'!D44+'Nov 07'!D44+'Dic 07'!D44+'Enero 08'!D44+'Febrero 08'!D44+'Marzo 08'!D44+'Abril 08'!D44+'Mayo 08'!D44+'Junio 08'!D44+'Julio 08'!D44+'Agosto 08'!D44+'Sept 08'!D45)</f>
        <v>10809022</v>
      </c>
      <c r="E44" s="112">
        <f t="shared" ref="E44:E51" si="12">D44/B44</f>
        <v>2948.0490931405975</v>
      </c>
      <c r="F44" s="107">
        <f t="shared" ref="F44:F50" si="13">D44/11</f>
        <v>982638.36363636365</v>
      </c>
      <c r="G44" s="103">
        <f t="shared" ref="G44:G50" si="14">F44/C44</f>
        <v>126.95039364838254</v>
      </c>
      <c r="H44" s="103">
        <f t="shared" ref="H44:H50" si="15">F44/B44</f>
        <v>268.00446301278157</v>
      </c>
    </row>
    <row r="45" spans="1:8" ht="21" thickBot="1" x14ac:dyDescent="0.45">
      <c r="A45" s="101" t="s">
        <v>32</v>
      </c>
      <c r="B45" s="104">
        <f>('Oct 07'!B45+'Nov 07'!B45+'Dic 07'!B45+'Enero 08'!B45+'Febrero 08'!B45+'Marzo 08'!B45+'Abril 08'!B45+'Mayo 08'!B45+'Junio 08'!B45+'Julio 08'!B45+'Agosto 08'!B45+'Sept 08'!B46)/12</f>
        <v>6711.75</v>
      </c>
      <c r="C45" s="104">
        <f>('Oct 07'!C45+'Nov 07'!C45+'Dic 07'!C45+'Enero 08'!C45+'Febrero 08'!C45+'Marzo 08'!C45+'Abril 08'!C45+'Mayo 08'!C45+'Junio 08'!C45+'Julio 08'!C45+'Agosto 08'!C45+'Sept 08'!C46)/12</f>
        <v>15796.5</v>
      </c>
      <c r="D45" s="104">
        <f>('Oct 07'!D45+'Nov 07'!D45+'Dic 07'!D45+'Enero 08'!D45+'Febrero 08'!D45+'Marzo 08'!D45+'Abril 08'!D45+'Mayo 08'!D45+'Junio 08'!D45+'Julio 08'!D45+'Agosto 08'!D45+'Sept 08'!D46)</f>
        <v>21604131</v>
      </c>
      <c r="E45" s="121">
        <f t="shared" si="12"/>
        <v>3218.8521622527655</v>
      </c>
      <c r="F45" s="122">
        <f t="shared" si="13"/>
        <v>1964011.9090909092</v>
      </c>
      <c r="G45" s="117">
        <f t="shared" si="14"/>
        <v>124.33209312764912</v>
      </c>
      <c r="H45" s="117">
        <f t="shared" si="15"/>
        <v>292.62292384116051</v>
      </c>
    </row>
    <row r="46" spans="1:8" ht="21" thickBot="1" x14ac:dyDescent="0.45">
      <c r="A46" s="101" t="s">
        <v>92</v>
      </c>
      <c r="B46" s="104">
        <f>('Oct 07'!B46+'Nov 07'!B46+'Dic 07'!B46+'Enero 08'!B46+'Febrero 08'!B46+'Marzo 08'!B46+'Abril 08'!B46+'Mayo 08'!B46+'Junio 08'!B46+'Julio 08'!B46+'Agosto 08'!B46+'Sept 08'!B47)/12</f>
        <v>16657.333333333332</v>
      </c>
      <c r="C46" s="104">
        <f>('Oct 07'!C46+'Nov 07'!C46+'Dic 07'!C46+'Enero 08'!C46+'Febrero 08'!C46+'Marzo 08'!C46+'Abril 08'!C46+'Mayo 08'!C46+'Junio 08'!C46+'Julio 08'!C46+'Agosto 08'!C46+'Sept 08'!C47)/12</f>
        <v>34276.416666666664</v>
      </c>
      <c r="D46" s="104">
        <f>('Oct 07'!D46+'Nov 07'!D46+'Dic 07'!D46+'Enero 08'!D46+'Febrero 08'!D46+'Marzo 08'!D46+'Abril 08'!D46+'Mayo 08'!D46+'Junio 08'!D46+'Julio 08'!D46+'Agosto 08'!D46+'Sept 08'!D47)</f>
        <v>47077329</v>
      </c>
      <c r="E46" s="121">
        <f t="shared" si="12"/>
        <v>2826.2224245577527</v>
      </c>
      <c r="F46" s="122">
        <f t="shared" si="13"/>
        <v>4279757.1818181816</v>
      </c>
      <c r="G46" s="117">
        <f t="shared" si="14"/>
        <v>124.86011077056914</v>
      </c>
      <c r="H46" s="117">
        <f t="shared" si="15"/>
        <v>256.92931132343205</v>
      </c>
    </row>
    <row r="47" spans="1:8" ht="21" thickBot="1" x14ac:dyDescent="0.45">
      <c r="A47" s="101" t="s">
        <v>33</v>
      </c>
      <c r="B47" s="104">
        <f>('Oct 07'!B47+'Nov 07'!B47+'Dic 07'!B47+'Enero 08'!B47+'Febrero 08'!B47+'Marzo 08'!B47+'Abril 08'!B47+'Mayo 08'!B47+'Junio 08'!B47+'Julio 08'!B47+'Agosto 08'!B47+'Sept 08'!B48)/12</f>
        <v>5270.666666666667</v>
      </c>
      <c r="C47" s="104">
        <f>('Oct 07'!C47+'Nov 07'!C47+'Dic 07'!C47+'Enero 08'!C47+'Febrero 08'!C47+'Marzo 08'!C47+'Abril 08'!C47+'Mayo 08'!C47+'Junio 08'!C47+'Julio 08'!C47+'Agosto 08'!C47+'Sept 08'!C48)/12</f>
        <v>11596</v>
      </c>
      <c r="D47" s="104">
        <f>('Oct 07'!D47+'Nov 07'!D47+'Dic 07'!D47+'Enero 08'!D47+'Febrero 08'!D47+'Marzo 08'!D47+'Abril 08'!D47+'Mayo 08'!D47+'Junio 08'!D47+'Julio 08'!D47+'Agosto 08'!D47+'Sept 08'!D48)</f>
        <v>15854386</v>
      </c>
      <c r="E47" s="121">
        <f t="shared" si="12"/>
        <v>3008.0418669365035</v>
      </c>
      <c r="F47" s="122">
        <f t="shared" si="13"/>
        <v>1441307.8181818181</v>
      </c>
      <c r="G47" s="117">
        <f t="shared" si="14"/>
        <v>124.29353382043965</v>
      </c>
      <c r="H47" s="117">
        <f t="shared" si="15"/>
        <v>273.45835153968216</v>
      </c>
    </row>
    <row r="48" spans="1:8" ht="21" thickBot="1" x14ac:dyDescent="0.45">
      <c r="A48" s="101" t="s">
        <v>34</v>
      </c>
      <c r="B48" s="104">
        <f>('Oct 07'!B48+'Nov 07'!B48+'Dic 07'!B48+'Enero 08'!B48+'Febrero 08'!B48+'Marzo 08'!B48+'Abril 08'!B48+'Mayo 08'!B48+'Junio 08'!B48+'Julio 08'!B48+'Agosto 08'!B48+'Sept 08'!B49)/12</f>
        <v>4320.333333333333</v>
      </c>
      <c r="C48" s="104">
        <f>('Oct 07'!C48+'Nov 07'!C48+'Dic 07'!C48+'Enero 08'!C48+'Febrero 08'!C48+'Marzo 08'!C48+'Abril 08'!C48+'Mayo 08'!C48+'Junio 08'!C48+'Julio 08'!C48+'Agosto 08'!C48+'Sept 08'!C49)/12</f>
        <v>9129.5833333333339</v>
      </c>
      <c r="D48" s="104">
        <f>('Oct 07'!D48+'Nov 07'!D48+'Dic 07'!D48+'Enero 08'!D48+'Febrero 08'!D48+'Marzo 08'!D48+'Abril 08'!D48+'Mayo 08'!D48+'Junio 08'!D48+'Julio 08'!D48+'Agosto 08'!D48+'Sept 08'!D49)</f>
        <v>12701217</v>
      </c>
      <c r="E48" s="121">
        <f t="shared" si="12"/>
        <v>2939.8696859810202</v>
      </c>
      <c r="F48" s="122">
        <f t="shared" si="13"/>
        <v>1154656.0909090908</v>
      </c>
      <c r="G48" s="117">
        <f t="shared" si="14"/>
        <v>126.4741279805494</v>
      </c>
      <c r="H48" s="117">
        <f t="shared" si="15"/>
        <v>267.26088054372912</v>
      </c>
    </row>
    <row r="49" spans="1:14" ht="21" thickBot="1" x14ac:dyDescent="0.45">
      <c r="A49" s="101" t="s">
        <v>35</v>
      </c>
      <c r="B49" s="104">
        <f>('Oct 07'!B49+'Nov 07'!B49+'Dic 07'!B49+'Enero 08'!B49+'Febrero 08'!B49+'Marzo 08'!B49+'Abril 08'!B49+'Mayo 08'!B49+'Junio 08'!B49+'Julio 08'!B49+'Agosto 08'!B49+'Sept 08'!B50)/12</f>
        <v>4064.1666666666665</v>
      </c>
      <c r="C49" s="104">
        <f>('Oct 07'!C49+'Nov 07'!C49+'Dic 07'!C49+'Enero 08'!C49+'Febrero 08'!C49+'Marzo 08'!C49+'Abril 08'!C49+'Mayo 08'!C49+'Junio 08'!C49+'Julio 08'!C49+'Agosto 08'!C49+'Sept 08'!C50)/12</f>
        <v>8212.25</v>
      </c>
      <c r="D49" s="104">
        <f>('Oct 07'!D49+'Nov 07'!D49+'Dic 07'!D49+'Enero 08'!D49+'Febrero 08'!D49+'Marzo 08'!D49+'Abril 08'!D49+'Mayo 08'!D49+'Junio 08'!D49+'Julio 08'!D49+'Agosto 08'!D49+'Sept 08'!D50)</f>
        <v>11370847</v>
      </c>
      <c r="E49" s="121">
        <f t="shared" si="12"/>
        <v>2797.8298954275169</v>
      </c>
      <c r="F49" s="122">
        <f t="shared" si="13"/>
        <v>1033713.3636363636</v>
      </c>
      <c r="G49" s="117">
        <f t="shared" si="14"/>
        <v>125.87456100780707</v>
      </c>
      <c r="H49" s="117">
        <f t="shared" si="15"/>
        <v>254.34817231159246</v>
      </c>
    </row>
    <row r="50" spans="1:14" ht="21" thickBot="1" x14ac:dyDescent="0.45">
      <c r="A50" s="101" t="s">
        <v>36</v>
      </c>
      <c r="B50" s="104">
        <f>('Oct 07'!B50+'Nov 07'!B50+'Dic 07'!B50+'Enero 08'!B50+'Febrero 08'!B50+'Marzo 08'!B50+'Abril 08'!B50+'Mayo 08'!B50+'Junio 08'!B50+'Julio 08'!B50+'Agosto 08'!B50+'Sept 08'!B51)/12</f>
        <v>6112.416666666667</v>
      </c>
      <c r="C50" s="104">
        <f>('Oct 07'!C50+'Nov 07'!C50+'Dic 07'!C50+'Enero 08'!C50+'Febrero 08'!C50+'Marzo 08'!C50+'Abril 08'!C50+'Mayo 08'!C50+'Junio 08'!C50+'Julio 08'!C50+'Agosto 08'!C50+'Sept 08'!C51)/12</f>
        <v>12710.333333333334</v>
      </c>
      <c r="D50" s="104">
        <f>('Oct 07'!D50+'Nov 07'!D50+'Dic 07'!D50+'Enero 08'!D50+'Febrero 08'!D50+'Marzo 08'!D50+'Abril 08'!D50+'Mayo 08'!D50+'Junio 08'!D50+'Julio 08'!D50+'Agosto 08'!D50+'Sept 08'!D51)</f>
        <v>17483243</v>
      </c>
      <c r="E50" s="121">
        <f t="shared" si="12"/>
        <v>2860.2832485787126</v>
      </c>
      <c r="F50" s="124">
        <f t="shared" si="13"/>
        <v>1589385.7272727273</v>
      </c>
      <c r="G50" s="117">
        <f t="shared" si="14"/>
        <v>125.04673839705703</v>
      </c>
      <c r="H50" s="117">
        <f t="shared" si="15"/>
        <v>260.02574987079208</v>
      </c>
    </row>
    <row r="51" spans="1:14" s="65" customFormat="1" ht="21" thickBot="1" x14ac:dyDescent="0.45">
      <c r="A51" s="232" t="s">
        <v>91</v>
      </c>
      <c r="B51" s="233">
        <f>SUM(B44:B50)</f>
        <v>46803.166666666664</v>
      </c>
      <c r="C51" s="231">
        <f>SUM(C44:C50)</f>
        <v>99461.416666666657</v>
      </c>
      <c r="D51" s="215">
        <f>SUM(D44:D50)</f>
        <v>136900175</v>
      </c>
      <c r="E51" s="215">
        <f t="shared" si="12"/>
        <v>2925.0194965440373</v>
      </c>
      <c r="F51" s="215">
        <f>D51/12</f>
        <v>11408347.916666666</v>
      </c>
      <c r="G51" s="215">
        <f>SUM(G44:G50)/7</f>
        <v>125.40450839320771</v>
      </c>
      <c r="H51" s="215">
        <f>SUM(H44:H50)/7</f>
        <v>267.5214074918814</v>
      </c>
      <c r="I51" s="64"/>
      <c r="J51" s="64"/>
      <c r="K51" s="64"/>
      <c r="L51" s="64"/>
      <c r="M51" s="64"/>
      <c r="N51" s="64"/>
    </row>
    <row r="52" spans="1:14" ht="21" thickBot="1" x14ac:dyDescent="0.45">
      <c r="A52" s="98"/>
      <c r="B52" s="109"/>
      <c r="C52" s="109"/>
      <c r="D52" s="125"/>
      <c r="E52" s="125"/>
      <c r="F52" s="126"/>
    </row>
    <row r="53" spans="1:14" ht="21" thickBot="1" x14ac:dyDescent="0.45">
      <c r="A53" s="232" t="s">
        <v>4</v>
      </c>
      <c r="B53" s="236"/>
      <c r="C53" s="228"/>
      <c r="D53" s="212"/>
      <c r="E53" s="212"/>
      <c r="F53" s="213"/>
      <c r="G53" s="229"/>
      <c r="H53" s="225"/>
    </row>
    <row r="54" spans="1:14" ht="21" thickBot="1" x14ac:dyDescent="0.45">
      <c r="A54" s="101" t="s">
        <v>37</v>
      </c>
      <c r="B54" s="104">
        <f>('Oct 07'!B54+'Nov 07'!B54+'Dic 07'!B54+'Enero 08'!B54+'Febrero 08'!B54+'Marzo 08'!B54+'Abril 08'!B54+'Mayo 08'!B54+'Junio 08'!B54+'Julio 08'!B54+'Agosto 08'!B54+'Sept 08'!B55)/12</f>
        <v>6452.833333333333</v>
      </c>
      <c r="C54" s="104">
        <f>('Oct 07'!C54+'Nov 07'!C54+'Dic 07'!C54+'Enero 08'!C54+'Febrero 08'!C54+'Marzo 08'!C54+'Abril 08'!C54+'Mayo 08'!C54+'Junio 08'!C54+'Julio 08'!C54+'Agosto 08'!C54+'Sept 08'!C55)/12</f>
        <v>14212.916666666666</v>
      </c>
      <c r="D54" s="111">
        <f>('Oct 07'!D54+'Nov 07'!D54+'Dic 07'!D54+'Enero 08'!D54+'Febrero 08'!D54+'Marzo 08'!D54+'Abril 08'!D54+'Mayo 08'!D54+'Junio 08'!D54+'Julio 08'!D54+'Agosto 08'!D54+'Sept 08'!D55)</f>
        <v>19384935</v>
      </c>
      <c r="E54" s="112">
        <f t="shared" ref="E54:E60" si="16">D54/B54</f>
        <v>3004.0966500503655</v>
      </c>
      <c r="F54" s="107">
        <f t="shared" ref="F54:F59" si="17">D54/11</f>
        <v>1762266.8181818181</v>
      </c>
      <c r="G54" s="103">
        <f t="shared" ref="G54:G59" si="18">F54/C54</f>
        <v>123.99051225810922</v>
      </c>
      <c r="H54" s="103">
        <f t="shared" ref="H54:H59" si="19">F54/B54</f>
        <v>273.09969545912412</v>
      </c>
    </row>
    <row r="55" spans="1:14" ht="21" thickBot="1" x14ac:dyDescent="0.45">
      <c r="A55" s="101" t="s">
        <v>93</v>
      </c>
      <c r="B55" s="104">
        <f>('Oct 07'!B53+'Nov 07'!B53+'Dic 07'!B53+'Enero 08'!B53+'Febrero 08'!B53+'Marzo 08'!B53+'Abril 08'!B53+'Mayo 08'!B53+'Junio 08'!B53+'Julio 08'!B53+'Agosto 08'!B55+'Sept 08'!B55)/12</f>
        <v>1805.75</v>
      </c>
      <c r="C55" s="104">
        <f>('Oct 07'!C53+'Nov 07'!C53+'Dic 07'!C53+'Enero 08'!C53+'Febrero 08'!C53+'Marzo 08'!C53+'Abril 08'!C53+'Mayo 08'!C53+'Junio 08'!C53+'Julio 08'!C53+'Agosto 08'!C55+'Sept 08'!C55)/12</f>
        <v>3837.0833333333335</v>
      </c>
      <c r="D55" s="111">
        <f>('Oct 07'!D53+'Nov 07'!D53+'Dic 07'!D53+'Enero 08'!D53+'Febrero 08'!D53+'Marzo 08'!D53+'Abril 08'!D53+'Mayo 08'!D53+'Junio 08'!D53+'Julio 08'!D53+'Agosto 08'!D55+'Sept 08'!D55)</f>
        <v>5469756</v>
      </c>
      <c r="E55" s="121">
        <f t="shared" si="16"/>
        <v>3029.0771147722553</v>
      </c>
      <c r="F55" s="122">
        <f t="shared" si="17"/>
        <v>497250.54545454547</v>
      </c>
      <c r="G55" s="117">
        <f t="shared" si="18"/>
        <v>129.59076002724606</v>
      </c>
      <c r="H55" s="117">
        <f t="shared" si="19"/>
        <v>275.37064679747778</v>
      </c>
    </row>
    <row r="56" spans="1:14" ht="21" thickBot="1" x14ac:dyDescent="0.45">
      <c r="A56" s="101" t="s">
        <v>94</v>
      </c>
      <c r="B56" s="104">
        <f>('Oct 07'!B54+'Nov 07'!B54+'Dic 07'!B54+'Enero 08'!B54+'Febrero 08'!B54+'Marzo 08'!B54+'Abril 08'!B54+'Mayo 08'!B54+'Junio 08'!B54+'Julio 08'!B54+'Agosto 08'!B56+'Sept 08'!B56)/12</f>
        <v>6985.083333333333</v>
      </c>
      <c r="C56" s="104">
        <f>('Oct 07'!C54+'Nov 07'!C54+'Dic 07'!C54+'Enero 08'!C54+'Febrero 08'!C54+'Marzo 08'!C54+'Abril 08'!C54+'Mayo 08'!C54+'Junio 08'!C54+'Julio 08'!C54+'Agosto 08'!C56+'Sept 08'!C56)/12</f>
        <v>15311.416666666666</v>
      </c>
      <c r="D56" s="111">
        <f>('Oct 07'!D54+'Nov 07'!D54+'Dic 07'!D54+'Enero 08'!D54+'Febrero 08'!D54+'Marzo 08'!D54+'Abril 08'!D54+'Mayo 08'!D54+'Junio 08'!D54+'Julio 08'!D54+'Agosto 08'!D56+'Sept 08'!D56)</f>
        <v>21225598</v>
      </c>
      <c r="E56" s="121">
        <f t="shared" si="16"/>
        <v>3038.7036184249773</v>
      </c>
      <c r="F56" s="122">
        <f t="shared" si="17"/>
        <v>1929599.8181818181</v>
      </c>
      <c r="G56" s="117">
        <f t="shared" si="18"/>
        <v>126.02359795894033</v>
      </c>
      <c r="H56" s="117">
        <f t="shared" si="19"/>
        <v>276.24578349317972</v>
      </c>
    </row>
    <row r="57" spans="1:14" ht="21" thickBot="1" x14ac:dyDescent="0.45">
      <c r="A57" s="101" t="s">
        <v>38</v>
      </c>
      <c r="B57" s="104">
        <f>('Oct 07'!B55+'Nov 07'!B55+'Dic 07'!B55+'Enero 08'!B55+'Febrero 08'!B55+'Marzo 08'!B55+'Abril 08'!B55+'Mayo 08'!B55+'Junio 08'!B55+'Julio 08'!B55+'Agosto 08'!B57+'Sept 08'!B57)/12</f>
        <v>12717.25</v>
      </c>
      <c r="C57" s="104">
        <f>('Oct 07'!C55+'Nov 07'!C55+'Dic 07'!C55+'Enero 08'!C55+'Febrero 08'!C55+'Marzo 08'!C55+'Abril 08'!C55+'Mayo 08'!C55+'Junio 08'!C55+'Julio 08'!C55+'Agosto 08'!C57+'Sept 08'!C57)/12</f>
        <v>27031.416666666668</v>
      </c>
      <c r="D57" s="111">
        <f>('Oct 07'!D55+'Nov 07'!D55+'Dic 07'!D55+'Enero 08'!D55+'Febrero 08'!D55+'Marzo 08'!D55+'Abril 08'!D55+'Mayo 08'!D55+'Junio 08'!D55+'Julio 08'!D55+'Agosto 08'!D57+'Sept 08'!D57)</f>
        <v>36799041</v>
      </c>
      <c r="E57" s="121">
        <f t="shared" si="16"/>
        <v>2893.6319565943895</v>
      </c>
      <c r="F57" s="122">
        <f t="shared" si="17"/>
        <v>3345367.3636363638</v>
      </c>
      <c r="G57" s="117">
        <f t="shared" si="18"/>
        <v>123.75849201280104</v>
      </c>
      <c r="H57" s="117">
        <f t="shared" si="19"/>
        <v>263.05745059948998</v>
      </c>
    </row>
    <row r="58" spans="1:14" ht="21" thickBot="1" x14ac:dyDescent="0.45">
      <c r="A58" s="101" t="s">
        <v>95</v>
      </c>
      <c r="B58" s="104">
        <f>('Oct 07'!B56+'Nov 07'!B56+'Dic 07'!B56+'Enero 08'!B56+'Febrero 08'!B56+'Marzo 08'!B56+'Abril 08'!B56+'Mayo 08'!B56+'Junio 08'!B56+'Julio 08'!B56+'Agosto 08'!B58+'Sept 08'!B58)/12</f>
        <v>4427.416666666667</v>
      </c>
      <c r="C58" s="104">
        <f>('Oct 07'!C56+'Nov 07'!C56+'Dic 07'!C56+'Enero 08'!C56+'Febrero 08'!C56+'Marzo 08'!C56+'Abril 08'!C56+'Mayo 08'!C56+'Junio 08'!C56+'Julio 08'!C56+'Agosto 08'!C58+'Sept 08'!C58)/12</f>
        <v>10249.166666666666</v>
      </c>
      <c r="D58" s="111">
        <f>('Oct 07'!D56+'Nov 07'!D56+'Dic 07'!D56+'Enero 08'!D56+'Febrero 08'!D56+'Marzo 08'!D56+'Abril 08'!D56+'Mayo 08'!D56+'Junio 08'!D56+'Julio 08'!D56+'Agosto 08'!D58+'Sept 08'!D58)</f>
        <v>14024648</v>
      </c>
      <c r="E58" s="121">
        <f t="shared" si="16"/>
        <v>3167.6819815919739</v>
      </c>
      <c r="F58" s="122">
        <f t="shared" si="17"/>
        <v>1274968</v>
      </c>
      <c r="G58" s="117">
        <f t="shared" si="18"/>
        <v>124.3972355476055</v>
      </c>
      <c r="H58" s="117">
        <f t="shared" si="19"/>
        <v>287.971089235634</v>
      </c>
    </row>
    <row r="59" spans="1:14" ht="21" thickBot="1" x14ac:dyDescent="0.45">
      <c r="A59" s="101" t="s">
        <v>96</v>
      </c>
      <c r="B59" s="104">
        <f>('Oct 07'!B57+'Nov 07'!B57+'Dic 07'!B57+'Enero 08'!B57+'Febrero 08'!B57+'Marzo 08'!B57+'Abril 08'!B57+'Mayo 08'!B57+'Junio 08'!B57+'Julio 08'!B57+'Agosto 08'!B59+'Sept 08'!B59)/12</f>
        <v>3698.5833333333335</v>
      </c>
      <c r="C59" s="104">
        <f>('Oct 07'!C57+'Nov 07'!C57+'Dic 07'!C57+'Enero 08'!C57+'Febrero 08'!C57+'Marzo 08'!C57+'Abril 08'!C57+'Mayo 08'!C57+'Junio 08'!C57+'Julio 08'!C57+'Agosto 08'!C59+'Sept 08'!C59)/12</f>
        <v>7912.166666666667</v>
      </c>
      <c r="D59" s="111">
        <f>('Oct 07'!D57+'Nov 07'!D57+'Dic 07'!D57+'Enero 08'!D57+'Febrero 08'!D57+'Marzo 08'!D57+'Abril 08'!D57+'Mayo 08'!D57+'Junio 08'!D57+'Julio 08'!D57+'Agosto 08'!D59+'Sept 08'!D59)</f>
        <v>11016823</v>
      </c>
      <c r="E59" s="121">
        <f t="shared" si="16"/>
        <v>2978.6602077371967</v>
      </c>
      <c r="F59" s="124">
        <f t="shared" si="17"/>
        <v>1001529.3636363636</v>
      </c>
      <c r="G59" s="117">
        <f t="shared" si="18"/>
        <v>126.58092351058879</v>
      </c>
      <c r="H59" s="117">
        <f t="shared" si="19"/>
        <v>270.78729161247242</v>
      </c>
    </row>
    <row r="60" spans="1:14" s="65" customFormat="1" ht="21" thickBot="1" x14ac:dyDescent="0.45">
      <c r="A60" s="232" t="s">
        <v>91</v>
      </c>
      <c r="B60" s="233">
        <f>SUM(B54:B59)</f>
        <v>36086.916666666664</v>
      </c>
      <c r="C60" s="233">
        <f>SUM(C54:C59)</f>
        <v>78554.166666666672</v>
      </c>
      <c r="D60" s="226">
        <f>SUM(D54:D59)</f>
        <v>107920801</v>
      </c>
      <c r="E60" s="215">
        <f t="shared" si="16"/>
        <v>2990.5797161020964</v>
      </c>
      <c r="F60" s="215">
        <f>D60/12</f>
        <v>8993400.083333334</v>
      </c>
      <c r="G60" s="215">
        <f>SUM(G54:G59)/6</f>
        <v>125.72358688588184</v>
      </c>
      <c r="H60" s="215">
        <f>SUM(H54:H59)/6</f>
        <v>274.42199286622969</v>
      </c>
      <c r="I60" s="64"/>
      <c r="J60" s="64"/>
      <c r="K60" s="64"/>
      <c r="L60" s="64"/>
      <c r="M60" s="64"/>
      <c r="N60" s="64"/>
    </row>
    <row r="61" spans="1:14" ht="21" thickBot="1" x14ac:dyDescent="0.45">
      <c r="A61" s="98"/>
      <c r="B61" s="109"/>
      <c r="C61" s="109"/>
      <c r="D61" s="125"/>
      <c r="E61" s="125"/>
      <c r="F61" s="126"/>
    </row>
    <row r="62" spans="1:14" ht="21" thickBot="1" x14ac:dyDescent="0.45">
      <c r="A62" s="222" t="s">
        <v>5</v>
      </c>
      <c r="B62" s="236"/>
      <c r="C62" s="228"/>
      <c r="D62" s="212"/>
      <c r="E62" s="212"/>
      <c r="F62" s="213"/>
      <c r="G62" s="230"/>
      <c r="H62" s="225"/>
    </row>
    <row r="63" spans="1:14" ht="21" thickBot="1" x14ac:dyDescent="0.45">
      <c r="A63" s="101" t="s">
        <v>39</v>
      </c>
      <c r="B63" s="104">
        <f>('Oct 07'!B63+'Nov 07'!B63+'Dic 07'!B63+'Enero 08'!B63+'Febrero 08'!B63+'Marzo 08'!B63+'Abril 08'!B63+'Mayo 08'!B63+'Junio 08'!B63+'Julio 08'!B63+'Agosto 08'!B63+'Sept 08'!B64)/12</f>
        <v>3317.5833333333335</v>
      </c>
      <c r="C63" s="104">
        <f>('Oct 07'!C63+'Nov 07'!C63+'Dic 07'!C63+'Enero 08'!C63+'Febrero 08'!C63+'Marzo 08'!C63+'Abril 08'!C63+'Mayo 08'!C63+'Junio 08'!C63+'Julio 08'!C63+'Agosto 08'!C63+'Sept 08'!C64)/12</f>
        <v>7261</v>
      </c>
      <c r="D63" s="104">
        <f>('Oct 07'!D63+'Nov 07'!D63+'Dic 07'!D63+'Enero 08'!D63+'Febrero 08'!D63+'Marzo 08'!D63+'Abril 08'!D63+'Mayo 08'!D63+'Junio 08'!D63+'Julio 08'!D63+'Agosto 08'!D63+'Sept 08'!D64)</f>
        <v>9949900</v>
      </c>
      <c r="E63" s="112">
        <f t="shared" ref="E63:E69" si="20">D63/B63</f>
        <v>2999.1409409459698</v>
      </c>
      <c r="F63" s="107">
        <f t="shared" ref="F63:F68" si="21">D63/11</f>
        <v>904536.36363636365</v>
      </c>
      <c r="G63" s="103">
        <f t="shared" ref="G63:G68" si="22">F63/C63</f>
        <v>124.5746265853689</v>
      </c>
      <c r="H63" s="103">
        <f t="shared" ref="H63:H68" si="23">F63/B63</f>
        <v>272.64917644963361</v>
      </c>
    </row>
    <row r="64" spans="1:14" ht="21" thickBot="1" x14ac:dyDescent="0.45">
      <c r="A64" s="101" t="s">
        <v>40</v>
      </c>
      <c r="B64" s="104">
        <f>('Oct 07'!B64+'Nov 07'!B64+'Dic 07'!B64+'Enero 08'!B64+'Febrero 08'!B64+'Marzo 08'!B64+'Abril 08'!B64+'Mayo 08'!B64+'Junio 08'!B64+'Julio 08'!B64+'Agosto 08'!B64+'Sept 08'!B65)/12</f>
        <v>5398</v>
      </c>
      <c r="C64" s="104">
        <f>('Oct 07'!C64+'Nov 07'!C64+'Dic 07'!C64+'Enero 08'!C64+'Febrero 08'!C64+'Marzo 08'!C64+'Abril 08'!C64+'Mayo 08'!C64+'Junio 08'!C64+'Julio 08'!C64+'Agosto 08'!C64+'Sept 08'!C65)/12</f>
        <v>10659.25</v>
      </c>
      <c r="D64" s="104">
        <f>('Oct 07'!D64+'Nov 07'!D64+'Dic 07'!D64+'Enero 08'!D64+'Febrero 08'!D64+'Marzo 08'!D64+'Abril 08'!D64+'Mayo 08'!D64+'Junio 08'!D64+'Julio 08'!D64+'Agosto 08'!D64+'Sept 08'!D65)</f>
        <v>14545167</v>
      </c>
      <c r="E64" s="121">
        <f t="shared" si="20"/>
        <v>2694.547424972212</v>
      </c>
      <c r="F64" s="122">
        <f t="shared" si="21"/>
        <v>1322287.9090909092</v>
      </c>
      <c r="G64" s="117">
        <f t="shared" si="22"/>
        <v>124.05074551126103</v>
      </c>
      <c r="H64" s="117">
        <f t="shared" si="23"/>
        <v>244.95885681565565</v>
      </c>
    </row>
    <row r="65" spans="1:8" ht="21" thickBot="1" x14ac:dyDescent="0.45">
      <c r="A65" s="101" t="s">
        <v>5</v>
      </c>
      <c r="B65" s="104">
        <f>('Oct 07'!B65+'Nov 07'!B65+'Dic 07'!B65+'Enero 08'!B65+'Febrero 08'!B65+'Marzo 08'!B65+'Abril 08'!B65+'Mayo 08'!B65+'Junio 08'!B65+'Julio 08'!B65+'Agosto 08'!B65+'Sept 08'!B66)/12</f>
        <v>6604.916666666667</v>
      </c>
      <c r="C65" s="104">
        <f>('Oct 07'!C65+'Nov 07'!C65+'Dic 07'!C65+'Enero 08'!C65+'Febrero 08'!C65+'Marzo 08'!C65+'Abril 08'!C65+'Mayo 08'!C65+'Junio 08'!C65+'Julio 08'!C65+'Agosto 08'!C65+'Sept 08'!C66)/12</f>
        <v>14079.333333333334</v>
      </c>
      <c r="D65" s="104">
        <f>('Oct 07'!D65+'Nov 07'!D65+'Dic 07'!D65+'Enero 08'!D65+'Febrero 08'!D65+'Marzo 08'!D65+'Abril 08'!D65+'Mayo 08'!D65+'Junio 08'!D65+'Julio 08'!D65+'Agosto 08'!D65+'Sept 08'!D66)</f>
        <v>19380051</v>
      </c>
      <c r="E65" s="121">
        <f t="shared" si="20"/>
        <v>2934.1855435975722</v>
      </c>
      <c r="F65" s="122">
        <f t="shared" si="21"/>
        <v>1761822.8181818181</v>
      </c>
      <c r="G65" s="117">
        <f t="shared" si="22"/>
        <v>125.13538648954624</v>
      </c>
      <c r="H65" s="117">
        <f t="shared" si="23"/>
        <v>266.74414032705204</v>
      </c>
    </row>
    <row r="66" spans="1:8" ht="21" thickBot="1" x14ac:dyDescent="0.45">
      <c r="A66" s="101" t="s">
        <v>41</v>
      </c>
      <c r="B66" s="104">
        <f>('Oct 07'!B66+'Nov 07'!B66+'Dic 07'!B66+'Enero 08'!B66+'Febrero 08'!B66+'Marzo 08'!B66+'Abril 08'!B66+'Mayo 08'!B66+'Junio 08'!B66+'Julio 08'!B66+'Agosto 08'!B66+'Sept 08'!B67)/12</f>
        <v>3361.4166666666665</v>
      </c>
      <c r="C66" s="104">
        <f>('Oct 07'!C66+'Nov 07'!C66+'Dic 07'!C66+'Enero 08'!C66+'Febrero 08'!C66+'Marzo 08'!C66+'Abril 08'!C66+'Mayo 08'!C66+'Junio 08'!C66+'Julio 08'!C66+'Agosto 08'!C66+'Sept 08'!C67)/12</f>
        <v>7061</v>
      </c>
      <c r="D66" s="104">
        <f>('Oct 07'!D66+'Nov 07'!D66+'Dic 07'!D66+'Enero 08'!D66+'Febrero 08'!D66+'Marzo 08'!D66+'Abril 08'!D66+'Mayo 08'!D66+'Junio 08'!D66+'Julio 08'!D66+'Agosto 08'!D66+'Sept 08'!D67)</f>
        <v>9742466</v>
      </c>
      <c r="E66" s="121">
        <f t="shared" si="20"/>
        <v>2898.3214418523935</v>
      </c>
      <c r="F66" s="122">
        <f t="shared" si="21"/>
        <v>885678.72727272729</v>
      </c>
      <c r="G66" s="117">
        <f t="shared" si="22"/>
        <v>125.43247801624803</v>
      </c>
      <c r="H66" s="117">
        <f t="shared" si="23"/>
        <v>263.4837674411267</v>
      </c>
    </row>
    <row r="67" spans="1:8" ht="21" thickBot="1" x14ac:dyDescent="0.45">
      <c r="A67" s="101" t="s">
        <v>42</v>
      </c>
      <c r="B67" s="104">
        <f>('Oct 07'!B67+'Nov 07'!B67+'Dic 07'!B67+'Enero 08'!B67+'Febrero 08'!B67+'Marzo 08'!B67+'Abril 08'!B67+'Mayo 08'!B67+'Junio 08'!B67+'Julio 08'!B67+'Agosto 08'!B67+'Sept 08'!B68)/12</f>
        <v>4976.333333333333</v>
      </c>
      <c r="C67" s="104">
        <f>('Oct 07'!C67+'Nov 07'!C67+'Dic 07'!C67+'Enero 08'!C67+'Febrero 08'!C67+'Marzo 08'!C67+'Abril 08'!C67+'Mayo 08'!C67+'Junio 08'!C67+'Julio 08'!C67+'Agosto 08'!C67+'Sept 08'!C68)/12</f>
        <v>10556.75</v>
      </c>
      <c r="D67" s="104">
        <f>('Oct 07'!D67+'Nov 07'!D67+'Dic 07'!D67+'Enero 08'!D67+'Febrero 08'!D67+'Marzo 08'!D67+'Abril 08'!D67+'Mayo 08'!D67+'Junio 08'!D67+'Julio 08'!D67+'Agosto 08'!D67+'Sept 08'!D68)</f>
        <v>14552251</v>
      </c>
      <c r="E67" s="121">
        <f t="shared" si="20"/>
        <v>2924.2918480809167</v>
      </c>
      <c r="F67" s="122">
        <f t="shared" si="21"/>
        <v>1322931.9090909092</v>
      </c>
      <c r="G67" s="117">
        <f t="shared" si="22"/>
        <v>125.31621086896149</v>
      </c>
      <c r="H67" s="117">
        <f t="shared" si="23"/>
        <v>265.84471346190151</v>
      </c>
    </row>
    <row r="68" spans="1:8" ht="21" thickBot="1" x14ac:dyDescent="0.45">
      <c r="A68" s="101" t="s">
        <v>43</v>
      </c>
      <c r="B68" s="104">
        <f>('Oct 07'!B68+'Nov 07'!B68+'Dic 07'!B68+'Enero 08'!B68+'Febrero 08'!B68+'Marzo 08'!B68+'Abril 08'!B68+'Mayo 08'!B68+'Junio 08'!B68+'Julio 08'!B68+'Agosto 08'!B68+'Sept 08'!B69)/12</f>
        <v>3286.5</v>
      </c>
      <c r="C68" s="104">
        <f>('Oct 07'!C68+'Nov 07'!C68+'Dic 07'!C68+'Enero 08'!C68+'Febrero 08'!C68+'Marzo 08'!C68+'Abril 08'!C68+'Mayo 08'!C68+'Junio 08'!C68+'Julio 08'!C68+'Agosto 08'!C68+'Sept 08'!C69)/12</f>
        <v>7449.833333333333</v>
      </c>
      <c r="D68" s="104">
        <f>('Oct 07'!D68+'Nov 07'!D68+'Dic 07'!D68+'Enero 08'!D68+'Febrero 08'!D68+'Marzo 08'!D68+'Abril 08'!D68+'Mayo 08'!D68+'Junio 08'!D68+'Julio 08'!D68+'Agosto 08'!D68+'Sept 08'!D69)</f>
        <v>10057443</v>
      </c>
      <c r="E68" s="121">
        <f t="shared" si="20"/>
        <v>3060.2291191236877</v>
      </c>
      <c r="F68" s="124">
        <f t="shared" si="21"/>
        <v>914313</v>
      </c>
      <c r="G68" s="117">
        <f t="shared" si="22"/>
        <v>122.72932280364215</v>
      </c>
      <c r="H68" s="117">
        <f t="shared" si="23"/>
        <v>278.20264719306255</v>
      </c>
    </row>
    <row r="69" spans="1:8" ht="21" thickBot="1" x14ac:dyDescent="0.45">
      <c r="A69" s="232" t="s">
        <v>91</v>
      </c>
      <c r="B69" s="233">
        <f>SUM(B63:B68)</f>
        <v>26944.75</v>
      </c>
      <c r="C69" s="233">
        <f>SUM(C63:C68)</f>
        <v>57067.166666666672</v>
      </c>
      <c r="D69" s="234">
        <f>SUM(D63:D68)</f>
        <v>78227278</v>
      </c>
      <c r="E69" s="215">
        <f t="shared" si="20"/>
        <v>2903.2474971933307</v>
      </c>
      <c r="F69" s="215">
        <f>D69/12</f>
        <v>6518939.833333333</v>
      </c>
      <c r="G69" s="215">
        <f>SUM(G63:G68)/6</f>
        <v>124.53979504583798</v>
      </c>
      <c r="H69" s="215">
        <f>SUM(H63:H68)/6</f>
        <v>265.31388361473864</v>
      </c>
    </row>
    <row r="70" spans="1:8" ht="21" thickBot="1" x14ac:dyDescent="0.45">
      <c r="A70" s="98"/>
      <c r="B70" s="109"/>
      <c r="C70" s="109"/>
      <c r="D70" s="125"/>
      <c r="E70" s="125"/>
      <c r="F70" s="126"/>
    </row>
    <row r="71" spans="1:8" ht="21" thickBot="1" x14ac:dyDescent="0.45">
      <c r="A71" s="222" t="s">
        <v>6</v>
      </c>
      <c r="B71" s="236"/>
      <c r="C71" s="228"/>
      <c r="D71" s="212"/>
      <c r="E71" s="212"/>
      <c r="F71" s="213"/>
      <c r="G71" s="214"/>
      <c r="H71" s="215"/>
    </row>
    <row r="72" spans="1:8" ht="21" thickBot="1" x14ac:dyDescent="0.45">
      <c r="A72" s="101" t="s">
        <v>44</v>
      </c>
      <c r="B72" s="116">
        <f>('Oct 07'!B72+'Nov 07'!B72+'Dic 07'!B72+'Enero 08'!B72+'Febrero 08'!B72+'Marzo 08'!B72+'Abril 08'!B72+'Mayo 08'!B72+'Junio 08'!B72+'Julio 08'!B72+'Agosto 08'!B72+'Sept 08'!B73)/12</f>
        <v>1858.3333333333333</v>
      </c>
      <c r="C72" s="116">
        <f>('Oct 07'!C72+'Nov 07'!C72+'Dic 07'!C72+'Enero 08'!C72+'Febrero 08'!C72+'Marzo 08'!C72+'Abril 08'!C72+'Mayo 08'!C72+'Junio 08'!C72+'Julio 08'!C72+'Agosto 08'!C72+'Sept 08'!C73)/12</f>
        <v>3900.3333333333335</v>
      </c>
      <c r="D72" s="116">
        <f>('Oct 07'!D72+'Nov 07'!D72+'Dic 07'!D72+'Enero 08'!D72+'Febrero 08'!D72+'Marzo 08'!D72+'Abril 08'!D72+'Mayo 08'!D72+'Junio 08'!D72+'Julio 08'!D72+'Agosto 08'!D72+'Sept 08'!D73)</f>
        <v>5315721</v>
      </c>
      <c r="E72" s="114">
        <f t="shared" ref="E72:E82" si="24">D72/B72</f>
        <v>2860.4776681614353</v>
      </c>
      <c r="F72" s="115">
        <f t="shared" ref="F72:F81" si="25">D72/11</f>
        <v>483247.36363636365</v>
      </c>
      <c r="G72" s="103">
        <f t="shared" ref="G72:G81" si="26">F72/C72</f>
        <v>123.89899076225031</v>
      </c>
      <c r="H72" s="103">
        <f t="shared" ref="H72:H81" si="27">F72/B72</f>
        <v>260.0434243783123</v>
      </c>
    </row>
    <row r="73" spans="1:8" ht="21" thickBot="1" x14ac:dyDescent="0.45">
      <c r="A73" s="101" t="s">
        <v>118</v>
      </c>
      <c r="B73" s="116">
        <f>('Oct 07'!B73+'Nov 07'!B73+'Dic 07'!B73+'Enero 08'!B73+'Febrero 08'!B73+'Marzo 08'!B73+'Abril 08'!B73+'Mayo 08'!B73+'Junio 08'!B73+'Julio 08'!B73+'Agosto 08'!B73+'Sept 08'!B74)/12</f>
        <v>102.58333333333333</v>
      </c>
      <c r="C73" s="116">
        <f>('Oct 07'!C73+'Nov 07'!C73+'Dic 07'!C73+'Enero 08'!C73+'Febrero 08'!C73+'Marzo 08'!C73+'Abril 08'!C73+'Mayo 08'!C73+'Junio 08'!C73+'Julio 08'!C73+'Agosto 08'!C73+'Sept 08'!C74)/12</f>
        <v>217</v>
      </c>
      <c r="D73" s="116">
        <f>('Oct 07'!D73+'Nov 07'!D73+'Dic 07'!D73+'Enero 08'!D73+'Febrero 08'!D73+'Marzo 08'!D73+'Abril 08'!D73+'Mayo 08'!D73+'Junio 08'!D73+'Julio 08'!D73+'Agosto 08'!D73+'Sept 08'!D74)</f>
        <v>286006</v>
      </c>
      <c r="E73" s="127">
        <f t="shared" si="24"/>
        <v>2788.0357432981318</v>
      </c>
      <c r="F73" s="128">
        <f t="shared" si="25"/>
        <v>26000.545454545456</v>
      </c>
      <c r="G73" s="117">
        <f t="shared" si="26"/>
        <v>119.81818181818183</v>
      </c>
      <c r="H73" s="117">
        <f t="shared" si="27"/>
        <v>253.45779484528472</v>
      </c>
    </row>
    <row r="74" spans="1:8" ht="21" thickBot="1" x14ac:dyDescent="0.45">
      <c r="A74" s="101" t="s">
        <v>45</v>
      </c>
      <c r="B74" s="116">
        <f>('Oct 07'!B74+'Nov 07'!B74+'Dic 07'!B74+'Enero 08'!B74+'Febrero 08'!B74+'Marzo 08'!B74+'Abril 08'!B74+'Mayo 08'!B74+'Junio 08'!B74+'Julio 08'!B74+'Agosto 08'!B74+'Sept 08'!B75)/12</f>
        <v>5580.916666666667</v>
      </c>
      <c r="C74" s="116">
        <f>('Oct 07'!C74+'Nov 07'!C74+'Dic 07'!C74+'Enero 08'!C74+'Febrero 08'!C74+'Marzo 08'!C74+'Abril 08'!C74+'Mayo 08'!C74+'Junio 08'!C74+'Julio 08'!C74+'Agosto 08'!C74+'Sept 08'!C75)/12</f>
        <v>11775.083333333334</v>
      </c>
      <c r="D74" s="116">
        <f>('Oct 07'!D74+'Nov 07'!D74+'Dic 07'!D74+'Enero 08'!D74+'Febrero 08'!D74+'Marzo 08'!D74+'Abril 08'!D74+'Mayo 08'!D74+'Junio 08'!D74+'Julio 08'!D74+'Agosto 08'!D74+'Sept 08'!D75)</f>
        <v>16283988</v>
      </c>
      <c r="E74" s="127">
        <f t="shared" si="24"/>
        <v>2917.7980917113377</v>
      </c>
      <c r="F74" s="128">
        <f t="shared" si="25"/>
        <v>1480362.5454545454</v>
      </c>
      <c r="G74" s="117">
        <f t="shared" si="26"/>
        <v>125.71992091672773</v>
      </c>
      <c r="H74" s="117">
        <f t="shared" si="27"/>
        <v>265.25437197375794</v>
      </c>
    </row>
    <row r="75" spans="1:8" ht="21" thickBot="1" x14ac:dyDescent="0.45">
      <c r="A75" s="101" t="s">
        <v>6</v>
      </c>
      <c r="B75" s="116">
        <f>('Oct 07'!B75+'Nov 07'!B75+'Dic 07'!B75+'Enero 08'!B75+'Febrero 08'!B75+'Marzo 08'!B75+'Abril 08'!B75+'Mayo 08'!B75+'Junio 08'!B75+'Julio 08'!B75+'Agosto 08'!B75+'Sept 08'!B76)/12</f>
        <v>9049.4166666666661</v>
      </c>
      <c r="C75" s="116">
        <f>('Oct 07'!C75+'Nov 07'!C75+'Dic 07'!C75+'Enero 08'!C75+'Febrero 08'!C75+'Marzo 08'!C75+'Abril 08'!C75+'Mayo 08'!C75+'Junio 08'!C75+'Julio 08'!C75+'Agosto 08'!C75+'Sept 08'!C76)/12</f>
        <v>18345.25</v>
      </c>
      <c r="D75" s="116">
        <f>('Oct 07'!D75+'Nov 07'!D75+'Dic 07'!D75+'Enero 08'!D75+'Febrero 08'!D75+'Marzo 08'!D75+'Abril 08'!D75+'Mayo 08'!D75+'Junio 08'!D75+'Julio 08'!D75+'Agosto 08'!D75+'Sept 08'!D76)</f>
        <v>25391062</v>
      </c>
      <c r="E75" s="127">
        <f t="shared" si="24"/>
        <v>2805.8230641017381</v>
      </c>
      <c r="F75" s="128">
        <f t="shared" si="25"/>
        <v>2308278.3636363638</v>
      </c>
      <c r="G75" s="117">
        <f t="shared" si="26"/>
        <v>125.8243067625878</v>
      </c>
      <c r="H75" s="117">
        <f t="shared" si="27"/>
        <v>255.07482400924891</v>
      </c>
    </row>
    <row r="76" spans="1:8" ht="21" thickBot="1" x14ac:dyDescent="0.45">
      <c r="A76" s="101" t="s">
        <v>46</v>
      </c>
      <c r="B76" s="116">
        <f>('Oct 07'!B76+'Nov 07'!B76+'Dic 07'!B76+'Enero 08'!B76+'Febrero 08'!B76+'Marzo 08'!B76+'Abril 08'!B76+'Mayo 08'!B76+'Junio 08'!B76+'Julio 08'!B76+'Agosto 08'!B76+'Sept 08'!B77)/12</f>
        <v>6833.583333333333</v>
      </c>
      <c r="C76" s="116">
        <f>('Oct 07'!C76+'Nov 07'!C76+'Dic 07'!C76+'Enero 08'!C76+'Febrero 08'!C76+'Marzo 08'!C76+'Abril 08'!C76+'Mayo 08'!C76+'Junio 08'!C76+'Julio 08'!C76+'Agosto 08'!C76+'Sept 08'!C77)/12</f>
        <v>14663.25</v>
      </c>
      <c r="D76" s="116">
        <f>('Oct 07'!D76+'Nov 07'!D76+'Dic 07'!D76+'Enero 08'!D76+'Febrero 08'!D76+'Marzo 08'!D76+'Abril 08'!D76+'Mayo 08'!D76+'Junio 08'!D76+'Julio 08'!D76+'Agosto 08'!D76+'Sept 08'!D77)</f>
        <v>20336242</v>
      </c>
      <c r="E76" s="127">
        <f t="shared" si="24"/>
        <v>2975.9265392729535</v>
      </c>
      <c r="F76" s="128">
        <f t="shared" si="25"/>
        <v>1848749.2727272727</v>
      </c>
      <c r="G76" s="117">
        <f t="shared" si="26"/>
        <v>126.08045779259528</v>
      </c>
      <c r="H76" s="117">
        <f t="shared" si="27"/>
        <v>270.53877629754123</v>
      </c>
    </row>
    <row r="77" spans="1:8" ht="21" thickBot="1" x14ac:dyDescent="0.45">
      <c r="A77" s="101" t="s">
        <v>47</v>
      </c>
      <c r="B77" s="116">
        <f>('Oct 07'!B77+'Nov 07'!B77+'Dic 07'!B77+'Enero 08'!B77+'Febrero 08'!B77+'Marzo 08'!B77+'Abril 08'!B77+'Mayo 08'!B77+'Junio 08'!B77+'Julio 08'!B77+'Agosto 08'!B77+'Sept 08'!B78)/12</f>
        <v>5666</v>
      </c>
      <c r="C77" s="116">
        <f>('Oct 07'!C77+'Nov 07'!C77+'Dic 07'!C77+'Enero 08'!C77+'Febrero 08'!C77+'Marzo 08'!C77+'Abril 08'!C77+'Mayo 08'!C77+'Junio 08'!C77+'Julio 08'!C77+'Agosto 08'!C77+'Sept 08'!C78)/12</f>
        <v>11792.916666666666</v>
      </c>
      <c r="D77" s="116">
        <f>('Oct 07'!D77+'Nov 07'!D77+'Dic 07'!D77+'Enero 08'!D77+'Febrero 08'!D77+'Marzo 08'!D77+'Abril 08'!D77+'Mayo 08'!D77+'Junio 08'!D77+'Julio 08'!D77+'Agosto 08'!D77+'Sept 08'!D78)</f>
        <v>16417552</v>
      </c>
      <c r="E77" s="127">
        <f t="shared" si="24"/>
        <v>2897.5559477585598</v>
      </c>
      <c r="F77" s="128">
        <f t="shared" si="25"/>
        <v>1492504.7272727273</v>
      </c>
      <c r="G77" s="117">
        <f t="shared" si="26"/>
        <v>126.5594228687611</v>
      </c>
      <c r="H77" s="117">
        <f t="shared" si="27"/>
        <v>263.41417706895999</v>
      </c>
    </row>
    <row r="78" spans="1:8" ht="21" thickBot="1" x14ac:dyDescent="0.45">
      <c r="A78" s="101" t="s">
        <v>48</v>
      </c>
      <c r="B78" s="116">
        <f>('Oct 07'!B78+'Nov 07'!B78+'Dic 07'!B78+'Enero 08'!B78+'Febrero 08'!B78+'Marzo 08'!B78+'Abril 08'!B78+'Mayo 08'!B78+'Junio 08'!B78+'Julio 08'!B78+'Agosto 08'!B78+'Sept 08'!B79)/12</f>
        <v>2370.4166666666665</v>
      </c>
      <c r="C78" s="116">
        <f>('Oct 07'!C78+'Nov 07'!C78+'Dic 07'!C78+'Enero 08'!C78+'Febrero 08'!C78+'Marzo 08'!C78+'Abril 08'!C78+'Mayo 08'!C78+'Junio 08'!C78+'Julio 08'!C78+'Agosto 08'!C78+'Sept 08'!C79)/12</f>
        <v>4950</v>
      </c>
      <c r="D78" s="116">
        <f>('Oct 07'!D78+'Nov 07'!D78+'Dic 07'!D78+'Enero 08'!D78+'Febrero 08'!D78+'Marzo 08'!D78+'Abril 08'!D78+'Mayo 08'!D78+'Junio 08'!D78+'Julio 08'!D78+'Agosto 08'!D78+'Sept 08'!D79)</f>
        <v>6789688</v>
      </c>
      <c r="E78" s="127">
        <f t="shared" si="24"/>
        <v>2864.343680787485</v>
      </c>
      <c r="F78" s="128">
        <f t="shared" si="25"/>
        <v>617244.36363636365</v>
      </c>
      <c r="G78" s="117">
        <f t="shared" si="26"/>
        <v>124.69583103764923</v>
      </c>
      <c r="H78" s="117">
        <f t="shared" si="27"/>
        <v>260.39488007158951</v>
      </c>
    </row>
    <row r="79" spans="1:8" ht="21" thickBot="1" x14ac:dyDescent="0.45">
      <c r="A79" s="101" t="s">
        <v>49</v>
      </c>
      <c r="B79" s="116">
        <f>('Oct 07'!B79+'Nov 07'!B79+'Dic 07'!B79+'Enero 08'!B79+'Febrero 08'!B79+'Marzo 08'!B79+'Abril 08'!B79+'Mayo 08'!B79+'Junio 08'!B79+'Julio 08'!B79+'Agosto 08'!B79+'Sept 08'!B80)/12</f>
        <v>4198.666666666667</v>
      </c>
      <c r="C79" s="116">
        <f>('Oct 07'!C79+'Nov 07'!C79+'Dic 07'!C79+'Enero 08'!C79+'Febrero 08'!C79+'Marzo 08'!C79+'Abril 08'!C79+'Mayo 08'!C79+'Junio 08'!C79+'Julio 08'!C79+'Agosto 08'!C79+'Sept 08'!C80)/12</f>
        <v>8770.4166666666661</v>
      </c>
      <c r="D79" s="116">
        <f>('Oct 07'!D79+'Nov 07'!D79+'Dic 07'!D79+'Enero 08'!D79+'Febrero 08'!D79+'Marzo 08'!D79+'Abril 08'!D79+'Mayo 08'!D79+'Junio 08'!D79+'Julio 08'!D79+'Agosto 08'!D79+'Sept 08'!D80)</f>
        <v>12156475</v>
      </c>
      <c r="E79" s="127">
        <f t="shared" si="24"/>
        <v>2895.3179580819306</v>
      </c>
      <c r="F79" s="128">
        <f t="shared" si="25"/>
        <v>1105134.0909090908</v>
      </c>
      <c r="G79" s="117">
        <f t="shared" si="26"/>
        <v>126.00702257503056</v>
      </c>
      <c r="H79" s="117">
        <f t="shared" si="27"/>
        <v>263.21072346199367</v>
      </c>
    </row>
    <row r="80" spans="1:8" ht="21" thickBot="1" x14ac:dyDescent="0.45">
      <c r="A80" s="101" t="s">
        <v>50</v>
      </c>
      <c r="B80" s="116">
        <f>('Oct 07'!B80+'Nov 07'!B80+'Dic 07'!B80+'Enero 08'!B80+'Febrero 08'!B80+'Marzo 08'!B80+'Abril 08'!B80+'Mayo 08'!B80+'Junio 08'!B80+'Julio 08'!B80+'Agosto 08'!B80+'Sept 08'!B81)/12</f>
        <v>1666.1666666666667</v>
      </c>
      <c r="C80" s="116">
        <f>('Oct 07'!C80+'Nov 07'!C80+'Dic 07'!C80+'Enero 08'!C80+'Febrero 08'!C80+'Marzo 08'!C80+'Abril 08'!C80+'Mayo 08'!C80+'Junio 08'!C80+'Julio 08'!C80+'Agosto 08'!C80+'Sept 08'!C81)/12</f>
        <v>3459.5</v>
      </c>
      <c r="D80" s="116">
        <f>('Oct 07'!D80+'Nov 07'!D80+'Dic 07'!D80+'Enero 08'!D80+'Febrero 08'!D80+'Marzo 08'!D80+'Abril 08'!D80+'Mayo 08'!D80+'Junio 08'!D80+'Julio 08'!D80+'Agosto 08'!D80+'Sept 08'!D81)</f>
        <v>4809227</v>
      </c>
      <c r="E80" s="127">
        <f t="shared" si="24"/>
        <v>2886.4021206361908</v>
      </c>
      <c r="F80" s="128">
        <f t="shared" si="25"/>
        <v>437202.45454545453</v>
      </c>
      <c r="G80" s="117">
        <f t="shared" si="26"/>
        <v>126.37735353243374</v>
      </c>
      <c r="H80" s="117">
        <f t="shared" si="27"/>
        <v>262.40019278510823</v>
      </c>
    </row>
    <row r="81" spans="1:8" ht="21" thickBot="1" x14ac:dyDescent="0.45">
      <c r="A81" s="101" t="s">
        <v>51</v>
      </c>
      <c r="B81" s="116">
        <f>('Oct 07'!B81+'Nov 07'!B81+'Dic 07'!B81+'Enero 08'!B81+'Febrero 08'!B81+'Marzo 08'!B81+'Abril 08'!B81+'Mayo 08'!B81+'Junio 08'!B81+'Julio 08'!B81+'Agosto 08'!B81+'Sept 08'!B82)/12</f>
        <v>7555.5</v>
      </c>
      <c r="C81" s="116">
        <f>('Oct 07'!C81+'Nov 07'!C81+'Dic 07'!C81+'Enero 08'!C81+'Febrero 08'!C81+'Marzo 08'!C81+'Abril 08'!C81+'Mayo 08'!C81+'Junio 08'!C81+'Julio 08'!C81+'Agosto 08'!C81+'Sept 08'!C82)/12</f>
        <v>15781.25</v>
      </c>
      <c r="D81" s="116">
        <f>('Oct 07'!D81+'Nov 07'!D81+'Dic 07'!D81+'Enero 08'!D81+'Febrero 08'!D81+'Marzo 08'!D81+'Abril 08'!D81+'Mayo 08'!D81+'Junio 08'!D81+'Julio 08'!D81+'Agosto 08'!D81+'Sept 08'!D82)</f>
        <v>21768146</v>
      </c>
      <c r="E81" s="127">
        <f t="shared" si="24"/>
        <v>2881.0993316127324</v>
      </c>
      <c r="F81" s="128">
        <f t="shared" si="25"/>
        <v>1978922.3636363635</v>
      </c>
      <c r="G81" s="117">
        <f t="shared" si="26"/>
        <v>125.39706066606659</v>
      </c>
      <c r="H81" s="117">
        <f t="shared" si="27"/>
        <v>261.91812105570295</v>
      </c>
    </row>
    <row r="82" spans="1:8" ht="21" thickBot="1" x14ac:dyDescent="0.45">
      <c r="A82" s="232" t="s">
        <v>91</v>
      </c>
      <c r="B82" s="231">
        <f>SUM(B72:B81)</f>
        <v>44881.583333333328</v>
      </c>
      <c r="C82" s="231">
        <f>SUM(C72:C81)</f>
        <v>93655.000000000015</v>
      </c>
      <c r="D82" s="215">
        <f>SUM(D72:D81)</f>
        <v>129554107</v>
      </c>
      <c r="E82" s="215">
        <f t="shared" si="24"/>
        <v>2886.5761271791143</v>
      </c>
      <c r="F82" s="215">
        <f>D82/12</f>
        <v>10796175.583333334</v>
      </c>
      <c r="G82" s="215">
        <f>SUM(G72:G81)/11</f>
        <v>113.67077715748037</v>
      </c>
      <c r="H82" s="215">
        <f>SUM(H72:H81)/11</f>
        <v>237.7915714497727</v>
      </c>
    </row>
    <row r="83" spans="1:8" ht="21" thickBot="1" x14ac:dyDescent="0.45">
      <c r="A83" s="98"/>
      <c r="B83" s="109"/>
      <c r="C83" s="109"/>
      <c r="D83" s="125"/>
      <c r="E83" s="125"/>
      <c r="F83" s="126"/>
    </row>
    <row r="84" spans="1:8" ht="21" thickBot="1" x14ac:dyDescent="0.45">
      <c r="A84" s="232" t="s">
        <v>7</v>
      </c>
      <c r="B84" s="236"/>
      <c r="C84" s="236"/>
      <c r="D84" s="223"/>
      <c r="E84" s="223"/>
      <c r="F84" s="224"/>
      <c r="G84" s="214"/>
      <c r="H84" s="227"/>
    </row>
    <row r="85" spans="1:8" ht="21" thickBot="1" x14ac:dyDescent="0.45">
      <c r="A85" s="101" t="s">
        <v>52</v>
      </c>
      <c r="B85" s="116">
        <f>('Oct 07'!B85+'Nov 07'!B85+'Dic 07'!B85+'Enero 08'!B85+'Febrero 08'!B85+'Marzo 08'!B85+'Abril 08'!B85+'Mayo 08'!B85+'Junio 08'!B85+'Julio 08'!B85+'Agosto 08'!B85+'Sept 08'!B86)/12</f>
        <v>4547.25</v>
      </c>
      <c r="C85" s="116">
        <f>('Oct 07'!C85+'Nov 07'!C85+'Dic 07'!C85+'Enero 08'!C85+'Febrero 08'!C85+'Marzo 08'!C85+'Abril 08'!C85+'Mayo 08'!C85+'Junio 08'!C85+'Julio 08'!C85+'Agosto 08'!C85+'Sept 08'!C86)/12</f>
        <v>9475</v>
      </c>
      <c r="D85" s="116">
        <f>('Oct 07'!D85+'Nov 07'!D85+'Dic 07'!D85+'Enero 08'!D85+'Febrero 08'!D85+'Marzo 08'!D85+'Abril 08'!D85+'Mayo 08'!D85+'Junio 08'!D85+'Julio 08'!D85+'Agosto 08'!D85+'Sept 08'!D86)</f>
        <v>13030212</v>
      </c>
      <c r="E85" s="114">
        <f t="shared" ref="E85:E92" si="28">D85/B85</f>
        <v>2865.5147616691406</v>
      </c>
      <c r="F85" s="115">
        <f t="shared" ref="F85:F93" si="29">D85/11</f>
        <v>1184564.7272727273</v>
      </c>
      <c r="G85" s="103">
        <f t="shared" ref="G85:G93" si="30">F85/C85</f>
        <v>125.02002398656752</v>
      </c>
      <c r="H85" s="103">
        <f t="shared" ref="H85:H93" si="31">F85/B85</f>
        <v>260.5013419699219</v>
      </c>
    </row>
    <row r="86" spans="1:8" ht="21" thickBot="1" x14ac:dyDescent="0.45">
      <c r="A86" s="101" t="s">
        <v>53</v>
      </c>
      <c r="B86" s="116">
        <f>('Oct 07'!B86+'Nov 07'!B86+'Dic 07'!B86+'Enero 08'!B86+'Febrero 08'!B86+'Marzo 08'!B86+'Abril 08'!B86+'Mayo 08'!B86+'Junio 08'!B86+'Julio 08'!B86+'Agosto 08'!B86+'Sept 08'!B87)/12</f>
        <v>6083.416666666667</v>
      </c>
      <c r="C86" s="116">
        <f>('Oct 07'!C86+'Nov 07'!C86+'Dic 07'!C86+'Enero 08'!C86+'Febrero 08'!C86+'Marzo 08'!C86+'Abril 08'!C86+'Mayo 08'!C86+'Junio 08'!C86+'Julio 08'!C86+'Agosto 08'!C86+'Sept 08'!C87)/12</f>
        <v>13117.416666666666</v>
      </c>
      <c r="D86" s="116">
        <f>('Oct 07'!D86+'Nov 07'!D86+'Dic 07'!D86+'Enero 08'!D86+'Febrero 08'!D86+'Marzo 08'!D86+'Abril 08'!D86+'Mayo 08'!D86+'Junio 08'!D86+'Julio 08'!D86+'Agosto 08'!D86+'Sept 08'!D87)</f>
        <v>17983499</v>
      </c>
      <c r="E86" s="206">
        <f t="shared" si="28"/>
        <v>2956.1511212175174</v>
      </c>
      <c r="F86" s="117">
        <f t="shared" si="29"/>
        <v>1634863.5454545454</v>
      </c>
      <c r="G86" s="117">
        <f t="shared" si="30"/>
        <v>124.63304223681331</v>
      </c>
      <c r="H86" s="117">
        <f t="shared" si="31"/>
        <v>268.74101101977431</v>
      </c>
    </row>
    <row r="87" spans="1:8" ht="21" thickBot="1" x14ac:dyDescent="0.45">
      <c r="A87" s="101" t="s">
        <v>54</v>
      </c>
      <c r="B87" s="116">
        <f>('Oct 07'!B87+'Nov 07'!B87+'Dic 07'!B87+'Enero 08'!B87+'Febrero 08'!B87+'Marzo 08'!B87+'Abril 08'!B87+'Mayo 08'!B87+'Junio 08'!B87+'Julio 08'!B87+'Agosto 08'!B87+'Sept 08'!B88)/12</f>
        <v>3593.1666666666665</v>
      </c>
      <c r="C87" s="116">
        <f>('Oct 07'!C87+'Nov 07'!C87+'Dic 07'!C87+'Enero 08'!C87+'Febrero 08'!C87+'Marzo 08'!C87+'Abril 08'!C87+'Mayo 08'!C87+'Junio 08'!C87+'Julio 08'!C87+'Agosto 08'!C87+'Sept 08'!C88)/12</f>
        <v>8014.166666666667</v>
      </c>
      <c r="D87" s="116">
        <f>('Oct 07'!D87+'Nov 07'!D87+'Dic 07'!D87+'Enero 08'!D87+'Febrero 08'!D87+'Marzo 08'!D87+'Abril 08'!D87+'Mayo 08'!D87+'Junio 08'!D87+'Julio 08'!D87+'Agosto 08'!D87+'Sept 08'!D88)</f>
        <v>10963867</v>
      </c>
      <c r="E87" s="206">
        <f t="shared" si="28"/>
        <v>3051.3104503919476</v>
      </c>
      <c r="F87" s="117">
        <f t="shared" si="29"/>
        <v>996715.18181818177</v>
      </c>
      <c r="G87" s="117">
        <f t="shared" si="30"/>
        <v>124.36916067191619</v>
      </c>
      <c r="H87" s="117">
        <f t="shared" si="31"/>
        <v>277.39185912654068</v>
      </c>
    </row>
    <row r="88" spans="1:8" ht="21" thickBot="1" x14ac:dyDescent="0.45">
      <c r="A88" s="207" t="s">
        <v>55</v>
      </c>
      <c r="B88" s="116">
        <f>('Oct 07'!B88+'Nov 07'!B88+'Dic 07'!B88+'Enero 08'!B88+'Febrero 08'!B88+'Marzo 08'!B88+'Abril 08'!B88+'Mayo 08'!B88+'Junio 08'!B88+'Julio 08'!B88+'Agosto 08'!B88+'Sept 08'!B89)/12</f>
        <v>1892.1666666666667</v>
      </c>
      <c r="C88" s="116">
        <f>('Oct 07'!C88+'Nov 07'!C88+'Dic 07'!C88+'Enero 08'!C88+'Febrero 08'!C88+'Marzo 08'!C88+'Abril 08'!C88+'Mayo 08'!C88+'Junio 08'!C88+'Julio 08'!C88+'Agosto 08'!C88+'Sept 08'!C89)/12</f>
        <v>3618.5</v>
      </c>
      <c r="D88" s="116">
        <f>('Oct 07'!D88+'Nov 07'!D88+'Dic 07'!D88+'Enero 08'!D88+'Febrero 08'!D88+'Marzo 08'!D88+'Abril 08'!D88+'Mayo 08'!D88+'Junio 08'!D88+'Julio 08'!D88+'Agosto 08'!D88+'Sept 08'!D89)</f>
        <v>4983470</v>
      </c>
      <c r="E88" s="127">
        <f t="shared" si="28"/>
        <v>2633.7373381485068</v>
      </c>
      <c r="F88" s="128">
        <f t="shared" si="29"/>
        <v>453042.72727272729</v>
      </c>
      <c r="G88" s="117">
        <f t="shared" si="30"/>
        <v>125.20180386146947</v>
      </c>
      <c r="H88" s="117">
        <f t="shared" si="31"/>
        <v>239.43066710440974</v>
      </c>
    </row>
    <row r="89" spans="1:8" ht="21" thickBot="1" x14ac:dyDescent="0.45">
      <c r="A89" s="101" t="s">
        <v>56</v>
      </c>
      <c r="B89" s="116">
        <f>('Oct 07'!B89+'Nov 07'!B89+'Dic 07'!B89+'Enero 08'!B89+'Febrero 08'!B89+'Marzo 08'!B89+'Abril 08'!B89+'Mayo 08'!B89+'Junio 08'!B89+'Julio 08'!B89+'Agosto 08'!B89+'Sept 08'!B90)/12</f>
        <v>4084.5833333333335</v>
      </c>
      <c r="C89" s="116">
        <f>('Oct 07'!C89+'Nov 07'!C89+'Dic 07'!C89+'Enero 08'!C89+'Febrero 08'!C89+'Marzo 08'!C89+'Abril 08'!C89+'Mayo 08'!C89+'Junio 08'!C89+'Julio 08'!C89+'Agosto 08'!C89+'Sept 08'!C90)/12</f>
        <v>8848.0833333333339</v>
      </c>
      <c r="D89" s="116">
        <f>('Oct 07'!D89+'Nov 07'!D89+'Dic 07'!D89+'Enero 08'!D89+'Febrero 08'!D89+'Marzo 08'!D89+'Abril 08'!D89+'Mayo 08'!D89+'Junio 08'!D89+'Julio 08'!D89+'Agosto 08'!D89+'Sept 08'!D90)</f>
        <v>12128552</v>
      </c>
      <c r="E89" s="129">
        <f t="shared" si="28"/>
        <v>2969.3486483729471</v>
      </c>
      <c r="F89" s="130">
        <f t="shared" si="29"/>
        <v>1102595.6363636365</v>
      </c>
      <c r="G89" s="131">
        <f t="shared" si="30"/>
        <v>124.61406553550803</v>
      </c>
      <c r="H89" s="131">
        <f t="shared" si="31"/>
        <v>269.94078621572248</v>
      </c>
    </row>
    <row r="90" spans="1:8" ht="21" thickBot="1" x14ac:dyDescent="0.45">
      <c r="A90" s="101" t="s">
        <v>57</v>
      </c>
      <c r="B90" s="116">
        <f>('Oct 07'!B90+'Nov 07'!B90+'Dic 07'!B90+'Enero 08'!B90+'Febrero 08'!B90+'Marzo 08'!B90+'Abril 08'!B90+'Mayo 08'!B90+'Junio 08'!B90+'Julio 08'!B90+'Agosto 08'!B90+'Sept 08'!B91)/12</f>
        <v>1005.5</v>
      </c>
      <c r="C90" s="116">
        <f>('Oct 07'!C90+'Nov 07'!C90+'Dic 07'!C90+'Enero 08'!C90+'Febrero 08'!C90+'Marzo 08'!C90+'Abril 08'!C90+'Mayo 08'!C90+'Junio 08'!C90+'Julio 08'!C90+'Agosto 08'!C90+'Sept 08'!C91)/12</f>
        <v>2458.75</v>
      </c>
      <c r="D90" s="116">
        <f>('Oct 07'!D90+'Nov 07'!D90+'Dic 07'!D90+'Enero 08'!D90+'Febrero 08'!D90+'Marzo 08'!D90+'Abril 08'!D90+'Mayo 08'!D90+'Junio 08'!D90+'Julio 08'!D90+'Agosto 08'!D90+'Sept 08'!D91)</f>
        <v>3343023</v>
      </c>
      <c r="E90" s="121">
        <f t="shared" si="28"/>
        <v>3324.7369467926405</v>
      </c>
      <c r="F90" s="122">
        <f t="shared" si="29"/>
        <v>303911.18181818182</v>
      </c>
      <c r="G90" s="117">
        <f t="shared" si="30"/>
        <v>123.60393769931137</v>
      </c>
      <c r="H90" s="117">
        <f t="shared" si="31"/>
        <v>302.2488133447855</v>
      </c>
    </row>
    <row r="91" spans="1:8" ht="21" thickBot="1" x14ac:dyDescent="0.45">
      <c r="A91" s="101" t="s">
        <v>97</v>
      </c>
      <c r="B91" s="116">
        <f>('Oct 07'!B91+'Nov 07'!B91+'Dic 07'!B91+'Enero 08'!B91+'Febrero 08'!B91+'Marzo 08'!B91+'Abril 08'!B91+'Mayo 08'!B91+'Junio 08'!B91+'Julio 08'!B91+'Agosto 08'!B91+'Sept 08'!B92)/12</f>
        <v>12909</v>
      </c>
      <c r="C91" s="116">
        <f>('Oct 07'!C91+'Nov 07'!C91+'Dic 07'!C91+'Enero 08'!C91+'Febrero 08'!C91+'Marzo 08'!C91+'Abril 08'!C91+'Mayo 08'!C91+'Junio 08'!C91+'Julio 08'!C91+'Agosto 08'!C91+'Sept 08'!C92)/12</f>
        <v>26120.333333333332</v>
      </c>
      <c r="D91" s="116">
        <f>('Oct 07'!D91+'Nov 07'!D91+'Dic 07'!D91+'Enero 08'!D91+'Febrero 08'!D91+'Marzo 08'!D91+'Abril 08'!D91+'Mayo 08'!D91+'Junio 08'!D91+'Julio 08'!D91+'Agosto 08'!D91+'Sept 08'!D92)</f>
        <v>36431555</v>
      </c>
      <c r="E91" s="121">
        <f t="shared" si="28"/>
        <v>2822.1825857928575</v>
      </c>
      <c r="F91" s="122">
        <f t="shared" si="29"/>
        <v>3311959.5454545454</v>
      </c>
      <c r="G91" s="117">
        <f t="shared" si="30"/>
        <v>126.79622052250018</v>
      </c>
      <c r="H91" s="117">
        <f t="shared" si="31"/>
        <v>256.56205325389612</v>
      </c>
    </row>
    <row r="92" spans="1:8" ht="21" thickBot="1" x14ac:dyDescent="0.45">
      <c r="A92" s="133" t="s">
        <v>58</v>
      </c>
      <c r="B92" s="116">
        <f>('Oct 07'!B92+'Nov 07'!B92+'Dic 07'!B92+'Enero 08'!B92+'Febrero 08'!B92+'Marzo 08'!B92+'Abril 08'!B92+'Mayo 08'!B92+'Junio 08'!B92+'Julio 08'!B92+'Agosto 08'!B92+'Sept 08'!B93)/12</f>
        <v>3527.75</v>
      </c>
      <c r="C92" s="116">
        <f>('Oct 07'!C92+'Nov 07'!C92+'Dic 07'!C92+'Enero 08'!C92+'Febrero 08'!C92+'Marzo 08'!C92+'Abril 08'!C92+'Mayo 08'!C92+'Junio 08'!C92+'Julio 08'!C92+'Agosto 08'!C92+'Sept 08'!C93)/12</f>
        <v>7647.083333333333</v>
      </c>
      <c r="D92" s="116">
        <f>('Oct 07'!D92+'Nov 07'!D92+'Dic 07'!D92+'Enero 08'!D92+'Febrero 08'!D92+'Marzo 08'!D92+'Abril 08'!D92+'Mayo 08'!D92+'Junio 08'!D92+'Julio 08'!D92+'Agosto 08'!D92+'Sept 08'!D93)</f>
        <v>10423955</v>
      </c>
      <c r="E92" s="121">
        <f t="shared" si="28"/>
        <v>2954.845156261073</v>
      </c>
      <c r="F92" s="122">
        <f t="shared" si="29"/>
        <v>947632.27272727271</v>
      </c>
      <c r="G92" s="117">
        <f t="shared" si="30"/>
        <v>123.92074617476459</v>
      </c>
      <c r="H92" s="117">
        <f t="shared" si="31"/>
        <v>268.62228693282481</v>
      </c>
    </row>
    <row r="93" spans="1:8" ht="21" thickBot="1" x14ac:dyDescent="0.45">
      <c r="A93" s="101" t="s">
        <v>59</v>
      </c>
      <c r="B93" s="116">
        <f>('Oct 07'!B93+'Nov 07'!B93+'Dic 07'!B93+'Enero 08'!B93+'Febrero 08'!B93+'Marzo 08'!B93+'Abril 08'!B93+'Mayo 08'!B93+'Junio 08'!B93+'Julio 08'!B93+'Agosto 08'!B93+'Sept 08'!B94)/12</f>
        <v>5361.25</v>
      </c>
      <c r="C93" s="116">
        <f>('Oct 07'!C93+'Nov 07'!C93+'Dic 07'!C93+'Enero 08'!C93+'Febrero 08'!C93+'Marzo 08'!C93+'Abril 08'!C93+'Mayo 08'!C93+'Junio 08'!C93+'Julio 08'!C93+'Agosto 08'!C93+'Sept 08'!C94)/12</f>
        <v>11235.083333333334</v>
      </c>
      <c r="D93" s="116">
        <f>('Oct 07'!D93+'Nov 07'!D93+'Dic 07'!D93+'Enero 08'!D93+'Febrero 08'!D93+'Marzo 08'!D93+'Abril 08'!D93+'Mayo 08'!D93+'Junio 08'!D93+'Julio 08'!D93+'Agosto 08'!D93+'Sept 08'!D94)</f>
        <v>15431093</v>
      </c>
      <c r="E93" s="121">
        <f>D93/B93</f>
        <v>2878.2640242480766</v>
      </c>
      <c r="F93" s="124">
        <f t="shared" si="29"/>
        <v>1402826.6363636365</v>
      </c>
      <c r="G93" s="117">
        <f t="shared" si="30"/>
        <v>124.8612577889471</v>
      </c>
      <c r="H93" s="117">
        <f t="shared" si="31"/>
        <v>261.66036584073424</v>
      </c>
    </row>
    <row r="94" spans="1:8" ht="21" thickBot="1" x14ac:dyDescent="0.45">
      <c r="A94" s="232" t="s">
        <v>91</v>
      </c>
      <c r="B94" s="233">
        <f>SUM(B85:B93)</f>
        <v>43004.083333333328</v>
      </c>
      <c r="C94" s="233">
        <f>SUM(C85:C93)</f>
        <v>90534.416666666657</v>
      </c>
      <c r="D94" s="234">
        <f>SUM(D85:D93)</f>
        <v>124719226</v>
      </c>
      <c r="E94" s="215">
        <f>D94/B94</f>
        <v>2900.1717123761505</v>
      </c>
      <c r="F94" s="215">
        <f>D94/12</f>
        <v>10393268.833333334</v>
      </c>
      <c r="G94" s="215">
        <f>SUM(G85:G93)/9</f>
        <v>124.78002871975531</v>
      </c>
      <c r="H94" s="227">
        <f>SUM(H85:H93)/9</f>
        <v>267.23324275651225</v>
      </c>
    </row>
    <row r="95" spans="1:8" ht="21" thickBot="1" x14ac:dyDescent="0.45">
      <c r="A95" s="98"/>
      <c r="B95" s="109"/>
      <c r="C95" s="109"/>
      <c r="D95" s="125"/>
      <c r="E95" s="125"/>
      <c r="F95" s="126"/>
    </row>
    <row r="96" spans="1:8" ht="21" thickBot="1" x14ac:dyDescent="0.45">
      <c r="A96" s="216" t="s">
        <v>8</v>
      </c>
      <c r="B96" s="236"/>
      <c r="C96" s="236"/>
      <c r="D96" s="223"/>
      <c r="E96" s="223"/>
      <c r="F96" s="224"/>
      <c r="G96" s="214"/>
      <c r="H96" s="215"/>
    </row>
    <row r="97" spans="1:8" ht="21" thickBot="1" x14ac:dyDescent="0.45">
      <c r="A97" s="101" t="s">
        <v>73</v>
      </c>
      <c r="B97" s="113">
        <f>('Oct 07'!B97+'Nov 07'!B97+'Dic 07'!B97+'Enero 08'!B97+'Febrero 08'!B97+'Marzo 08'!B97+'Abril 08'!B97+'Mayo 08'!B97+'Junio 08'!B97+'Julio 08'!B97+'Agosto 08'!B97+'Sept 08'!B98)/12</f>
        <v>4142.666666666667</v>
      </c>
      <c r="C97" s="113">
        <f>('Oct 07'!C97+'Nov 07'!C97+'Dic 07'!C97+'Enero 08'!C97+'Febrero 08'!C97+'Marzo 08'!C97+'Abril 08'!C97+'Mayo 08'!C97+'Junio 08'!C97+'Julio 08'!C97+'Agosto 08'!C97+'Sept 08'!C98)/12</f>
        <v>9918.6666666666661</v>
      </c>
      <c r="D97" s="113">
        <f>('Oct 07'!D97+'Nov 07'!D97+'Dic 07'!D97+'Enero 08'!D97+'Febrero 08'!D97+'Marzo 08'!D97+'Abril 08'!D97+'Mayo 08'!D97+'Junio 08'!D97+'Julio 08'!D97+'Agosto 08'!D97+'Sept 08'!D98)</f>
        <v>13386749</v>
      </c>
      <c r="E97" s="114">
        <f t="shared" ref="E97:E108" si="32">D97/B97</f>
        <v>3231.4328130028966</v>
      </c>
      <c r="F97" s="115">
        <f t="shared" ref="F97:F107" si="33">D97/11</f>
        <v>1216977.1818181819</v>
      </c>
      <c r="G97" s="103">
        <f>F97/C97</f>
        <v>122.69564274279291</v>
      </c>
      <c r="H97" s="103">
        <f t="shared" ref="H97:H107" si="34">F97/B97</f>
        <v>293.76661936389968</v>
      </c>
    </row>
    <row r="98" spans="1:8" ht="21" thickBot="1" x14ac:dyDescent="0.45">
      <c r="A98" s="101" t="s">
        <v>60</v>
      </c>
      <c r="B98" s="113">
        <f>('Oct 07'!B98+'Nov 07'!B98+'Dic 07'!B98+'Enero 08'!B98+'Febrero 08'!B98+'Marzo 08'!B98+'Abril 08'!B98+'Mayo 08'!B98+'Junio 08'!B98+'Julio 08'!B98+'Agosto 08'!B98+'Sept 08'!B99)/12</f>
        <v>4640.75</v>
      </c>
      <c r="C98" s="113">
        <f>('Oct 07'!C98+'Nov 07'!C98+'Dic 07'!C98+'Enero 08'!C98+'Febrero 08'!C98+'Marzo 08'!C98+'Abril 08'!C98+'Mayo 08'!C98+'Junio 08'!C98+'Julio 08'!C98+'Agosto 08'!C98+'Sept 08'!C99)/12</f>
        <v>9742.5</v>
      </c>
      <c r="D98" s="113">
        <f>('Oct 07'!D98+'Nov 07'!D98+'Dic 07'!D98+'Enero 08'!D98+'Febrero 08'!D98+'Marzo 08'!D98+'Abril 08'!D98+'Mayo 08'!D98+'Junio 08'!D98+'Julio 08'!D98+'Agosto 08'!D98+'Sept 08'!D99)</f>
        <v>13361741</v>
      </c>
      <c r="E98" s="129">
        <f t="shared" si="32"/>
        <v>2879.220169153693</v>
      </c>
      <c r="F98" s="130">
        <f t="shared" si="33"/>
        <v>1214703.7272727273</v>
      </c>
      <c r="G98" s="131">
        <f t="shared" ref="G98:G107" si="35">F98/C98</f>
        <v>124.68090605827327</v>
      </c>
      <c r="H98" s="131">
        <f t="shared" si="34"/>
        <v>261.74728810488119</v>
      </c>
    </row>
    <row r="99" spans="1:8" ht="21" thickBot="1" x14ac:dyDescent="0.45">
      <c r="A99" s="101" t="s">
        <v>61</v>
      </c>
      <c r="B99" s="113">
        <f>('Oct 07'!B99+'Nov 07'!B99+'Dic 07'!B99+'Enero 08'!B99+'Febrero 08'!B99+'Marzo 08'!B99+'Abril 08'!B99+'Mayo 08'!B99+'Junio 08'!B99+'Julio 08'!B99+'Agosto 08'!B99+'Sept 08'!B100)/12</f>
        <v>5487</v>
      </c>
      <c r="C99" s="113">
        <f>('Oct 07'!C99+'Nov 07'!C99+'Dic 07'!C99+'Enero 08'!C99+'Febrero 08'!C99+'Marzo 08'!C99+'Abril 08'!C99+'Mayo 08'!C99+'Junio 08'!C99+'Julio 08'!C99+'Agosto 08'!C99+'Sept 08'!C100)/12</f>
        <v>12092.833333333334</v>
      </c>
      <c r="D99" s="113">
        <f>('Oct 07'!D99+'Nov 07'!D99+'Dic 07'!D99+'Enero 08'!D99+'Febrero 08'!D99+'Marzo 08'!D99+'Abril 08'!D99+'Mayo 08'!D99+'Junio 08'!D99+'Julio 08'!D99+'Agosto 08'!D99+'Sept 08'!D100)</f>
        <v>16440133</v>
      </c>
      <c r="E99" s="121">
        <f t="shared" si="32"/>
        <v>2996.1970111171859</v>
      </c>
      <c r="F99" s="122">
        <f t="shared" si="33"/>
        <v>1494557.5454545454</v>
      </c>
      <c r="G99" s="117">
        <f t="shared" si="35"/>
        <v>123.59035341493271</v>
      </c>
      <c r="H99" s="117">
        <f t="shared" si="34"/>
        <v>272.38154646519871</v>
      </c>
    </row>
    <row r="100" spans="1:8" ht="21" thickBot="1" x14ac:dyDescent="0.45">
      <c r="A100" s="101" t="s">
        <v>62</v>
      </c>
      <c r="B100" s="113">
        <f>('Oct 07'!B100+'Nov 07'!B100+'Dic 07'!B100+'Enero 08'!B100+'Febrero 08'!B100+'Marzo 08'!B100+'Abril 08'!B100+'Mayo 08'!B100+'Junio 08'!B100+'Julio 08'!B100+'Agosto 08'!B100+'Sept 08'!B101)/12</f>
        <v>4238.416666666667</v>
      </c>
      <c r="C100" s="113">
        <f>('Oct 07'!C100+'Nov 07'!C100+'Dic 07'!C100+'Enero 08'!C100+'Febrero 08'!C100+'Marzo 08'!C100+'Abril 08'!C100+'Mayo 08'!C100+'Junio 08'!C100+'Julio 08'!C100+'Agosto 08'!C100+'Sept 08'!C101)/12</f>
        <v>9606.5</v>
      </c>
      <c r="D100" s="113">
        <f>('Oct 07'!D100+'Nov 07'!D100+'Dic 07'!D100+'Enero 08'!D100+'Febrero 08'!D100+'Marzo 08'!D100+'Abril 08'!D100+'Mayo 08'!D100+'Junio 08'!D100+'Julio 08'!D100+'Agosto 08'!D100+'Sept 08'!D101)</f>
        <v>13254174</v>
      </c>
      <c r="E100" s="121">
        <f t="shared" si="32"/>
        <v>3127.1521991309646</v>
      </c>
      <c r="F100" s="122">
        <f t="shared" si="33"/>
        <v>1204924.9090909092</v>
      </c>
      <c r="G100" s="117">
        <f t="shared" si="35"/>
        <v>125.42808609700819</v>
      </c>
      <c r="H100" s="117">
        <f t="shared" si="34"/>
        <v>284.28656355736041</v>
      </c>
    </row>
    <row r="101" spans="1:8" ht="21" thickBot="1" x14ac:dyDescent="0.45">
      <c r="A101" s="101" t="s">
        <v>63</v>
      </c>
      <c r="B101" s="113">
        <f>('Oct 07'!B101+'Nov 07'!B101+'Dic 07'!B101+'Enero 08'!B101+'Febrero 08'!B101+'Marzo 08'!B101+'Abril 08'!B101+'Mayo 08'!B101+'Junio 08'!B101+'Julio 08'!B101+'Agosto 08'!B101+'Sept 08'!B102)/12</f>
        <v>3283.1666666666665</v>
      </c>
      <c r="C101" s="113">
        <f>('Oct 07'!C101+'Nov 07'!C101+'Dic 07'!C101+'Enero 08'!C101+'Febrero 08'!C101+'Marzo 08'!C101+'Abril 08'!C101+'Mayo 08'!C101+'Junio 08'!C101+'Julio 08'!C101+'Agosto 08'!C101+'Sept 08'!C102)/12</f>
        <v>8057.583333333333</v>
      </c>
      <c r="D101" s="113">
        <f>('Oct 07'!D101+'Nov 07'!D101+'Dic 07'!D101+'Enero 08'!D101+'Febrero 08'!D101+'Marzo 08'!D101+'Abril 08'!D101+'Mayo 08'!D101+'Junio 08'!D101+'Julio 08'!D101+'Agosto 08'!D101+'Sept 08'!D102)</f>
        <v>11063048</v>
      </c>
      <c r="E101" s="121">
        <f t="shared" si="32"/>
        <v>3369.6272907254179</v>
      </c>
      <c r="F101" s="122">
        <f t="shared" si="33"/>
        <v>1005731.6363636364</v>
      </c>
      <c r="G101" s="117">
        <f t="shared" si="35"/>
        <v>124.81802480441443</v>
      </c>
      <c r="H101" s="117">
        <f t="shared" si="34"/>
        <v>306.32975370231071</v>
      </c>
    </row>
    <row r="102" spans="1:8" ht="21" thickBot="1" x14ac:dyDescent="0.45">
      <c r="A102" s="101" t="s">
        <v>64</v>
      </c>
      <c r="B102" s="113">
        <f>('Oct 07'!B102+'Nov 07'!B102+'Dic 07'!B102+'Enero 08'!B102+'Febrero 08'!B102+'Marzo 08'!B102+'Abril 08'!B102+'Mayo 08'!B102+'Junio 08'!B102+'Julio 08'!B102+'Agosto 08'!B102+'Sept 08'!B103)/12</f>
        <v>6349.916666666667</v>
      </c>
      <c r="C102" s="113">
        <f>('Oct 07'!C102+'Nov 07'!C102+'Dic 07'!C102+'Enero 08'!C102+'Febrero 08'!C102+'Marzo 08'!C102+'Abril 08'!C102+'Mayo 08'!C102+'Junio 08'!C102+'Julio 08'!C102+'Agosto 08'!C102+'Sept 08'!C103)/12</f>
        <v>14951.333333333334</v>
      </c>
      <c r="D102" s="113">
        <f>('Oct 07'!D102+'Nov 07'!D102+'Dic 07'!D102+'Enero 08'!D102+'Febrero 08'!D102+'Marzo 08'!D102+'Abril 08'!D102+'Mayo 08'!D102+'Junio 08'!D102+'Julio 08'!D102+'Agosto 08'!D102+'Sept 08'!D103)</f>
        <v>20153482</v>
      </c>
      <c r="E102" s="121">
        <f t="shared" si="32"/>
        <v>3173.8183440727566</v>
      </c>
      <c r="F102" s="122">
        <f t="shared" si="33"/>
        <v>1832134.7272727273</v>
      </c>
      <c r="G102" s="117">
        <f t="shared" si="35"/>
        <v>122.53988901364832</v>
      </c>
      <c r="H102" s="117">
        <f t="shared" si="34"/>
        <v>288.52894037025061</v>
      </c>
    </row>
    <row r="103" spans="1:8" ht="21" thickBot="1" x14ac:dyDescent="0.45">
      <c r="A103" s="101" t="s">
        <v>65</v>
      </c>
      <c r="B103" s="113">
        <f>('Oct 07'!B103+'Nov 07'!B103+'Dic 07'!B103+'Enero 08'!B103+'Febrero 08'!B103+'Marzo 08'!B103+'Abril 08'!B103+'Mayo 08'!B103+'Junio 08'!B103+'Julio 08'!B103+'Agosto 08'!B103+'Sept 08'!B104)/12</f>
        <v>5289.5</v>
      </c>
      <c r="C103" s="113">
        <f>('Oct 07'!C103+'Nov 07'!C103+'Dic 07'!C103+'Enero 08'!C103+'Febrero 08'!C103+'Marzo 08'!C103+'Abril 08'!C103+'Mayo 08'!C103+'Junio 08'!C103+'Julio 08'!C103+'Agosto 08'!C103+'Sept 08'!C104)/12</f>
        <v>12521.583333333334</v>
      </c>
      <c r="D103" s="113">
        <f>('Oct 07'!D103+'Nov 07'!D103+'Dic 07'!D103+'Enero 08'!D103+'Febrero 08'!D103+'Marzo 08'!D103+'Abril 08'!D103+'Mayo 08'!D103+'Junio 08'!D103+'Julio 08'!D103+'Agosto 08'!D103+'Sept 08'!D104)</f>
        <v>17028721</v>
      </c>
      <c r="E103" s="121">
        <f t="shared" si="32"/>
        <v>3219.3441724170525</v>
      </c>
      <c r="F103" s="122">
        <f t="shared" si="33"/>
        <v>1548065.5454545454</v>
      </c>
      <c r="G103" s="117">
        <f t="shared" si="35"/>
        <v>123.63177277537149</v>
      </c>
      <c r="H103" s="117">
        <f t="shared" si="34"/>
        <v>292.66765203791385</v>
      </c>
    </row>
    <row r="104" spans="1:8" ht="21" thickBot="1" x14ac:dyDescent="0.45">
      <c r="A104" s="101" t="s">
        <v>66</v>
      </c>
      <c r="B104" s="113">
        <f>('Oct 07'!B104+'Nov 07'!B104+'Dic 07'!B104+'Enero 08'!B104+'Febrero 08'!B104+'Marzo 08'!B104+'Abril 08'!B104+'Mayo 08'!B104+'Junio 08'!B104+'Julio 08'!B104+'Agosto 08'!B104+'Sept 08'!B105)/12</f>
        <v>4179.666666666667</v>
      </c>
      <c r="C104" s="113">
        <f>('Oct 07'!C104+'Nov 07'!C104+'Dic 07'!C104+'Enero 08'!C104+'Febrero 08'!C104+'Marzo 08'!C104+'Abril 08'!C104+'Mayo 08'!C104+'Junio 08'!C104+'Julio 08'!C104+'Agosto 08'!C104+'Sept 08'!C105)/12</f>
        <v>10160.833333333334</v>
      </c>
      <c r="D104" s="113">
        <f>('Oct 07'!D104+'Nov 07'!D104+'Dic 07'!D104+'Enero 08'!D104+'Febrero 08'!D104+'Marzo 08'!D104+'Abril 08'!D104+'Mayo 08'!D104+'Junio 08'!D104+'Julio 08'!D104+'Agosto 08'!D104+'Sept 08'!D105)</f>
        <v>13764404</v>
      </c>
      <c r="E104" s="121">
        <f t="shared" si="32"/>
        <v>3293.1822314379133</v>
      </c>
      <c r="F104" s="122">
        <f t="shared" si="33"/>
        <v>1251309.4545454546</v>
      </c>
      <c r="G104" s="117">
        <f t="shared" si="35"/>
        <v>123.1502784757275</v>
      </c>
      <c r="H104" s="117">
        <f t="shared" si="34"/>
        <v>299.38020285799212</v>
      </c>
    </row>
    <row r="105" spans="1:8" ht="21" thickBot="1" x14ac:dyDescent="0.45">
      <c r="A105" s="101" t="s">
        <v>98</v>
      </c>
      <c r="B105" s="113">
        <f>('Oct 07'!B105+'Nov 07'!B105+'Dic 07'!B105+'Enero 08'!B105+'Febrero 08'!B105+'Marzo 08'!B105+'Abril 08'!B105+'Mayo 08'!B105+'Junio 08'!B105+'Julio 08'!B105+'Agosto 08'!B105+'Sept 08'!B106)/12</f>
        <v>22395</v>
      </c>
      <c r="C105" s="113">
        <f>('Oct 07'!C105+'Nov 07'!C105+'Dic 07'!C105+'Enero 08'!C105+'Febrero 08'!C105+'Marzo 08'!C105+'Abril 08'!C105+'Mayo 08'!C105+'Junio 08'!C105+'Julio 08'!C105+'Agosto 08'!C105+'Sept 08'!C106)/12</f>
        <v>50976.166666666664</v>
      </c>
      <c r="D105" s="113">
        <f>('Oct 07'!D105+'Nov 07'!D105+'Dic 07'!D105+'Enero 08'!D105+'Febrero 08'!D105+'Marzo 08'!D105+'Abril 08'!D105+'Mayo 08'!D105+'Junio 08'!D105+'Julio 08'!D105+'Agosto 08'!D105+'Sept 08'!D106)</f>
        <v>69352877</v>
      </c>
      <c r="E105" s="121">
        <f t="shared" si="32"/>
        <v>3096.8018307657958</v>
      </c>
      <c r="F105" s="122">
        <f t="shared" si="33"/>
        <v>6304807</v>
      </c>
      <c r="G105" s="117">
        <f t="shared" si="35"/>
        <v>123.68146552146919</v>
      </c>
      <c r="H105" s="117">
        <f t="shared" si="34"/>
        <v>281.52743916052691</v>
      </c>
    </row>
    <row r="106" spans="1:8" ht="21" thickBot="1" x14ac:dyDescent="0.45">
      <c r="A106" s="101" t="s">
        <v>67</v>
      </c>
      <c r="B106" s="113">
        <f>('Oct 07'!B106+'Nov 07'!B106+'Dic 07'!B106+'Enero 08'!B106+'Febrero 08'!B106+'Marzo 08'!B106+'Abril 08'!B106+'Mayo 08'!B106+'Junio 08'!B106+'Julio 08'!B106+'Agosto 08'!B106+'Sept 08'!B107)/12</f>
        <v>10044.166666666666</v>
      </c>
      <c r="C106" s="113">
        <f>('Oct 07'!C106+'Nov 07'!C106+'Dic 07'!C106+'Enero 08'!C106+'Febrero 08'!C106+'Marzo 08'!C106+'Abril 08'!C106+'Mayo 08'!C106+'Junio 08'!C106+'Julio 08'!C106+'Agosto 08'!C106+'Sept 08'!C107)/12</f>
        <v>23165.333333333332</v>
      </c>
      <c r="D106" s="113">
        <f>('Oct 07'!D106+'Nov 07'!D106+'Dic 07'!D106+'Enero 08'!D106+'Febrero 08'!D106+'Marzo 08'!D106+'Abril 08'!D106+'Mayo 08'!D106+'Junio 08'!D106+'Julio 08'!D106+'Agosto 08'!D106+'Sept 08'!D107)</f>
        <v>33424282</v>
      </c>
      <c r="E106" s="121">
        <f t="shared" si="32"/>
        <v>3327.730722641666</v>
      </c>
      <c r="F106" s="122">
        <f t="shared" si="33"/>
        <v>3038571.0909090908</v>
      </c>
      <c r="G106" s="117">
        <f t="shared" si="35"/>
        <v>131.16889134234017</v>
      </c>
      <c r="H106" s="117">
        <f t="shared" si="34"/>
        <v>302.52097478560603</v>
      </c>
    </row>
    <row r="107" spans="1:8" ht="21" thickBot="1" x14ac:dyDescent="0.45">
      <c r="A107" s="101" t="s">
        <v>68</v>
      </c>
      <c r="B107" s="113">
        <f>('Oct 07'!B107+'Nov 07'!B107+'Dic 07'!B107+'Enero 08'!B107+'Febrero 08'!B107+'Marzo 08'!B107+'Abril 08'!B107+'Mayo 08'!B107+'Junio 08'!B107+'Julio 08'!B107+'Agosto 08'!B107+'Sept 08'!B108)/12</f>
        <v>6472.166666666667</v>
      </c>
      <c r="C107" s="113">
        <f>('Oct 07'!C107+'Nov 07'!C107+'Dic 07'!C107+'Enero 08'!C107+'Febrero 08'!C107+'Marzo 08'!C107+'Abril 08'!C107+'Mayo 08'!C107+'Junio 08'!C107+'Julio 08'!C107+'Agosto 08'!C107+'Sept 08'!C108)/12</f>
        <v>18946.5</v>
      </c>
      <c r="D107" s="113">
        <f>('Oct 07'!D107+'Nov 07'!D107+'Dic 07'!D107+'Enero 08'!D107+'Febrero 08'!D107+'Marzo 08'!D107+'Abril 08'!D107+'Mayo 08'!D107+'Junio 08'!D107+'Julio 08'!D107+'Agosto 08'!D107+'Sept 08'!D108)</f>
        <v>19597469</v>
      </c>
      <c r="E107" s="121">
        <f t="shared" si="32"/>
        <v>3027.9611155460561</v>
      </c>
      <c r="F107" s="124">
        <f t="shared" si="33"/>
        <v>1781588.0909090908</v>
      </c>
      <c r="G107" s="117">
        <f t="shared" si="35"/>
        <v>94.032570179668582</v>
      </c>
      <c r="H107" s="117">
        <f t="shared" si="34"/>
        <v>275.26919232236872</v>
      </c>
    </row>
    <row r="108" spans="1:8" ht="21" thickBot="1" x14ac:dyDescent="0.45">
      <c r="A108" s="232" t="s">
        <v>91</v>
      </c>
      <c r="B108" s="233">
        <f>SUM(B97:B107)</f>
        <v>76522.416666666672</v>
      </c>
      <c r="C108" s="233">
        <f>SUM(C97:C107)</f>
        <v>180139.83333333334</v>
      </c>
      <c r="D108" s="234">
        <f>SUM(D97:D107)</f>
        <v>240827080</v>
      </c>
      <c r="E108" s="215">
        <f t="shared" si="32"/>
        <v>3147.1442028425222</v>
      </c>
      <c r="F108" s="215">
        <f>D108/12</f>
        <v>20068923.333333332</v>
      </c>
      <c r="G108" s="215">
        <f>SUM(G97:G107)/11</f>
        <v>121.76526185687698</v>
      </c>
      <c r="H108" s="215">
        <f>SUM(H97:H107)/11</f>
        <v>287.12783388439175</v>
      </c>
    </row>
    <row r="109" spans="1:8" ht="21" thickBot="1" x14ac:dyDescent="0.45">
      <c r="A109" s="98"/>
      <c r="B109" s="109"/>
      <c r="C109" s="109"/>
      <c r="D109" s="125"/>
      <c r="E109" s="125"/>
      <c r="F109" s="126"/>
    </row>
    <row r="110" spans="1:8" ht="21" thickBot="1" x14ac:dyDescent="0.45">
      <c r="A110" s="222" t="s">
        <v>9</v>
      </c>
      <c r="B110" s="236"/>
      <c r="C110" s="228"/>
      <c r="D110" s="212"/>
      <c r="E110" s="212"/>
      <c r="F110" s="213"/>
      <c r="G110" s="230"/>
      <c r="H110" s="225"/>
    </row>
    <row r="111" spans="1:8" ht="21" thickBot="1" x14ac:dyDescent="0.45">
      <c r="A111" s="101" t="s">
        <v>99</v>
      </c>
      <c r="B111" s="104">
        <f>('Oct 07'!B111+'Nov 07'!B111+'Dic 07'!B111+'Enero 08'!B111+'Febrero 08'!B111+'Marzo 08'!B111+'Abril 08'!B111+'Mayo 08'!B111+'Junio 08'!B111+'Julio 08'!B111+'Agosto 08'!B112+'Sept 08'!B113)/12</f>
        <v>1218.5</v>
      </c>
      <c r="C111" s="104">
        <f>('Oct 07'!C111+'Nov 07'!C111+'Dic 07'!C111+'Enero 08'!C111+'Febrero 08'!C111+'Marzo 08'!C111+'Abril 08'!C111+'Mayo 08'!C111+'Junio 08'!C111+'Julio 08'!C111+'Agosto 08'!C112+'Sept 08'!C113)/12</f>
        <v>2940.0833333333335</v>
      </c>
      <c r="D111" s="104">
        <f>('Oct 07'!D111+'Nov 07'!D111+'Dic 07'!D111+'Enero 08'!D111+'Febrero 08'!D111+'Marzo 08'!D111+'Abril 08'!D111+'Mayo 08'!D111+'Junio 08'!D111+'Julio 08'!D111+'Agosto 08'!D112+'Sept 08'!D113)</f>
        <v>4055761</v>
      </c>
      <c r="E111" s="112">
        <f>D111/B111</f>
        <v>3328.4866639310626</v>
      </c>
      <c r="F111" s="107">
        <f>D111/11</f>
        <v>368705.54545454547</v>
      </c>
      <c r="G111" s="103">
        <f>F111/C111</f>
        <v>125.40649486847157</v>
      </c>
      <c r="H111" s="103">
        <f>F111/B111</f>
        <v>302.58969672100574</v>
      </c>
    </row>
    <row r="112" spans="1:8" ht="21" thickBot="1" x14ac:dyDescent="0.45">
      <c r="A112" s="101" t="s">
        <v>100</v>
      </c>
      <c r="B112" s="104">
        <f>('Oct 07'!B112+'Nov 07'!B112+'Dic 07'!B112+'Enero 08'!B112+'Febrero 08'!B112+'Marzo 08'!B112+'Abril 08'!B112+'Mayo 08'!B112+'Junio 08'!B112+'Julio 08'!B112+'Agosto 08'!B113+'Sept 08'!B114)/12</f>
        <v>9068.1666666666661</v>
      </c>
      <c r="C112" s="104">
        <f>('Oct 07'!C112+'Nov 07'!C112+'Dic 07'!C112+'Enero 08'!C112+'Febrero 08'!C112+'Marzo 08'!C112+'Abril 08'!C112+'Mayo 08'!C112+'Junio 08'!C112+'Julio 08'!C112+'Agosto 08'!C113+'Sept 08'!C114)/12</f>
        <v>18868.333333333332</v>
      </c>
      <c r="D112" s="104">
        <f>('Oct 07'!D112+'Nov 07'!D112+'Dic 07'!D112+'Enero 08'!D112+'Febrero 08'!D112+'Marzo 08'!D112+'Abril 08'!D112+'Mayo 08'!D112+'Junio 08'!D112+'Julio 08'!D112+'Agosto 08'!D113+'Sept 08'!D114)</f>
        <v>26143553</v>
      </c>
      <c r="E112" s="121">
        <f>D112/B112</f>
        <v>2883.0031428623943</v>
      </c>
      <c r="F112" s="122">
        <f>D112/11</f>
        <v>2376686.6363636362</v>
      </c>
      <c r="G112" s="117">
        <f>F112/C112</f>
        <v>125.96166255791731</v>
      </c>
      <c r="H112" s="117">
        <f>F112/B112</f>
        <v>262.09119480567222</v>
      </c>
    </row>
    <row r="113" spans="1:8" ht="21" thickBot="1" x14ac:dyDescent="0.45">
      <c r="A113" s="101" t="s">
        <v>101</v>
      </c>
      <c r="B113" s="104">
        <f>('Oct 07'!B113+'Nov 07'!B113+'Dic 07'!B113+'Enero 08'!B113+'Febrero 08'!B113+'Marzo 08'!B113+'Abril 08'!B113+'Mayo 08'!B113+'Junio 08'!B113+'Julio 08'!B113+'Agosto 08'!B114+'Sept 08'!B115)/12</f>
        <v>28283.75</v>
      </c>
      <c r="C113" s="104">
        <f>('Oct 07'!C113+'Nov 07'!C113+'Dic 07'!C113+'Enero 08'!C113+'Febrero 08'!C113+'Marzo 08'!C113+'Abril 08'!C113+'Mayo 08'!C113+'Junio 08'!C113+'Julio 08'!C113+'Agosto 08'!C114+'Sept 08'!C115)/12</f>
        <v>60604.083333333336</v>
      </c>
      <c r="D113" s="104">
        <f>('Oct 07'!D113+'Nov 07'!D113+'Dic 07'!D113+'Enero 08'!D113+'Febrero 08'!D113+'Marzo 08'!D113+'Abril 08'!D113+'Mayo 08'!D113+'Junio 08'!D113+'Julio 08'!D113+'Agosto 08'!D114+'Sept 08'!D115)</f>
        <v>83184492</v>
      </c>
      <c r="E113" s="121">
        <f>D113/B113</f>
        <v>2941.0701197684184</v>
      </c>
      <c r="F113" s="122">
        <f>D113/11</f>
        <v>7562226.5454545459</v>
      </c>
      <c r="G113" s="117">
        <f>F113/C113</f>
        <v>124.78080897389277</v>
      </c>
      <c r="H113" s="117">
        <f>F113/B113</f>
        <v>267.37001088803805</v>
      </c>
    </row>
    <row r="114" spans="1:8" ht="39.75" thickBot="1" x14ac:dyDescent="0.45">
      <c r="A114" s="133" t="s">
        <v>102</v>
      </c>
      <c r="B114" s="104">
        <f>('Oct 07'!B114+'Nov 07'!B114+'Dic 07'!B114+'Enero 08'!B114+'Febrero 08'!B114+'Marzo 08'!B114+'Abril 08'!B114+'Mayo 08'!B114+'Junio 08'!B114+'Julio 08'!B114+'Agosto 08'!B115+'Sept 08'!B116)/12</f>
        <v>10494.5</v>
      </c>
      <c r="C114" s="104">
        <f>('Oct 07'!C114+'Nov 07'!C114+'Dic 07'!C114+'Enero 08'!C114+'Febrero 08'!C114+'Marzo 08'!C114+'Abril 08'!C114+'Mayo 08'!C114+'Junio 08'!C114+'Julio 08'!C114+'Agosto 08'!C115+'Sept 08'!C116)/12</f>
        <v>21430.916666666668</v>
      </c>
      <c r="D114" s="104">
        <f>('Oct 07'!D114+'Nov 07'!D114+'Dic 07'!D114+'Enero 08'!D114+'Febrero 08'!D114+'Marzo 08'!D114+'Abril 08'!D114+'Mayo 08'!D114+'Junio 08'!D114+'Julio 08'!D114+'Agosto 08'!D115+'Sept 08'!D116)</f>
        <v>30057312</v>
      </c>
      <c r="E114" s="121">
        <f>D114/B114</f>
        <v>2864.1013864405163</v>
      </c>
      <c r="F114" s="124">
        <f>D114/11</f>
        <v>2732482.9090909092</v>
      </c>
      <c r="G114" s="117">
        <f>F114/C114</f>
        <v>127.50191471468753</v>
      </c>
      <c r="H114" s="117">
        <f>F114/B114</f>
        <v>260.37285331277423</v>
      </c>
    </row>
    <row r="115" spans="1:8" ht="21" thickBot="1" x14ac:dyDescent="0.45">
      <c r="A115" s="232" t="s">
        <v>91</v>
      </c>
      <c r="B115" s="233">
        <f>SUM(B111:B114)</f>
        <v>49064.916666666664</v>
      </c>
      <c r="C115" s="233">
        <f>SUM(C111:C114)</f>
        <v>103843.41666666667</v>
      </c>
      <c r="D115" s="234">
        <f>SUM(D111:D114)</f>
        <v>143441118</v>
      </c>
      <c r="E115" s="215">
        <f>D115/B115</f>
        <v>2923.4966192748043</v>
      </c>
      <c r="F115" s="215">
        <f>D115/12</f>
        <v>11953426.5</v>
      </c>
      <c r="G115" s="235">
        <f>SUM(G111:G114)/4</f>
        <v>125.9127202787423</v>
      </c>
      <c r="H115" s="215">
        <f>SUM(H111:H114)/4</f>
        <v>273.10593893187252</v>
      </c>
    </row>
    <row r="116" spans="1:8" ht="21" thickBot="1" x14ac:dyDescent="0.45">
      <c r="A116" s="98"/>
      <c r="B116" s="109"/>
      <c r="C116" s="109"/>
      <c r="D116" s="125"/>
      <c r="E116" s="125"/>
      <c r="F116" s="126"/>
    </row>
    <row r="117" spans="1:8" ht="21" thickBot="1" x14ac:dyDescent="0.45">
      <c r="A117" s="216" t="s">
        <v>74</v>
      </c>
      <c r="B117" s="231">
        <f>(B15+B29+B41+B51+B60+B69+B82+B94+B108+B115)</f>
        <v>508623.91666666669</v>
      </c>
      <c r="C117" s="231">
        <f>(C15+C29+C41+C51+C60+C69+C82+C94+C108+C115)</f>
        <v>1105888.5833333333</v>
      </c>
      <c r="D117" s="215">
        <f>(D15+D29+D41+D51+D60+D69+D82+D94+D108+D115)</f>
        <v>1513806715</v>
      </c>
      <c r="E117" s="215">
        <f>D117/B117</f>
        <v>2976.2790647379111</v>
      </c>
      <c r="F117" s="215">
        <f>D117/12</f>
        <v>126150559.58333333</v>
      </c>
      <c r="G117" s="215">
        <f>(G15+G29+G41+G51+G60+G69+G82+G94+G108+G115)/12</f>
        <v>99.29236697004437</v>
      </c>
      <c r="H117" s="215">
        <f>(H15+H29+H41+H51+H60+H69+H82+H94+H108+H115)/12</f>
        <v>216.10816162181291</v>
      </c>
    </row>
    <row r="119" spans="1:8" x14ac:dyDescent="0.4">
      <c r="A119" s="99" t="s">
        <v>191</v>
      </c>
    </row>
    <row r="120" spans="1:8" x14ac:dyDescent="0.4">
      <c r="A120" s="99" t="s">
        <v>192</v>
      </c>
    </row>
  </sheetData>
  <mergeCells count="5">
    <mergeCell ref="A1:H1"/>
    <mergeCell ref="A2:H2"/>
    <mergeCell ref="A4:H4"/>
    <mergeCell ref="A5:H5"/>
    <mergeCell ref="A3:H3"/>
  </mergeCells>
  <phoneticPr fontId="0" type="noConversion"/>
  <pageMargins left="0.31" right="0" top="1" bottom="0" header="0.53" footer="0.5"/>
  <pageSetup paperSize="5" orientation="landscape" r:id="rId1"/>
  <headerFooter alignWithMargins="0"/>
  <rowBreaks count="9" manualBreakCount="9">
    <brk id="16" max="16383" man="1"/>
    <brk id="30" max="16383" man="1"/>
    <brk id="42" max="16383" man="1"/>
    <brk id="52" max="16383" man="1"/>
    <brk id="61" max="16383" man="1"/>
    <brk id="70" max="16383" man="1"/>
    <brk id="83" max="16383" man="1"/>
    <brk id="95" max="16383" man="1"/>
    <brk id="109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zoomScaleNormal="100" workbookViewId="0">
      <selection activeCell="C31" sqref="C31"/>
    </sheetView>
  </sheetViews>
  <sheetFormatPr defaultRowHeight="12.75" x14ac:dyDescent="0.2"/>
  <cols>
    <col min="1" max="1" width="15.7109375" customWidth="1"/>
    <col min="2" max="2" width="18.42578125" bestFit="1" customWidth="1"/>
    <col min="3" max="3" width="15.7109375" customWidth="1"/>
    <col min="4" max="4" width="26.7109375" customWidth="1"/>
    <col min="5" max="6" width="15.7109375" customWidth="1"/>
  </cols>
  <sheetData>
    <row r="1" spans="1:9" s="1" customFormat="1" ht="22.5" x14ac:dyDescent="0.45">
      <c r="A1" s="369" t="s">
        <v>10</v>
      </c>
      <c r="B1" s="369"/>
      <c r="C1" s="369"/>
      <c r="D1" s="369"/>
      <c r="E1" s="369"/>
      <c r="F1" s="370"/>
      <c r="G1" s="59"/>
      <c r="H1" s="18"/>
      <c r="I1" s="18"/>
    </row>
    <row r="2" spans="1:9" s="1" customFormat="1" ht="22.5" x14ac:dyDescent="0.45">
      <c r="A2" s="369" t="s">
        <v>71</v>
      </c>
      <c r="B2" s="369"/>
      <c r="C2" s="369"/>
      <c r="D2" s="369"/>
      <c r="E2" s="369"/>
      <c r="F2" s="370"/>
      <c r="G2" s="59"/>
      <c r="H2" s="18"/>
      <c r="I2" s="18"/>
    </row>
    <row r="3" spans="1:9" s="1" customFormat="1" ht="22.5" x14ac:dyDescent="0.45">
      <c r="A3" s="369" t="s">
        <v>106</v>
      </c>
      <c r="B3" s="369"/>
      <c r="C3" s="369"/>
      <c r="D3" s="369"/>
      <c r="E3" s="369"/>
      <c r="F3" s="370"/>
      <c r="G3" s="59"/>
      <c r="H3" s="18"/>
      <c r="I3" s="18"/>
    </row>
    <row r="4" spans="1:9" s="1" customFormat="1" ht="22.5" x14ac:dyDescent="0.45">
      <c r="A4" s="369" t="s">
        <v>107</v>
      </c>
      <c r="B4" s="371"/>
      <c r="C4" s="371"/>
      <c r="D4" s="371"/>
      <c r="E4" s="371"/>
      <c r="F4" s="371"/>
      <c r="G4" s="59"/>
      <c r="H4" s="18"/>
      <c r="I4" s="18"/>
    </row>
    <row r="5" spans="1:9" s="1" customFormat="1" ht="22.5" x14ac:dyDescent="0.45">
      <c r="A5" s="369" t="s">
        <v>108</v>
      </c>
      <c r="B5" s="371"/>
      <c r="C5" s="371"/>
      <c r="D5" s="371"/>
      <c r="E5" s="371"/>
      <c r="F5" s="371"/>
      <c r="G5" s="59"/>
      <c r="H5" s="18"/>
      <c r="I5" s="18"/>
    </row>
    <row r="6" spans="1:9" s="1" customFormat="1" ht="23.25" thickBot="1" x14ac:dyDescent="0.5">
      <c r="A6" s="367" t="s">
        <v>152</v>
      </c>
      <c r="B6" s="368"/>
      <c r="C6" s="368"/>
      <c r="D6" s="368"/>
      <c r="E6" s="368"/>
      <c r="F6" s="368"/>
      <c r="G6" s="59"/>
      <c r="H6" s="18"/>
      <c r="I6" s="18"/>
    </row>
    <row r="7" spans="1:9" s="1" customFormat="1" ht="21" thickBot="1" x14ac:dyDescent="0.45">
      <c r="A7" s="60"/>
      <c r="B7" s="60"/>
      <c r="C7" s="60"/>
      <c r="D7" s="60"/>
      <c r="E7" s="238" t="s">
        <v>111</v>
      </c>
      <c r="F7" s="239"/>
      <c r="G7" s="59"/>
      <c r="H7" s="18"/>
      <c r="I7" s="18"/>
    </row>
    <row r="8" spans="1:9" s="1" customFormat="1" ht="21" thickBot="1" x14ac:dyDescent="0.45">
      <c r="A8" s="240" t="s">
        <v>109</v>
      </c>
      <c r="B8" s="241" t="s">
        <v>75</v>
      </c>
      <c r="C8" s="240" t="s">
        <v>76</v>
      </c>
      <c r="D8" s="242" t="s">
        <v>110</v>
      </c>
      <c r="E8" s="240" t="s">
        <v>75</v>
      </c>
      <c r="F8" s="240" t="s">
        <v>76</v>
      </c>
      <c r="G8" s="59"/>
      <c r="H8" s="18"/>
      <c r="I8" s="18"/>
    </row>
    <row r="9" spans="1:9" ht="20.25" thickBot="1" x14ac:dyDescent="0.45">
      <c r="A9" s="90" t="s">
        <v>143</v>
      </c>
      <c r="B9" s="92">
        <v>501261</v>
      </c>
      <c r="C9" s="92">
        <f>'Oct 07'!$C$117</f>
        <v>1089238</v>
      </c>
      <c r="D9" s="100">
        <f>'Oct 07'!$D$117</f>
        <v>115173540</v>
      </c>
      <c r="E9" s="93">
        <f t="shared" ref="E9:E20" si="0">D9/B9</f>
        <v>229.76760609742229</v>
      </c>
      <c r="F9" s="93">
        <f t="shared" ref="F9:F14" si="1">D9/C9</f>
        <v>105.73771756034952</v>
      </c>
      <c r="G9" s="61"/>
    </row>
    <row r="10" spans="1:9" ht="20.25" thickBot="1" x14ac:dyDescent="0.45">
      <c r="A10" s="90" t="s">
        <v>144</v>
      </c>
      <c r="B10" s="92">
        <f>'Nov 07'!$B$117</f>
        <v>505712</v>
      </c>
      <c r="C10" s="92">
        <f>'Nov 07'!$C$117</f>
        <v>1098668</v>
      </c>
      <c r="D10" s="100">
        <f>'Nov 07'!$D$117</f>
        <v>133195796</v>
      </c>
      <c r="E10" s="94">
        <f t="shared" si="0"/>
        <v>263.3827079444427</v>
      </c>
      <c r="F10" s="94">
        <f t="shared" si="1"/>
        <v>121.23389049285134</v>
      </c>
      <c r="G10" s="61"/>
    </row>
    <row r="11" spans="1:9" ht="20.25" thickBot="1" x14ac:dyDescent="0.45">
      <c r="A11" s="90" t="s">
        <v>105</v>
      </c>
      <c r="B11" s="92">
        <f>'Dic 07'!$B$117</f>
        <v>507602</v>
      </c>
      <c r="C11" s="92">
        <f>'Dic 07'!$C$117</f>
        <v>1101994</v>
      </c>
      <c r="D11" s="100">
        <f>'Dic 07'!$D$117</f>
        <v>125062587</v>
      </c>
      <c r="E11" s="94">
        <f t="shared" si="0"/>
        <v>246.37922427413605</v>
      </c>
      <c r="F11" s="94">
        <f t="shared" si="1"/>
        <v>113.4875389521177</v>
      </c>
      <c r="G11" s="61"/>
    </row>
    <row r="12" spans="1:9" ht="20.25" thickBot="1" x14ac:dyDescent="0.45">
      <c r="A12" s="90" t="s">
        <v>103</v>
      </c>
      <c r="B12" s="92">
        <f>'Enero 08'!$B$117</f>
        <v>507542</v>
      </c>
      <c r="C12" s="92">
        <f>'Enero 08'!$C$117</f>
        <v>1100574</v>
      </c>
      <c r="D12" s="100">
        <f>'Enero 08'!$D$117</f>
        <v>124905125</v>
      </c>
      <c r="E12" s="94">
        <f t="shared" si="0"/>
        <v>246.09810616658325</v>
      </c>
      <c r="F12" s="94">
        <f t="shared" si="1"/>
        <v>113.49089202543401</v>
      </c>
      <c r="G12" s="61"/>
    </row>
    <row r="13" spans="1:9" ht="20.25" thickBot="1" x14ac:dyDescent="0.45">
      <c r="A13" s="90" t="s">
        <v>104</v>
      </c>
      <c r="B13" s="92">
        <f>'Febrero 08'!$B$117</f>
        <v>509813</v>
      </c>
      <c r="C13" s="92">
        <f>'Febrero 08'!$C$117</f>
        <v>1104124</v>
      </c>
      <c r="D13" s="100">
        <f>'Febrero 08'!$D$117</f>
        <v>125279978</v>
      </c>
      <c r="E13" s="94">
        <f t="shared" si="0"/>
        <v>245.73711929668329</v>
      </c>
      <c r="F13" s="94">
        <f t="shared" si="1"/>
        <v>113.46549662900182</v>
      </c>
      <c r="G13" s="61"/>
    </row>
    <row r="14" spans="1:9" ht="20.25" thickBot="1" x14ac:dyDescent="0.45">
      <c r="A14" s="90" t="s">
        <v>145</v>
      </c>
      <c r="B14" s="92">
        <v>513023</v>
      </c>
      <c r="C14" s="92">
        <v>1109677</v>
      </c>
      <c r="D14" s="100">
        <v>124615062</v>
      </c>
      <c r="E14" s="94">
        <f t="shared" si="0"/>
        <v>242.90346046863397</v>
      </c>
      <c r="F14" s="94">
        <f t="shared" si="1"/>
        <v>112.29849947327016</v>
      </c>
      <c r="G14" s="61"/>
    </row>
    <row r="15" spans="1:9" s="96" customFormat="1" ht="20.25" thickBot="1" x14ac:dyDescent="0.45">
      <c r="A15" s="90" t="s">
        <v>146</v>
      </c>
      <c r="B15" s="92">
        <v>516246</v>
      </c>
      <c r="C15" s="92">
        <v>1115338</v>
      </c>
      <c r="D15" s="100">
        <v>124969406</v>
      </c>
      <c r="E15" s="94">
        <f t="shared" si="0"/>
        <v>242.07336424882712</v>
      </c>
      <c r="F15" s="94">
        <f t="shared" ref="F15:F20" si="2">SUM(D15/C15)</f>
        <v>112.046219173022</v>
      </c>
      <c r="G15" s="95"/>
    </row>
    <row r="16" spans="1:9" ht="20.25" thickBot="1" x14ac:dyDescent="0.45">
      <c r="A16" s="91" t="s">
        <v>147</v>
      </c>
      <c r="B16" s="92">
        <v>519659</v>
      </c>
      <c r="C16" s="92">
        <v>1120525</v>
      </c>
      <c r="D16" s="93">
        <v>124544161</v>
      </c>
      <c r="E16" s="94">
        <f t="shared" si="0"/>
        <v>239.66516696525991</v>
      </c>
      <c r="F16" s="94">
        <f t="shared" si="2"/>
        <v>111.14804310479462</v>
      </c>
      <c r="G16" s="61"/>
    </row>
    <row r="17" spans="1:7" ht="20.25" thickBot="1" x14ac:dyDescent="0.45">
      <c r="A17" s="90" t="s">
        <v>148</v>
      </c>
      <c r="B17" s="92">
        <v>521548</v>
      </c>
      <c r="C17" s="92">
        <v>1122750</v>
      </c>
      <c r="D17" s="100">
        <v>126644093</v>
      </c>
      <c r="E17" s="94">
        <f t="shared" si="0"/>
        <v>242.8234659130128</v>
      </c>
      <c r="F17" s="94">
        <f t="shared" si="2"/>
        <v>112.79812335782677</v>
      </c>
      <c r="G17" s="61"/>
    </row>
    <row r="18" spans="1:7" ht="20.25" thickBot="1" x14ac:dyDescent="0.45">
      <c r="A18" s="90" t="s">
        <v>149</v>
      </c>
      <c r="B18" s="92">
        <v>523525</v>
      </c>
      <c r="C18" s="92">
        <v>1125483</v>
      </c>
      <c r="D18" s="100">
        <v>130705315</v>
      </c>
      <c r="E18" s="94">
        <f t="shared" si="0"/>
        <v>249.66394155006924</v>
      </c>
      <c r="F18" s="280">
        <f t="shared" si="2"/>
        <v>116.13264260766266</v>
      </c>
      <c r="G18" s="61"/>
    </row>
    <row r="19" spans="1:7" ht="20.25" thickBot="1" x14ac:dyDescent="0.45">
      <c r="A19" s="90" t="s">
        <v>150</v>
      </c>
      <c r="B19" s="92">
        <f>'Agosto 08'!B118</f>
        <v>526613</v>
      </c>
      <c r="C19" s="92">
        <f>'Agosto 08'!C118</f>
        <v>1210967</v>
      </c>
      <c r="D19" s="100">
        <f>'Agosto 08'!D118</f>
        <v>127409327</v>
      </c>
      <c r="E19" s="94">
        <f t="shared" si="0"/>
        <v>241.94109716243238</v>
      </c>
      <c r="F19" s="280">
        <f t="shared" si="2"/>
        <v>105.21288111071566</v>
      </c>
      <c r="G19" s="61"/>
    </row>
    <row r="20" spans="1:7" ht="20.25" thickBot="1" x14ac:dyDescent="0.45">
      <c r="A20" s="90" t="s">
        <v>151</v>
      </c>
      <c r="B20" s="92">
        <f>'Sept 08'!B119</f>
        <v>545659</v>
      </c>
      <c r="C20" s="92">
        <f>'Sept 08'!C119</f>
        <v>1171601</v>
      </c>
      <c r="D20" s="100">
        <f>'Sept 08'!D119</f>
        <v>154317028</v>
      </c>
      <c r="E20" s="94">
        <f t="shared" si="0"/>
        <v>282.80854526361702</v>
      </c>
      <c r="F20" s="280">
        <f t="shared" si="2"/>
        <v>131.71466053716239</v>
      </c>
      <c r="G20" s="61"/>
    </row>
    <row r="21" spans="1:7" ht="20.25" thickBot="1" x14ac:dyDescent="0.45">
      <c r="A21" s="243" t="s">
        <v>85</v>
      </c>
      <c r="B21" s="244">
        <f>SUM(B9:B20)/12</f>
        <v>516516.91666666669</v>
      </c>
      <c r="C21" s="245">
        <f>SUM(C9:C20)/12</f>
        <v>1122578.25</v>
      </c>
      <c r="D21" s="246">
        <f>SUM(D9:D20)</f>
        <v>1536821418</v>
      </c>
      <c r="E21" s="247">
        <f>SUM(E9:E20)/12</f>
        <v>247.77031711259335</v>
      </c>
      <c r="F21" s="247">
        <f>SUM(F9:F20)/12</f>
        <v>114.06388375201739</v>
      </c>
      <c r="G21" s="61"/>
    </row>
    <row r="22" spans="1:7" ht="19.5" x14ac:dyDescent="0.4">
      <c r="A22" s="88" t="s">
        <v>170</v>
      </c>
      <c r="B22" s="89"/>
      <c r="C22" s="89"/>
    </row>
    <row r="23" spans="1:7" s="87" customFormat="1" ht="22.5" x14ac:dyDescent="0.45">
      <c r="A23" s="88" t="s">
        <v>219</v>
      </c>
      <c r="B23"/>
      <c r="C23"/>
      <c r="D23"/>
      <c r="E23"/>
      <c r="F23" s="293"/>
    </row>
    <row r="24" spans="1:7" ht="22.5" x14ac:dyDescent="0.45">
      <c r="A24" s="87"/>
      <c r="B24" s="87"/>
      <c r="C24" s="87"/>
    </row>
  </sheetData>
  <mergeCells count="6">
    <mergeCell ref="A6:F6"/>
    <mergeCell ref="A1:F1"/>
    <mergeCell ref="A2:F2"/>
    <mergeCell ref="A3:F3"/>
    <mergeCell ref="A5:F5"/>
    <mergeCell ref="A4:F4"/>
  </mergeCells>
  <phoneticPr fontId="0" type="noConversion"/>
  <printOptions horizontalCentered="1"/>
  <pageMargins left="0.75" right="0.75" top="1" bottom="1" header="0.5" footer="0.5"/>
  <pageSetup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0"/>
  <sheetViews>
    <sheetView zoomScaleNormal="100" workbookViewId="0">
      <selection activeCell="G10" sqref="G10"/>
    </sheetView>
  </sheetViews>
  <sheetFormatPr defaultRowHeight="12.75" x14ac:dyDescent="0.2"/>
  <cols>
    <col min="2" max="2" width="11.7109375" customWidth="1"/>
    <col min="3" max="3" width="16.28515625" customWidth="1"/>
    <col min="4" max="4" width="18.5703125" bestFit="1" customWidth="1"/>
    <col min="5" max="5" width="19.28515625" bestFit="1" customWidth="1"/>
    <col min="6" max="6" width="9.7109375" bestFit="1" customWidth="1"/>
    <col min="7" max="7" width="17.42578125" bestFit="1" customWidth="1"/>
    <col min="8" max="8" width="19.28515625" bestFit="1" customWidth="1"/>
    <col min="9" max="9" width="20" bestFit="1" customWidth="1"/>
    <col min="11" max="11" width="7.140625" customWidth="1"/>
    <col min="12" max="12" width="8.7109375" customWidth="1"/>
    <col min="13" max="13" width="12.140625" customWidth="1"/>
    <col min="15" max="15" width="7.5703125" customWidth="1"/>
    <col min="16" max="16" width="8.28515625" customWidth="1"/>
    <col min="17" max="17" width="10.42578125" customWidth="1"/>
  </cols>
  <sheetData>
    <row r="2" spans="2:10" x14ac:dyDescent="0.2">
      <c r="B2" t="s">
        <v>178</v>
      </c>
    </row>
    <row r="3" spans="2:10" x14ac:dyDescent="0.2">
      <c r="B3" t="s">
        <v>112</v>
      </c>
    </row>
    <row r="4" spans="2:10" ht="12.75" customHeight="1" x14ac:dyDescent="0.2">
      <c r="C4" s="292" t="s">
        <v>174</v>
      </c>
      <c r="D4" s="292"/>
      <c r="E4" s="292"/>
      <c r="G4" s="372" t="s">
        <v>175</v>
      </c>
      <c r="H4" s="372"/>
      <c r="I4" s="372"/>
    </row>
    <row r="5" spans="2:10" x14ac:dyDescent="0.2">
      <c r="C5" t="s">
        <v>179</v>
      </c>
      <c r="D5" t="s">
        <v>183</v>
      </c>
      <c r="E5" t="s">
        <v>184</v>
      </c>
      <c r="G5" t="s">
        <v>180</v>
      </c>
      <c r="H5" t="s">
        <v>185</v>
      </c>
      <c r="I5" t="s">
        <v>186</v>
      </c>
    </row>
    <row r="6" spans="2:10" ht="15" x14ac:dyDescent="0.25">
      <c r="B6" t="s">
        <v>0</v>
      </c>
      <c r="C6" s="287">
        <f>'Trimestre Oct - Dic'!B15</f>
        <v>41780</v>
      </c>
      <c r="D6" s="290">
        <f>'Trimestre Oct - Dic'!C15</f>
        <v>90075</v>
      </c>
      <c r="E6" s="290">
        <f>'Trimestre Oct - Dic'!D15</f>
        <v>30737217</v>
      </c>
      <c r="F6" s="287"/>
      <c r="G6" s="291">
        <f>'Trimestre ene - mar'!B15</f>
        <v>42161</v>
      </c>
      <c r="H6" s="291">
        <f>'Trimestre ene - mar'!C15</f>
        <v>90757.666666666672</v>
      </c>
      <c r="I6" s="291">
        <f>'Trimestre ene - mar'!D15</f>
        <v>30868842</v>
      </c>
      <c r="J6" s="288"/>
    </row>
    <row r="7" spans="2:10" ht="15" x14ac:dyDescent="0.25">
      <c r="B7" t="s">
        <v>1</v>
      </c>
      <c r="C7" s="289">
        <f>'Trimestre Oct - Dic'!B29</f>
        <v>70795.666666666672</v>
      </c>
      <c r="D7" s="289">
        <f>'Trimestre Oct - Dic'!C29</f>
        <v>153115.99999999997</v>
      </c>
      <c r="E7" s="289">
        <f>'Trimestre Oct - Dic'!D29</f>
        <v>52355118</v>
      </c>
      <c r="F7" s="287"/>
      <c r="G7" s="291">
        <f>'Trimestre ene - mar'!B29</f>
        <v>71549.333333333328</v>
      </c>
      <c r="H7" s="291">
        <f>'Trimestre ene - mar'!C29</f>
        <v>154290</v>
      </c>
      <c r="I7" s="291">
        <f>'Trimestre ene - mar'!D29</f>
        <v>52575247</v>
      </c>
      <c r="J7" s="288"/>
    </row>
    <row r="8" spans="2:10" ht="15" x14ac:dyDescent="0.25">
      <c r="B8" t="s">
        <v>171</v>
      </c>
      <c r="C8" s="289">
        <f>'Trimestre Oct - Dic'!B41</f>
        <v>69549.333333333328</v>
      </c>
      <c r="D8" s="289">
        <f>'Trimestre Oct - Dic'!C41</f>
        <v>152598.33333333334</v>
      </c>
      <c r="E8" s="289">
        <f>'Trimestre Oct - Dic'!D41</f>
        <v>51806462</v>
      </c>
      <c r="F8" s="287"/>
      <c r="G8" s="291">
        <f>'Trimestre ene - mar'!B41</f>
        <v>70585.333333333328</v>
      </c>
      <c r="H8" s="291">
        <f>'Trimestre ene - mar'!C41</f>
        <v>154462.33333333337</v>
      </c>
      <c r="I8" s="291">
        <f>'Trimestre ene - mar'!D41</f>
        <v>52226994</v>
      </c>
      <c r="J8" s="288"/>
    </row>
    <row r="9" spans="2:10" ht="15" x14ac:dyDescent="0.25">
      <c r="B9" t="s">
        <v>3</v>
      </c>
      <c r="C9" s="289">
        <f>'Trimestre Oct - Dic'!B51</f>
        <v>45392</v>
      </c>
      <c r="D9" s="289">
        <f>'Trimestre Oct - Dic'!C51</f>
        <v>96903.333333333314</v>
      </c>
      <c r="E9" s="289">
        <f>'Trimestre Oct - Dic'!D51</f>
        <v>33023022</v>
      </c>
      <c r="F9" s="287"/>
      <c r="G9" s="291">
        <f>'Trimestre ene - mar'!B51</f>
        <v>46224.666666666672</v>
      </c>
      <c r="H9" s="291">
        <f>'Trimestre ene - mar'!C51</f>
        <v>98550</v>
      </c>
      <c r="I9" s="291">
        <f>'Trimestre ene - mar'!D51</f>
        <v>33385398</v>
      </c>
      <c r="J9" s="288"/>
    </row>
    <row r="10" spans="2:10" ht="15" x14ac:dyDescent="0.25">
      <c r="B10" t="s">
        <v>4</v>
      </c>
      <c r="C10" s="289">
        <f>'Trimestre Oct - Dic'!B60</f>
        <v>41406.333333333328</v>
      </c>
      <c r="D10" s="289">
        <f>'Trimestre Oct - Dic'!C60</f>
        <v>89926.333333333328</v>
      </c>
      <c r="E10" s="289">
        <f>'Trimestre Oct - Dic'!D60</f>
        <v>30503506</v>
      </c>
      <c r="F10" s="287"/>
      <c r="G10" s="291">
        <f>'Trimestre ene - mar'!B60</f>
        <v>41885.666666666672</v>
      </c>
      <c r="H10" s="291">
        <f>'Trimestre ene - mar'!C60</f>
        <v>90683.666666666672</v>
      </c>
      <c r="I10" s="291">
        <f>'Trimestre ene - mar'!D60</f>
        <v>30639131</v>
      </c>
      <c r="J10" s="288"/>
    </row>
    <row r="11" spans="2:10" ht="15" x14ac:dyDescent="0.25">
      <c r="B11" t="s">
        <v>5</v>
      </c>
      <c r="C11" s="289">
        <f>'Trimestre Oct - Dic'!B69</f>
        <v>26650</v>
      </c>
      <c r="D11" s="289">
        <f>'Trimestre Oct - Dic'!C69</f>
        <v>56766.333333333336</v>
      </c>
      <c r="E11" s="289">
        <f>'Trimestre Oct - Dic'!D69</f>
        <v>19240236</v>
      </c>
      <c r="F11" s="287"/>
      <c r="G11" s="291">
        <f>'Trimestre ene - mar'!B69</f>
        <v>26694.000000000004</v>
      </c>
      <c r="H11" s="291">
        <f>'Trimestre ene - mar'!C69</f>
        <v>56606.666666666672</v>
      </c>
      <c r="I11" s="291">
        <f>'Trimestre ene - mar'!D69</f>
        <v>19130539</v>
      </c>
      <c r="J11" s="288"/>
    </row>
    <row r="12" spans="2:10" ht="15" x14ac:dyDescent="0.25">
      <c r="B12" t="s">
        <v>6</v>
      </c>
      <c r="C12" s="289">
        <f>'Trimestre Oct - Dic'!B82</f>
        <v>43979.333333333343</v>
      </c>
      <c r="D12" s="289">
        <f>'Trimestre Oct - Dic'!C82</f>
        <v>92248.333333333328</v>
      </c>
      <c r="E12" s="289">
        <f>'Trimestre Oct - Dic'!D82</f>
        <v>31549946</v>
      </c>
      <c r="F12" s="287"/>
      <c r="G12" s="291">
        <f>'Trimestre ene - mar'!B82</f>
        <v>44501.999999999993</v>
      </c>
      <c r="H12" s="291">
        <f>'Trimestre ene - mar'!C82</f>
        <v>92981.333333333343</v>
      </c>
      <c r="I12" s="291">
        <f>'Trimestre ene - mar'!D82</f>
        <v>31692147</v>
      </c>
      <c r="J12" s="288"/>
    </row>
    <row r="13" spans="2:10" ht="15" x14ac:dyDescent="0.25">
      <c r="B13" t="s">
        <v>172</v>
      </c>
      <c r="C13" s="289">
        <f>'Trimestre Oct - Dic'!B94</f>
        <v>42440.666666666672</v>
      </c>
      <c r="D13" s="289">
        <f>'Trimestre Oct - Dic'!C94</f>
        <v>89681</v>
      </c>
      <c r="E13" s="289">
        <f>'Trimestre Oct - Dic'!D94</f>
        <v>30554579</v>
      </c>
      <c r="F13" s="287"/>
      <c r="G13" s="291">
        <f>'Trimestre ene - mar'!B94</f>
        <v>42683</v>
      </c>
      <c r="H13" s="291">
        <f>'Trimestre ene - mar'!C94</f>
        <v>89970.666666666657</v>
      </c>
      <c r="I13" s="291">
        <f>'Trimestre ene - mar'!D94</f>
        <v>30534196</v>
      </c>
      <c r="J13" s="288"/>
    </row>
    <row r="14" spans="2:10" ht="15" x14ac:dyDescent="0.25">
      <c r="B14" t="s">
        <v>8</v>
      </c>
      <c r="C14" s="289">
        <f>'Trimestre Oct - Dic'!B108</f>
        <v>74817.333333333328</v>
      </c>
      <c r="D14" s="289">
        <f>'Trimestre Oct - Dic'!C108</f>
        <v>172679</v>
      </c>
      <c r="E14" s="289">
        <f>'Trimestre Oct - Dic'!D108</f>
        <v>58404908</v>
      </c>
      <c r="F14" s="287"/>
      <c r="G14" s="291">
        <f>'Trimestre ene - mar'!B108</f>
        <v>75265.333333333343</v>
      </c>
      <c r="H14" s="291">
        <f>'Trimestre ene - mar'!C108</f>
        <v>173329.33333333334</v>
      </c>
      <c r="I14" s="291">
        <f>'Trimestre ene - mar'!D108</f>
        <v>58418882</v>
      </c>
      <c r="J14" s="288"/>
    </row>
    <row r="15" spans="2:10" ht="15" x14ac:dyDescent="0.25">
      <c r="B15" t="s">
        <v>9</v>
      </c>
      <c r="C15" s="289">
        <f>'Trimestre Oct - Dic'!B115</f>
        <v>48047.666666666664</v>
      </c>
      <c r="D15" s="289">
        <f>'Trimestre Oct - Dic'!C115</f>
        <v>102639.66666666666</v>
      </c>
      <c r="E15" s="289">
        <f>'Trimestre Oct - Dic'!D115</f>
        <v>35256929</v>
      </c>
      <c r="F15" s="287"/>
      <c r="G15" s="291">
        <f>'Trimestre ene - mar'!B115</f>
        <v>48575.666666666664</v>
      </c>
      <c r="H15" s="291">
        <f>'Trimestre ene - mar'!C115</f>
        <v>103160.00000000001</v>
      </c>
      <c r="I15" s="291">
        <f>'Trimestre ene - mar'!D115</f>
        <v>35328789</v>
      </c>
      <c r="J15" s="288"/>
    </row>
    <row r="16" spans="2:10" x14ac:dyDescent="0.2">
      <c r="B16" s="351" t="s">
        <v>173</v>
      </c>
      <c r="C16" s="349">
        <f>AVERAGE(C6:C15)</f>
        <v>50485.833333333328</v>
      </c>
      <c r="D16" s="349">
        <f>AVERAGE(D6:D15)</f>
        <v>109663.33333333334</v>
      </c>
      <c r="E16" s="349">
        <f>AVERAGE(E6:E15)</f>
        <v>37343192.299999997</v>
      </c>
      <c r="F16" s="288"/>
      <c r="G16" s="350">
        <f>AVERAGE(G6:G15)</f>
        <v>51012.600000000006</v>
      </c>
      <c r="H16" s="350">
        <f>AVERAGE(H6:H15)</f>
        <v>110479.16666666667</v>
      </c>
      <c r="I16" s="350">
        <f>AVERAGE(I6:I15)</f>
        <v>37480016.5</v>
      </c>
      <c r="J16" s="288"/>
    </row>
    <row r="18" spans="2:9" x14ac:dyDescent="0.2">
      <c r="C18" s="372" t="s">
        <v>176</v>
      </c>
      <c r="D18" s="372"/>
      <c r="E18" s="372"/>
      <c r="G18" s="372" t="s">
        <v>177</v>
      </c>
      <c r="H18" s="372"/>
      <c r="I18" s="372"/>
    </row>
    <row r="19" spans="2:9" x14ac:dyDescent="0.2">
      <c r="C19" t="s">
        <v>181</v>
      </c>
      <c r="D19" t="s">
        <v>187</v>
      </c>
      <c r="E19" t="s">
        <v>188</v>
      </c>
      <c r="G19" t="s">
        <v>182</v>
      </c>
      <c r="H19" t="s">
        <v>189</v>
      </c>
      <c r="I19" t="s">
        <v>190</v>
      </c>
    </row>
    <row r="20" spans="2:9" x14ac:dyDescent="0.2">
      <c r="B20" t="s">
        <v>0</v>
      </c>
      <c r="C20" s="291">
        <f>'Trimestre abr - junio'!B15</f>
        <v>42897.666666666664</v>
      </c>
      <c r="D20" s="291">
        <f>'Trimestre abr - junio'!C15</f>
        <v>90664.666666666672</v>
      </c>
      <c r="E20" s="291">
        <f>'Trimestre abr - junio'!D15</f>
        <v>30984786</v>
      </c>
      <c r="F20" s="288"/>
      <c r="G20" s="291">
        <f>'Trimestre julio - sept'!B15</f>
        <v>43327</v>
      </c>
      <c r="H20" s="291">
        <f>'Trimestre julio - sept'!C15</f>
        <v>92670.333333333343</v>
      </c>
      <c r="I20" s="291">
        <f>'Trimestre julio - sept'!D15</f>
        <v>33574054</v>
      </c>
    </row>
    <row r="21" spans="2:9" x14ac:dyDescent="0.2">
      <c r="B21" t="s">
        <v>1</v>
      </c>
      <c r="C21" s="291">
        <f>'Trimestre abr - junio'!B29</f>
        <v>72506.666666666672</v>
      </c>
      <c r="D21" s="291">
        <f>'Trimestre abr - junio'!C29</f>
        <v>155597.33333333334</v>
      </c>
      <c r="E21" s="291">
        <f>'Trimestre abr - junio'!D29</f>
        <v>52561332</v>
      </c>
      <c r="F21" s="288"/>
      <c r="G21" s="291">
        <f>'Trimestre julio - sept'!B29</f>
        <v>73182</v>
      </c>
      <c r="H21" s="291">
        <f>'Trimestre julio - sept'!C29</f>
        <v>164882.66666666666</v>
      </c>
      <c r="I21" s="291">
        <f>'Trimestre julio - sept'!D29</f>
        <v>56923007</v>
      </c>
    </row>
    <row r="22" spans="2:9" x14ac:dyDescent="0.2">
      <c r="B22" t="s">
        <v>171</v>
      </c>
      <c r="C22" s="291">
        <f>'Trimestre abr - junio'!B41</f>
        <v>72435.333333333328</v>
      </c>
      <c r="D22" s="291">
        <f>'Trimestre abr - junio'!C41</f>
        <v>157632.00000000003</v>
      </c>
      <c r="E22" s="291">
        <f>'Trimestre abr - junio'!D41</f>
        <v>52797667</v>
      </c>
      <c r="F22" s="288"/>
      <c r="G22" s="291">
        <f>'Trimestre julio - sept'!B41</f>
        <v>70495</v>
      </c>
      <c r="H22" s="291">
        <f>'Trimestre julio - sept'!C41</f>
        <v>153786.33333333334</v>
      </c>
      <c r="I22" s="291">
        <f>'Trimestre julio - sept'!D41</f>
        <v>54806204</v>
      </c>
    </row>
    <row r="23" spans="2:9" x14ac:dyDescent="0.2">
      <c r="B23" t="s">
        <v>3</v>
      </c>
      <c r="C23" s="291">
        <f>'Trimestre abr - junio'!B51</f>
        <v>47432</v>
      </c>
      <c r="D23" s="291">
        <f>'Trimestre abr - junio'!C51</f>
        <v>100643.33333333333</v>
      </c>
      <c r="E23" s="291">
        <f>'Trimestre abr - junio'!D51</f>
        <v>33737580</v>
      </c>
      <c r="F23" s="288"/>
      <c r="G23" s="291">
        <f>'Trimestre julio - sept'!B51</f>
        <v>48164</v>
      </c>
      <c r="H23" s="291">
        <f>'Trimestre julio - sept'!C51</f>
        <v>101749</v>
      </c>
      <c r="I23" s="291">
        <f>'Trimestre julio - sept'!D51</f>
        <v>36754175</v>
      </c>
    </row>
    <row r="24" spans="2:9" x14ac:dyDescent="0.2">
      <c r="B24" t="s">
        <v>4</v>
      </c>
      <c r="C24" s="291">
        <f>'Trimestre abr - junio'!B60</f>
        <v>42701.666666666672</v>
      </c>
      <c r="D24" s="291">
        <f>'Trimestre abr - junio'!C60</f>
        <v>92034.000000000015</v>
      </c>
      <c r="E24" s="291">
        <f>'Trimestre abr - junio'!D60</f>
        <v>30817856</v>
      </c>
      <c r="F24" s="288"/>
      <c r="G24" s="291">
        <f>'Trimestre julio - sept'!B60</f>
        <v>43284.333333333336</v>
      </c>
      <c r="H24" s="291">
        <f>'Trimestre julio - sept'!C60</f>
        <v>92923</v>
      </c>
      <c r="I24" s="291">
        <f>'Trimestre julio - sept'!D60</f>
        <v>33489272</v>
      </c>
    </row>
    <row r="25" spans="2:9" x14ac:dyDescent="0.2">
      <c r="B25" t="s">
        <v>5</v>
      </c>
      <c r="C25" s="291">
        <f>'Trimestre abr - junio'!B69</f>
        <v>27074.666666666664</v>
      </c>
      <c r="D25" s="291">
        <f>'Trimestre abr - junio'!C69</f>
        <v>57293.666666666672</v>
      </c>
      <c r="E25" s="291">
        <f>'Trimestre abr - junio'!D69</f>
        <v>19152749</v>
      </c>
      <c r="F25" s="288"/>
      <c r="G25" s="291">
        <f>'Trimestre julio - sept'!B69</f>
        <v>27360.333333333336</v>
      </c>
      <c r="H25" s="291">
        <f>'Trimestre julio - sept'!C69</f>
        <v>57601.999999999993</v>
      </c>
      <c r="I25" s="291">
        <f>'Trimestre julio - sept'!D69</f>
        <v>20703754</v>
      </c>
    </row>
    <row r="26" spans="2:9" x14ac:dyDescent="0.2">
      <c r="B26" t="s">
        <v>6</v>
      </c>
      <c r="C26" s="291">
        <f>'Trimestre abr - junio'!B82</f>
        <v>45245</v>
      </c>
      <c r="D26" s="291">
        <f>'Trimestre abr - junio'!C82</f>
        <v>94261</v>
      </c>
      <c r="E26" s="291">
        <f>'Trimestre abr - junio'!D82</f>
        <v>31806955</v>
      </c>
      <c r="F26" s="288"/>
      <c r="G26" s="291">
        <f>'Trimestre julio - sept'!B82</f>
        <v>21896.333333333332</v>
      </c>
      <c r="H26" s="291">
        <f>'Trimestre julio - sept'!C82</f>
        <v>45433.666666666664</v>
      </c>
      <c r="I26" s="291">
        <f>'Trimestre julio - sept'!D82</f>
        <v>16477973</v>
      </c>
    </row>
    <row r="27" spans="2:9" x14ac:dyDescent="0.2">
      <c r="B27" t="s">
        <v>172</v>
      </c>
      <c r="C27" s="291">
        <f>'Trimestre abr - junio'!B94</f>
        <v>43259.333333333328</v>
      </c>
      <c r="D27" s="291">
        <f>'Trimestre abr - junio'!C94</f>
        <v>91001.666666666672</v>
      </c>
      <c r="E27" s="291">
        <f>'Trimestre abr - junio'!D94</f>
        <v>30560267</v>
      </c>
      <c r="F27" s="288"/>
      <c r="G27" s="291">
        <f>'Trimestre julio - sept'!B94</f>
        <v>43633.333333333336</v>
      </c>
      <c r="H27" s="291">
        <f>'Trimestre julio - sept'!C94</f>
        <v>91484.333333333328</v>
      </c>
      <c r="I27" s="291">
        <f>'Trimestre julio - sept'!D94</f>
        <v>33070184</v>
      </c>
    </row>
    <row r="28" spans="2:9" x14ac:dyDescent="0.2">
      <c r="B28" t="s">
        <v>8</v>
      </c>
      <c r="C28" s="291">
        <f>'Trimestre abr - junio'!B108</f>
        <v>76215.333333333343</v>
      </c>
      <c r="D28" s="291">
        <f>'Trimestre abr - junio'!C108</f>
        <v>174779.33333333334</v>
      </c>
      <c r="E28" s="291">
        <f>'Trimestre abr - junio'!D108</f>
        <v>58358787</v>
      </c>
      <c r="F28" s="288"/>
      <c r="G28" s="291">
        <f>'Trimestre julio - sept'!B108</f>
        <v>82802.666666666672</v>
      </c>
      <c r="H28" s="291">
        <f>'Trimestre julio - sept'!C108</f>
        <v>206052.66666666666</v>
      </c>
      <c r="I28" s="291">
        <f>'Trimestre julio - sept'!D108</f>
        <v>68094826</v>
      </c>
    </row>
    <row r="29" spans="2:9" x14ac:dyDescent="0.2">
      <c r="B29" t="s">
        <v>9</v>
      </c>
      <c r="C29" s="291">
        <f>'Trimestre abr - junio'!B115</f>
        <v>49383.333333333336</v>
      </c>
      <c r="D29" s="291">
        <f>'Trimestre abr - junio'!C115</f>
        <v>104247.66666666667</v>
      </c>
      <c r="E29" s="291">
        <f>'Trimestre abr - junio'!D115</f>
        <v>35379681</v>
      </c>
      <c r="F29" s="288"/>
      <c r="G29" s="291">
        <f>'Trimestre julio - sept'!B115</f>
        <v>50253</v>
      </c>
      <c r="H29" s="291">
        <f>'Trimestre julio - sept'!C115</f>
        <v>105326.33333333333</v>
      </c>
      <c r="I29" s="291">
        <f>'Trimestre julio - sept'!D115</f>
        <v>37475719</v>
      </c>
    </row>
    <row r="30" spans="2:9" x14ac:dyDescent="0.2">
      <c r="B30" s="351" t="s">
        <v>173</v>
      </c>
      <c r="C30" s="350">
        <f>AVERAGE(C20:C29)</f>
        <v>51915.100000000006</v>
      </c>
      <c r="D30" s="350">
        <f>AVERAGE(D20:D29)</f>
        <v>111815.46666666667</v>
      </c>
      <c r="E30" s="350">
        <f>AVERAGE(E20:E29)</f>
        <v>37615766</v>
      </c>
      <c r="F30" s="352"/>
      <c r="G30" s="350">
        <f>AVERAGE(G20:G29)</f>
        <v>50439.799999999996</v>
      </c>
      <c r="H30" s="350">
        <f>AVERAGE(H20:H29)</f>
        <v>111191.03333333333</v>
      </c>
      <c r="I30" s="350">
        <f>AVERAGE(I20:I29)</f>
        <v>39136916.799999997</v>
      </c>
    </row>
  </sheetData>
  <mergeCells count="3">
    <mergeCell ref="G4:I4"/>
    <mergeCell ref="C18:E18"/>
    <mergeCell ref="G18:I18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7"/>
  <sheetViews>
    <sheetView zoomScale="75" workbookViewId="0">
      <pane ySplit="6" topLeftCell="A109" activePane="bottomLeft" state="frozen"/>
      <selection pane="bottomLeft" activeCell="C126" sqref="C126"/>
    </sheetView>
  </sheetViews>
  <sheetFormatPr defaultRowHeight="18.75" x14ac:dyDescent="0.3"/>
  <cols>
    <col min="1" max="1" width="23.42578125" style="150" customWidth="1"/>
    <col min="2" max="5" width="15.7109375" style="64" customWidth="1"/>
    <col min="6" max="6" width="9.140625" style="64"/>
    <col min="7" max="14" width="9.140625" style="18"/>
    <col min="15" max="16384" width="9.140625" style="1"/>
  </cols>
  <sheetData>
    <row r="1" spans="1:5" x14ac:dyDescent="0.3">
      <c r="A1" s="359" t="s">
        <v>10</v>
      </c>
      <c r="B1" s="359"/>
      <c r="C1" s="359"/>
      <c r="D1" s="359"/>
      <c r="E1" s="359"/>
    </row>
    <row r="2" spans="1:5" x14ac:dyDescent="0.3">
      <c r="A2" s="359" t="s">
        <v>71</v>
      </c>
      <c r="B2" s="359"/>
      <c r="C2" s="359"/>
      <c r="D2" s="359"/>
      <c r="E2" s="359"/>
    </row>
    <row r="3" spans="1:5" x14ac:dyDescent="0.3">
      <c r="A3" s="360" t="s">
        <v>112</v>
      </c>
      <c r="B3" s="360"/>
      <c r="C3" s="360"/>
      <c r="D3" s="360"/>
      <c r="E3" s="360"/>
    </row>
    <row r="4" spans="1:5" x14ac:dyDescent="0.3">
      <c r="A4" s="359" t="s">
        <v>141</v>
      </c>
      <c r="B4" s="359"/>
      <c r="C4" s="359"/>
      <c r="D4" s="359"/>
      <c r="E4" s="359"/>
    </row>
    <row r="5" spans="1:5" ht="19.5" thickBot="1" x14ac:dyDescent="0.35">
      <c r="A5" s="354"/>
      <c r="B5" s="358"/>
      <c r="C5" s="358"/>
      <c r="D5" s="358"/>
      <c r="E5" s="358"/>
    </row>
    <row r="6" spans="1:5" ht="57" thickBot="1" x14ac:dyDescent="0.35">
      <c r="A6" s="191"/>
      <c r="B6" s="136" t="s">
        <v>75</v>
      </c>
      <c r="C6" s="136" t="s">
        <v>76</v>
      </c>
      <c r="D6" s="136" t="s">
        <v>77</v>
      </c>
      <c r="E6" s="136" t="s">
        <v>78</v>
      </c>
    </row>
    <row r="7" spans="1:5" ht="21.75" customHeight="1" thickBot="1" x14ac:dyDescent="0.35">
      <c r="A7" s="135" t="s">
        <v>0</v>
      </c>
      <c r="B7" s="137"/>
      <c r="C7" s="137"/>
      <c r="D7" s="137"/>
      <c r="E7" s="138"/>
    </row>
    <row r="8" spans="1:5" x14ac:dyDescent="0.3">
      <c r="A8" s="151" t="s">
        <v>11</v>
      </c>
      <c r="B8" s="152">
        <v>5690</v>
      </c>
      <c r="C8" s="153">
        <v>13145</v>
      </c>
      <c r="D8" s="154">
        <v>1566981</v>
      </c>
      <c r="E8" s="155">
        <f>D8/B8</f>
        <v>275.39209138840073</v>
      </c>
    </row>
    <row r="9" spans="1:5" x14ac:dyDescent="0.3">
      <c r="A9" s="156" t="s">
        <v>124</v>
      </c>
      <c r="B9" s="157">
        <f>4728+4921</f>
        <v>9649</v>
      </c>
      <c r="C9" s="158">
        <f>9991+10127</f>
        <v>20118</v>
      </c>
      <c r="D9" s="157">
        <f>1219743+1247587</f>
        <v>2467330</v>
      </c>
      <c r="E9" s="155">
        <f t="shared" ref="E9:E14" si="0">D9/B9</f>
        <v>255.70836356099079</v>
      </c>
    </row>
    <row r="10" spans="1:5" x14ac:dyDescent="0.3">
      <c r="A10" s="156" t="s">
        <v>12</v>
      </c>
      <c r="B10" s="157">
        <v>6716</v>
      </c>
      <c r="C10" s="158">
        <v>14216</v>
      </c>
      <c r="D10" s="157">
        <v>1716472</v>
      </c>
      <c r="E10" s="155">
        <f t="shared" si="0"/>
        <v>255.57951161405597</v>
      </c>
    </row>
    <row r="11" spans="1:5" x14ac:dyDescent="0.3">
      <c r="A11" s="156" t="s">
        <v>13</v>
      </c>
      <c r="B11" s="157">
        <v>1705</v>
      </c>
      <c r="C11" s="158">
        <v>3760</v>
      </c>
      <c r="D11" s="157">
        <v>459890</v>
      </c>
      <c r="E11" s="155">
        <f t="shared" si="0"/>
        <v>269.73020527859239</v>
      </c>
    </row>
    <row r="12" spans="1:5" x14ac:dyDescent="0.3">
      <c r="A12" s="156" t="s">
        <v>14</v>
      </c>
      <c r="B12" s="157">
        <v>6961</v>
      </c>
      <c r="C12" s="158">
        <v>16008</v>
      </c>
      <c r="D12" s="157">
        <v>1939955</v>
      </c>
      <c r="E12" s="155">
        <f t="shared" si="0"/>
        <v>278.68912512570034</v>
      </c>
    </row>
    <row r="13" spans="1:5" x14ac:dyDescent="0.3">
      <c r="A13" s="156" t="s">
        <v>15</v>
      </c>
      <c r="B13" s="157">
        <v>2453</v>
      </c>
      <c r="C13" s="158">
        <v>4980</v>
      </c>
      <c r="D13" s="157">
        <v>609297</v>
      </c>
      <c r="E13" s="155">
        <f t="shared" si="0"/>
        <v>248.3885038728088</v>
      </c>
    </row>
    <row r="14" spans="1:5" ht="19.5" thickBot="1" x14ac:dyDescent="0.35">
      <c r="A14" s="160" t="s">
        <v>72</v>
      </c>
      <c r="B14" s="161">
        <v>8678</v>
      </c>
      <c r="C14" s="162">
        <v>17976</v>
      </c>
      <c r="D14" s="163">
        <v>2202869</v>
      </c>
      <c r="E14" s="155">
        <f t="shared" si="0"/>
        <v>253.84524083890298</v>
      </c>
    </row>
    <row r="15" spans="1:5" ht="19.5" thickBot="1" x14ac:dyDescent="0.35">
      <c r="A15" s="135" t="s">
        <v>85</v>
      </c>
      <c r="B15" s="139">
        <f>SUM(B8:B14)</f>
        <v>41852</v>
      </c>
      <c r="C15" s="139">
        <f>SUM(C8:C14)</f>
        <v>90203</v>
      </c>
      <c r="D15" s="139">
        <f>SUM(D8:D14)</f>
        <v>10962794</v>
      </c>
      <c r="E15" s="139">
        <f>D15/B15</f>
        <v>261.94193825862561</v>
      </c>
    </row>
    <row r="16" spans="1:5" ht="19.5" thickBot="1" x14ac:dyDescent="0.35">
      <c r="A16" s="144"/>
      <c r="B16" s="145"/>
      <c r="C16" s="145"/>
      <c r="D16" s="145"/>
      <c r="E16" s="145"/>
    </row>
    <row r="17" spans="1:14" ht="19.5" thickBot="1" x14ac:dyDescent="0.35">
      <c r="A17" s="140" t="s">
        <v>1</v>
      </c>
      <c r="B17" s="139"/>
      <c r="C17" s="139"/>
      <c r="D17" s="139"/>
      <c r="E17" s="139"/>
    </row>
    <row r="18" spans="1:14" s="2" customFormat="1" x14ac:dyDescent="0.3">
      <c r="A18" s="165" t="s">
        <v>125</v>
      </c>
      <c r="B18" s="166">
        <f>11634+5365</f>
        <v>16999</v>
      </c>
      <c r="C18" s="167">
        <f>23889+10493</f>
        <v>34382</v>
      </c>
      <c r="D18" s="168">
        <f>2947864+1303175</f>
        <v>4251039</v>
      </c>
      <c r="E18" s="159">
        <f>D18/B18</f>
        <v>250.07582798988176</v>
      </c>
      <c r="F18" s="193"/>
      <c r="G18" s="42"/>
      <c r="H18" s="42"/>
      <c r="I18" s="42"/>
      <c r="J18" s="42"/>
      <c r="K18" s="42"/>
      <c r="L18" s="42"/>
      <c r="M18" s="42"/>
      <c r="N18" s="42"/>
    </row>
    <row r="19" spans="1:14" x14ac:dyDescent="0.3">
      <c r="A19" s="169" t="s">
        <v>16</v>
      </c>
      <c r="B19" s="170">
        <v>4739</v>
      </c>
      <c r="C19" s="170">
        <v>9982</v>
      </c>
      <c r="D19" s="170">
        <v>1223928</v>
      </c>
      <c r="E19" s="159">
        <f t="shared" ref="E19:E28" si="1">D19/B19</f>
        <v>258.26714496729267</v>
      </c>
    </row>
    <row r="20" spans="1:14" x14ac:dyDescent="0.3">
      <c r="A20" s="156" t="s">
        <v>17</v>
      </c>
      <c r="B20" s="170">
        <v>6043</v>
      </c>
      <c r="C20" s="171">
        <v>12884</v>
      </c>
      <c r="D20" s="170">
        <v>1556691</v>
      </c>
      <c r="E20" s="159">
        <f t="shared" si="1"/>
        <v>257.60234982624524</v>
      </c>
    </row>
    <row r="21" spans="1:14" x14ac:dyDescent="0.3">
      <c r="A21" s="156" t="s">
        <v>18</v>
      </c>
      <c r="B21" s="170">
        <v>3874</v>
      </c>
      <c r="C21" s="171">
        <v>8747</v>
      </c>
      <c r="D21" s="170">
        <v>1053460</v>
      </c>
      <c r="E21" s="159">
        <f t="shared" si="1"/>
        <v>271.93082085699535</v>
      </c>
    </row>
    <row r="22" spans="1:14" x14ac:dyDescent="0.3">
      <c r="A22" s="156" t="s">
        <v>19</v>
      </c>
      <c r="B22" s="170">
        <v>2513</v>
      </c>
      <c r="C22" s="171">
        <v>5566</v>
      </c>
      <c r="D22" s="170">
        <v>672438</v>
      </c>
      <c r="E22" s="159">
        <f t="shared" si="1"/>
        <v>267.58376442499008</v>
      </c>
    </row>
    <row r="23" spans="1:14" x14ac:dyDescent="0.3">
      <c r="A23" s="156" t="s">
        <v>20</v>
      </c>
      <c r="B23" s="170">
        <v>6827</v>
      </c>
      <c r="C23" s="171">
        <v>14674</v>
      </c>
      <c r="D23" s="170">
        <v>1782886</v>
      </c>
      <c r="E23" s="159">
        <f t="shared" si="1"/>
        <v>261.15218983448074</v>
      </c>
    </row>
    <row r="24" spans="1:14" x14ac:dyDescent="0.3">
      <c r="A24" s="156" t="s">
        <v>21</v>
      </c>
      <c r="B24" s="170">
        <v>6172</v>
      </c>
      <c r="C24" s="171">
        <v>14035</v>
      </c>
      <c r="D24" s="170">
        <v>1706904</v>
      </c>
      <c r="E24" s="159">
        <f t="shared" si="1"/>
        <v>276.55605962410885</v>
      </c>
    </row>
    <row r="25" spans="1:14" x14ac:dyDescent="0.3">
      <c r="A25" s="156" t="s">
        <v>69</v>
      </c>
      <c r="B25" s="170">
        <v>7928</v>
      </c>
      <c r="C25" s="171">
        <v>16469</v>
      </c>
      <c r="D25" s="170">
        <v>2015614</v>
      </c>
      <c r="E25" s="159">
        <f t="shared" si="1"/>
        <v>254.2399091826438</v>
      </c>
    </row>
    <row r="26" spans="1:14" x14ac:dyDescent="0.3">
      <c r="A26" s="156" t="s">
        <v>22</v>
      </c>
      <c r="B26" s="170">
        <v>5064</v>
      </c>
      <c r="C26" s="171">
        <v>12340</v>
      </c>
      <c r="D26" s="170">
        <v>1471504</v>
      </c>
      <c r="E26" s="159">
        <f t="shared" si="1"/>
        <v>290.58135860979462</v>
      </c>
    </row>
    <row r="27" spans="1:14" x14ac:dyDescent="0.3">
      <c r="A27" s="156" t="s">
        <v>23</v>
      </c>
      <c r="B27" s="170">
        <v>4411</v>
      </c>
      <c r="C27" s="171">
        <v>9853</v>
      </c>
      <c r="D27" s="170">
        <v>1182294</v>
      </c>
      <c r="E27" s="159">
        <f t="shared" si="1"/>
        <v>268.03309907050556</v>
      </c>
    </row>
    <row r="28" spans="1:14" ht="19.5" thickBot="1" x14ac:dyDescent="0.35">
      <c r="A28" s="172" t="s">
        <v>87</v>
      </c>
      <c r="B28" s="173">
        <f>4807+1553</f>
        <v>6360</v>
      </c>
      <c r="C28" s="174">
        <f>10938+3575</f>
        <v>14513</v>
      </c>
      <c r="D28" s="175">
        <f>1339647+428921</f>
        <v>1768568</v>
      </c>
      <c r="E28" s="159">
        <f t="shared" si="1"/>
        <v>278.0767295597484</v>
      </c>
    </row>
    <row r="29" spans="1:14" ht="19.5" thickBot="1" x14ac:dyDescent="0.35">
      <c r="A29" s="135" t="s">
        <v>88</v>
      </c>
      <c r="B29" s="142">
        <f>SUM(B18:B28)</f>
        <v>70930</v>
      </c>
      <c r="C29" s="141">
        <f>SUM(C18:C28)</f>
        <v>153445</v>
      </c>
      <c r="D29" s="142">
        <f>SUM(D18:D28)</f>
        <v>18685326</v>
      </c>
      <c r="E29" s="139">
        <f>D29/B29</f>
        <v>263.43332863386439</v>
      </c>
    </row>
    <row r="30" spans="1:14" ht="19.5" thickBot="1" x14ac:dyDescent="0.35">
      <c r="A30" s="144"/>
      <c r="B30" s="146"/>
      <c r="C30" s="146"/>
      <c r="D30" s="146"/>
      <c r="E30" s="145"/>
    </row>
    <row r="31" spans="1:14" ht="19.5" thickBot="1" x14ac:dyDescent="0.35">
      <c r="A31" s="135" t="s">
        <v>2</v>
      </c>
      <c r="B31" s="142"/>
      <c r="C31" s="142"/>
      <c r="D31" s="142"/>
      <c r="E31" s="142"/>
    </row>
    <row r="32" spans="1:14" x14ac:dyDescent="0.3">
      <c r="A32" s="151" t="s">
        <v>24</v>
      </c>
      <c r="B32" s="180">
        <v>19835</v>
      </c>
      <c r="C32" s="181">
        <v>42225</v>
      </c>
      <c r="D32" s="182">
        <v>5152826</v>
      </c>
      <c r="E32" s="159">
        <f>D32/B32</f>
        <v>259.78452230904963</v>
      </c>
    </row>
    <row r="33" spans="1:5" x14ac:dyDescent="0.3">
      <c r="A33" s="156" t="s">
        <v>25</v>
      </c>
      <c r="B33" s="170">
        <v>3718</v>
      </c>
      <c r="C33" s="171">
        <v>8329</v>
      </c>
      <c r="D33" s="170">
        <v>1010133</v>
      </c>
      <c r="E33" s="159">
        <f t="shared" ref="E33:E40" si="2">D33/B33</f>
        <v>271.68719741796667</v>
      </c>
    </row>
    <row r="34" spans="1:5" x14ac:dyDescent="0.3">
      <c r="A34" s="156" t="s">
        <v>26</v>
      </c>
      <c r="B34" s="170">
        <v>6237</v>
      </c>
      <c r="C34" s="171">
        <v>14275</v>
      </c>
      <c r="D34" s="170">
        <v>1712456</v>
      </c>
      <c r="E34" s="159">
        <f t="shared" si="2"/>
        <v>274.56405323071988</v>
      </c>
    </row>
    <row r="35" spans="1:5" x14ac:dyDescent="0.3">
      <c r="A35" s="156" t="s">
        <v>27</v>
      </c>
      <c r="B35" s="170">
        <v>3871</v>
      </c>
      <c r="C35" s="171">
        <v>8379</v>
      </c>
      <c r="D35" s="170">
        <v>1006390</v>
      </c>
      <c r="E35" s="159">
        <f t="shared" si="2"/>
        <v>259.98191681735983</v>
      </c>
    </row>
    <row r="36" spans="1:5" x14ac:dyDescent="0.3">
      <c r="A36" s="156" t="s">
        <v>28</v>
      </c>
      <c r="B36" s="170">
        <v>4667</v>
      </c>
      <c r="C36" s="171">
        <v>10312</v>
      </c>
      <c r="D36" s="170">
        <v>1225083</v>
      </c>
      <c r="E36" s="159">
        <f t="shared" si="2"/>
        <v>262.49903578315832</v>
      </c>
    </row>
    <row r="37" spans="1:5" x14ac:dyDescent="0.3">
      <c r="A37" s="156" t="s">
        <v>29</v>
      </c>
      <c r="B37" s="170">
        <v>7382</v>
      </c>
      <c r="C37" s="171">
        <v>16905</v>
      </c>
      <c r="D37" s="170">
        <v>2025435</v>
      </c>
      <c r="E37" s="159">
        <f t="shared" si="2"/>
        <v>274.37483066919532</v>
      </c>
    </row>
    <row r="38" spans="1:5" x14ac:dyDescent="0.3">
      <c r="A38" s="156" t="s">
        <v>89</v>
      </c>
      <c r="B38" s="170">
        <f>4913+4016</f>
        <v>8929</v>
      </c>
      <c r="C38" s="171">
        <f>11002+8667</f>
        <v>19669</v>
      </c>
      <c r="D38" s="170">
        <f>1330330+1041012</f>
        <v>2371342</v>
      </c>
      <c r="E38" s="159">
        <f t="shared" si="2"/>
        <v>265.5775562772987</v>
      </c>
    </row>
    <row r="39" spans="1:5" x14ac:dyDescent="0.3">
      <c r="A39" s="156" t="s">
        <v>30</v>
      </c>
      <c r="B39" s="170">
        <v>5389</v>
      </c>
      <c r="C39" s="171">
        <v>12127</v>
      </c>
      <c r="D39" s="170">
        <v>1462057</v>
      </c>
      <c r="E39" s="159">
        <f t="shared" si="2"/>
        <v>271.30395249582483</v>
      </c>
    </row>
    <row r="40" spans="1:5" ht="19.5" thickBot="1" x14ac:dyDescent="0.35">
      <c r="A40" s="172" t="s">
        <v>90</v>
      </c>
      <c r="B40" s="173">
        <f>5489+4093</f>
        <v>9582</v>
      </c>
      <c r="C40" s="174">
        <f>11929+8588</f>
        <v>20517</v>
      </c>
      <c r="D40" s="175">
        <f>1451425+1048773</f>
        <v>2500198</v>
      </c>
      <c r="E40" s="159">
        <f t="shared" si="2"/>
        <v>260.92652890836985</v>
      </c>
    </row>
    <row r="41" spans="1:5" ht="19.5" thickBot="1" x14ac:dyDescent="0.35">
      <c r="A41" s="135" t="s">
        <v>91</v>
      </c>
      <c r="B41" s="142">
        <f>SUM(B32:B40)</f>
        <v>69610</v>
      </c>
      <c r="C41" s="142">
        <f>SUM(C32:C40)</f>
        <v>152738</v>
      </c>
      <c r="D41" s="142">
        <f>SUM(D32:D40)</f>
        <v>18465920</v>
      </c>
      <c r="E41" s="139">
        <f>D41/B41</f>
        <v>265.27682804194802</v>
      </c>
    </row>
    <row r="42" spans="1:5" ht="19.5" thickBot="1" x14ac:dyDescent="0.35">
      <c r="A42" s="147"/>
      <c r="B42" s="148"/>
      <c r="C42" s="148"/>
      <c r="D42" s="148"/>
      <c r="E42" s="149"/>
    </row>
    <row r="43" spans="1:5" ht="19.5" thickBot="1" x14ac:dyDescent="0.35">
      <c r="A43" s="135" t="s">
        <v>3</v>
      </c>
      <c r="B43" s="142"/>
      <c r="C43" s="142"/>
      <c r="D43" s="142"/>
      <c r="E43" s="142"/>
    </row>
    <row r="44" spans="1:5" x14ac:dyDescent="0.3">
      <c r="A44" s="151" t="s">
        <v>31</v>
      </c>
      <c r="B44" s="180">
        <v>3472</v>
      </c>
      <c r="C44" s="181">
        <v>7359</v>
      </c>
      <c r="D44" s="182">
        <v>906710</v>
      </c>
      <c r="E44" s="159">
        <f>D44/B44</f>
        <v>261.14919354838707</v>
      </c>
    </row>
    <row r="45" spans="1:5" x14ac:dyDescent="0.3">
      <c r="A45" s="156" t="s">
        <v>32</v>
      </c>
      <c r="B45" s="170">
        <v>6653</v>
      </c>
      <c r="C45" s="171">
        <v>15794</v>
      </c>
      <c r="D45" s="170">
        <v>1899695</v>
      </c>
      <c r="E45" s="159">
        <f t="shared" ref="E45:E50" si="3">D45/B45</f>
        <v>285.53960619269503</v>
      </c>
    </row>
    <row r="46" spans="1:5" x14ac:dyDescent="0.3">
      <c r="A46" s="156" t="s">
        <v>92</v>
      </c>
      <c r="B46" s="170">
        <v>16038</v>
      </c>
      <c r="C46" s="171">
        <v>33149</v>
      </c>
      <c r="D46" s="170">
        <v>4011717</v>
      </c>
      <c r="E46" s="159">
        <f t="shared" si="3"/>
        <v>250.13823419378974</v>
      </c>
    </row>
    <row r="47" spans="1:5" x14ac:dyDescent="0.3">
      <c r="A47" s="156" t="s">
        <v>33</v>
      </c>
      <c r="B47" s="170">
        <v>5169</v>
      </c>
      <c r="C47" s="171">
        <v>11457</v>
      </c>
      <c r="D47" s="170">
        <v>1386509</v>
      </c>
      <c r="E47" s="159">
        <f t="shared" si="3"/>
        <v>268.23544205842524</v>
      </c>
    </row>
    <row r="48" spans="1:5" x14ac:dyDescent="0.3">
      <c r="A48" s="156" t="s">
        <v>34</v>
      </c>
      <c r="B48" s="170">
        <v>4264</v>
      </c>
      <c r="C48" s="171">
        <v>8994</v>
      </c>
      <c r="D48" s="170">
        <v>1102162</v>
      </c>
      <c r="E48" s="159">
        <f t="shared" si="3"/>
        <v>258.48076923076923</v>
      </c>
    </row>
    <row r="49" spans="1:5" x14ac:dyDescent="0.3">
      <c r="A49" s="156" t="s">
        <v>35</v>
      </c>
      <c r="B49" s="170">
        <v>3965</v>
      </c>
      <c r="C49" s="171">
        <v>8062</v>
      </c>
      <c r="D49" s="170">
        <v>979015</v>
      </c>
      <c r="E49" s="159">
        <f t="shared" si="3"/>
        <v>246.91424968474149</v>
      </c>
    </row>
    <row r="50" spans="1:5" ht="19.5" thickBot="1" x14ac:dyDescent="0.35">
      <c r="A50" s="156" t="s">
        <v>36</v>
      </c>
      <c r="B50" s="173">
        <v>5969</v>
      </c>
      <c r="C50" s="171">
        <v>12373</v>
      </c>
      <c r="D50" s="170">
        <v>1501072</v>
      </c>
      <c r="E50" s="159">
        <f t="shared" si="3"/>
        <v>251.4779695091305</v>
      </c>
    </row>
    <row r="51" spans="1:5" ht="19.5" thickBot="1" x14ac:dyDescent="0.35">
      <c r="A51" s="135" t="s">
        <v>91</v>
      </c>
      <c r="B51" s="141">
        <f>SUM(B44:B50)</f>
        <v>45530</v>
      </c>
      <c r="C51" s="141">
        <f>SUM(C44:C50)</f>
        <v>97188</v>
      </c>
      <c r="D51" s="141">
        <f>SUM(D44:D50)</f>
        <v>11786880</v>
      </c>
      <c r="E51" s="179">
        <f>D51/B51</f>
        <v>258.88161651658248</v>
      </c>
    </row>
    <row r="52" spans="1:5" ht="19.5" thickBot="1" x14ac:dyDescent="0.35">
      <c r="A52" s="147"/>
      <c r="B52" s="148"/>
      <c r="C52" s="148"/>
      <c r="D52" s="148"/>
      <c r="E52" s="149"/>
    </row>
    <row r="53" spans="1:5" ht="19.5" thickBot="1" x14ac:dyDescent="0.35">
      <c r="A53" s="135" t="s">
        <v>4</v>
      </c>
      <c r="B53" s="142"/>
      <c r="C53" s="142"/>
      <c r="D53" s="142"/>
      <c r="E53" s="142"/>
    </row>
    <row r="54" spans="1:5" x14ac:dyDescent="0.3">
      <c r="A54" s="151" t="s">
        <v>37</v>
      </c>
      <c r="B54" s="180">
        <v>6335</v>
      </c>
      <c r="C54" s="181">
        <v>14038</v>
      </c>
      <c r="D54" s="182">
        <v>1682173</v>
      </c>
      <c r="E54" s="159">
        <f t="shared" ref="E54:E60" si="4">D54/B54</f>
        <v>265.5363851617995</v>
      </c>
    </row>
    <row r="55" spans="1:5" x14ac:dyDescent="0.3">
      <c r="A55" s="156" t="s">
        <v>93</v>
      </c>
      <c r="B55" s="170">
        <f>6346+7869</f>
        <v>14215</v>
      </c>
      <c r="C55" s="171">
        <f>13571+16755</f>
        <v>30326</v>
      </c>
      <c r="D55" s="170">
        <f>1646366+2019972</f>
        <v>3666338</v>
      </c>
      <c r="E55" s="159">
        <f t="shared" si="4"/>
        <v>257.92036581076326</v>
      </c>
    </row>
    <row r="56" spans="1:5" x14ac:dyDescent="0.3">
      <c r="A56" s="156" t="s">
        <v>94</v>
      </c>
      <c r="B56" s="170">
        <v>4226</v>
      </c>
      <c r="C56" s="171">
        <v>10039</v>
      </c>
      <c r="D56" s="170">
        <v>1213044</v>
      </c>
      <c r="E56" s="159">
        <f t="shared" si="4"/>
        <v>287.0430667297681</v>
      </c>
    </row>
    <row r="57" spans="1:5" x14ac:dyDescent="0.3">
      <c r="A57" s="156" t="s">
        <v>38</v>
      </c>
      <c r="B57" s="170">
        <v>2965</v>
      </c>
      <c r="C57" s="171">
        <v>6405</v>
      </c>
      <c r="D57" s="170">
        <v>774434</v>
      </c>
      <c r="E57" s="159">
        <f t="shared" si="4"/>
        <v>261.19190556492413</v>
      </c>
    </row>
    <row r="58" spans="1:5" x14ac:dyDescent="0.3">
      <c r="A58" s="156" t="s">
        <v>95</v>
      </c>
      <c r="B58" s="170">
        <f>5490+1897</f>
        <v>7387</v>
      </c>
      <c r="C58" s="171">
        <f>11945+4082</f>
        <v>16027</v>
      </c>
      <c r="D58" s="170">
        <f>1437200+492231</f>
        <v>1929431</v>
      </c>
      <c r="E58" s="159">
        <f t="shared" si="4"/>
        <v>261.19277108433732</v>
      </c>
    </row>
    <row r="59" spans="1:5" ht="19.5" thickBot="1" x14ac:dyDescent="0.35">
      <c r="A59" s="156" t="s">
        <v>121</v>
      </c>
      <c r="B59" s="173">
        <f>5872+501</f>
        <v>6373</v>
      </c>
      <c r="C59" s="171">
        <f>12566+873</f>
        <v>13439</v>
      </c>
      <c r="D59" s="170">
        <f>1525939+108721</f>
        <v>1634660</v>
      </c>
      <c r="E59" s="159">
        <f t="shared" si="4"/>
        <v>256.49772477640045</v>
      </c>
    </row>
    <row r="60" spans="1:5" ht="19.5" thickBot="1" x14ac:dyDescent="0.35">
      <c r="A60" s="135" t="s">
        <v>91</v>
      </c>
      <c r="B60" s="142">
        <f>SUM(B54:B59)</f>
        <v>41501</v>
      </c>
      <c r="C60" s="142">
        <f>SUM(C54:C59)</f>
        <v>90274</v>
      </c>
      <c r="D60" s="142">
        <f>SUM(D54:D59)</f>
        <v>10900080</v>
      </c>
      <c r="E60" s="139">
        <f t="shared" si="4"/>
        <v>262.64620129635432</v>
      </c>
    </row>
    <row r="61" spans="1:5" ht="19.5" thickBot="1" x14ac:dyDescent="0.35">
      <c r="A61" s="147"/>
      <c r="B61" s="148"/>
      <c r="C61" s="148"/>
      <c r="D61" s="148"/>
      <c r="E61" s="149"/>
    </row>
    <row r="62" spans="1:5" ht="19.5" thickBot="1" x14ac:dyDescent="0.35">
      <c r="A62" s="135" t="s">
        <v>5</v>
      </c>
      <c r="B62" s="142"/>
      <c r="C62" s="142"/>
      <c r="D62" s="142"/>
      <c r="E62" s="142"/>
    </row>
    <row r="63" spans="1:5" x14ac:dyDescent="0.3">
      <c r="A63" s="151" t="s">
        <v>39</v>
      </c>
      <c r="B63" s="180">
        <v>3326</v>
      </c>
      <c r="C63" s="181">
        <v>7295</v>
      </c>
      <c r="D63" s="182">
        <v>881553</v>
      </c>
      <c r="E63" s="159">
        <f t="shared" ref="E63:E69" si="5">D63/B63</f>
        <v>265.04900781719783</v>
      </c>
    </row>
    <row r="64" spans="1:5" x14ac:dyDescent="0.3">
      <c r="A64" s="156" t="s">
        <v>40</v>
      </c>
      <c r="B64" s="170">
        <v>5349</v>
      </c>
      <c r="C64" s="171">
        <v>10608</v>
      </c>
      <c r="D64" s="170">
        <v>1273705</v>
      </c>
      <c r="E64" s="159">
        <f t="shared" si="5"/>
        <v>238.12020938493177</v>
      </c>
    </row>
    <row r="65" spans="1:5" x14ac:dyDescent="0.3">
      <c r="A65" s="156" t="s">
        <v>5</v>
      </c>
      <c r="B65" s="170">
        <v>6380</v>
      </c>
      <c r="C65" s="171">
        <v>13672</v>
      </c>
      <c r="D65" s="170">
        <v>1656779</v>
      </c>
      <c r="E65" s="159">
        <f t="shared" si="5"/>
        <v>259.68322884012537</v>
      </c>
    </row>
    <row r="66" spans="1:5" x14ac:dyDescent="0.3">
      <c r="A66" s="156" t="s">
        <v>41</v>
      </c>
      <c r="B66" s="170">
        <v>3373</v>
      </c>
      <c r="C66" s="171">
        <v>7204</v>
      </c>
      <c r="D66" s="170">
        <v>871511</v>
      </c>
      <c r="E66" s="159">
        <f t="shared" si="5"/>
        <v>258.37859472279871</v>
      </c>
    </row>
    <row r="67" spans="1:5" x14ac:dyDescent="0.3">
      <c r="A67" s="156" t="s">
        <v>42</v>
      </c>
      <c r="B67" s="170">
        <v>4954</v>
      </c>
      <c r="C67" s="171">
        <v>10585</v>
      </c>
      <c r="D67" s="170">
        <v>1284794</v>
      </c>
      <c r="E67" s="159">
        <f t="shared" si="5"/>
        <v>259.34477190149374</v>
      </c>
    </row>
    <row r="68" spans="1:5" ht="19.5" thickBot="1" x14ac:dyDescent="0.35">
      <c r="A68" s="160" t="s">
        <v>43</v>
      </c>
      <c r="B68" s="173">
        <v>3301</v>
      </c>
      <c r="C68" s="184">
        <v>7501</v>
      </c>
      <c r="D68" s="173">
        <v>893215</v>
      </c>
      <c r="E68" s="159">
        <f t="shared" si="5"/>
        <v>270.58921538927598</v>
      </c>
    </row>
    <row r="69" spans="1:5" ht="19.5" thickBot="1" x14ac:dyDescent="0.35">
      <c r="A69" s="135" t="s">
        <v>91</v>
      </c>
      <c r="B69" s="142">
        <f>SUM(B63:B68)</f>
        <v>26683</v>
      </c>
      <c r="C69" s="142">
        <f>SUM(C63:C68)</f>
        <v>56865</v>
      </c>
      <c r="D69" s="142">
        <f>SUM(D63:D68)</f>
        <v>6861557</v>
      </c>
      <c r="E69" s="139">
        <f t="shared" si="5"/>
        <v>257.15088258441705</v>
      </c>
    </row>
    <row r="70" spans="1:5" ht="19.5" thickBot="1" x14ac:dyDescent="0.35">
      <c r="A70" s="147"/>
      <c r="B70" s="148"/>
      <c r="C70" s="148"/>
      <c r="D70" s="148"/>
      <c r="E70" s="149"/>
    </row>
    <row r="71" spans="1:5" ht="19.5" thickBot="1" x14ac:dyDescent="0.35">
      <c r="A71" s="135" t="s">
        <v>6</v>
      </c>
      <c r="B71" s="142"/>
      <c r="C71" s="142"/>
      <c r="D71" s="142"/>
      <c r="E71" s="142"/>
    </row>
    <row r="72" spans="1:5" x14ac:dyDescent="0.3">
      <c r="A72" s="151" t="s">
        <v>44</v>
      </c>
      <c r="B72" s="180">
        <v>1878</v>
      </c>
      <c r="C72" s="181">
        <v>3966</v>
      </c>
      <c r="D72" s="182">
        <v>476182</v>
      </c>
      <c r="E72" s="159">
        <f>D72/B72</f>
        <v>253.55804046858361</v>
      </c>
    </row>
    <row r="73" spans="1:5" x14ac:dyDescent="0.3">
      <c r="A73" s="156" t="s">
        <v>70</v>
      </c>
      <c r="B73" s="170">
        <v>88</v>
      </c>
      <c r="C73" s="171">
        <v>181</v>
      </c>
      <c r="D73" s="170">
        <v>21029</v>
      </c>
      <c r="E73" s="159">
        <f t="shared" ref="E73:E81" si="6">D73/B73</f>
        <v>238.96590909090909</v>
      </c>
    </row>
    <row r="74" spans="1:5" x14ac:dyDescent="0.3">
      <c r="A74" s="156" t="s">
        <v>45</v>
      </c>
      <c r="B74" s="170">
        <v>5532</v>
      </c>
      <c r="C74" s="171">
        <v>11724</v>
      </c>
      <c r="D74" s="170">
        <v>1430202</v>
      </c>
      <c r="E74" s="159">
        <f t="shared" si="6"/>
        <v>258.53253796095447</v>
      </c>
    </row>
    <row r="75" spans="1:5" x14ac:dyDescent="0.3">
      <c r="A75" s="156" t="s">
        <v>6</v>
      </c>
      <c r="B75" s="170">
        <v>8843</v>
      </c>
      <c r="C75" s="171">
        <v>18030</v>
      </c>
      <c r="D75" s="170">
        <v>2195043</v>
      </c>
      <c r="E75" s="159">
        <f t="shared" si="6"/>
        <v>248.22379283048738</v>
      </c>
    </row>
    <row r="76" spans="1:5" x14ac:dyDescent="0.3">
      <c r="A76" s="156" t="s">
        <v>46</v>
      </c>
      <c r="B76" s="170">
        <v>6671</v>
      </c>
      <c r="C76" s="171">
        <v>14388</v>
      </c>
      <c r="D76" s="170">
        <v>1757570</v>
      </c>
      <c r="E76" s="159">
        <f t="shared" si="6"/>
        <v>263.46424823864487</v>
      </c>
    </row>
    <row r="77" spans="1:5" x14ac:dyDescent="0.3">
      <c r="A77" s="156" t="s">
        <v>47</v>
      </c>
      <c r="B77" s="170">
        <v>5555</v>
      </c>
      <c r="C77" s="171">
        <v>11594</v>
      </c>
      <c r="D77" s="170">
        <v>1419760</v>
      </c>
      <c r="E77" s="159">
        <f t="shared" si="6"/>
        <v>255.58235823582359</v>
      </c>
    </row>
    <row r="78" spans="1:5" x14ac:dyDescent="0.3">
      <c r="A78" s="156" t="s">
        <v>48</v>
      </c>
      <c r="B78" s="170">
        <v>2325</v>
      </c>
      <c r="C78" s="171">
        <v>4900</v>
      </c>
      <c r="D78" s="170">
        <v>590261</v>
      </c>
      <c r="E78" s="159">
        <f t="shared" si="6"/>
        <v>253.87569892473118</v>
      </c>
    </row>
    <row r="79" spans="1:5" x14ac:dyDescent="0.3">
      <c r="A79" s="156" t="s">
        <v>49</v>
      </c>
      <c r="B79" s="170">
        <v>4106</v>
      </c>
      <c r="C79" s="171">
        <v>8632</v>
      </c>
      <c r="D79" s="170">
        <v>1053098</v>
      </c>
      <c r="E79" s="159">
        <f t="shared" si="6"/>
        <v>256.47783731125185</v>
      </c>
    </row>
    <row r="80" spans="1:5" x14ac:dyDescent="0.3">
      <c r="A80" s="156" t="s">
        <v>50</v>
      </c>
      <c r="B80" s="170">
        <v>1617</v>
      </c>
      <c r="C80" s="171">
        <v>3378</v>
      </c>
      <c r="D80" s="170">
        <v>414340</v>
      </c>
      <c r="E80" s="159">
        <f t="shared" si="6"/>
        <v>256.23995052566482</v>
      </c>
    </row>
    <row r="81" spans="1:5" ht="19.5" thickBot="1" x14ac:dyDescent="0.35">
      <c r="A81" s="160" t="s">
        <v>51</v>
      </c>
      <c r="B81" s="173">
        <v>7401</v>
      </c>
      <c r="C81" s="184">
        <v>15518</v>
      </c>
      <c r="D81" s="173">
        <v>1886579</v>
      </c>
      <c r="E81" s="159">
        <f t="shared" si="6"/>
        <v>254.90866099175787</v>
      </c>
    </row>
    <row r="82" spans="1:5" ht="19.5" thickBot="1" x14ac:dyDescent="0.35">
      <c r="A82" s="135" t="s">
        <v>91</v>
      </c>
      <c r="B82" s="141">
        <f>SUM(B72:B81)</f>
        <v>44016</v>
      </c>
      <c r="C82" s="141">
        <f>SUM(C72:C81)</f>
        <v>92311</v>
      </c>
      <c r="D82" s="142">
        <f>SUM(D72:D81)</f>
        <v>11244064</v>
      </c>
      <c r="E82" s="183">
        <f>D82/B82</f>
        <v>255.45401672119229</v>
      </c>
    </row>
    <row r="83" spans="1:5" ht="19.5" thickBot="1" x14ac:dyDescent="0.35">
      <c r="A83" s="147"/>
      <c r="B83" s="148"/>
      <c r="C83" s="148"/>
      <c r="D83" s="148"/>
      <c r="E83" s="149"/>
    </row>
    <row r="84" spans="1:5" ht="19.5" thickBot="1" x14ac:dyDescent="0.35">
      <c r="A84" s="135" t="s">
        <v>7</v>
      </c>
      <c r="B84" s="142"/>
      <c r="C84" s="142"/>
      <c r="D84" s="142"/>
      <c r="E84" s="142"/>
    </row>
    <row r="85" spans="1:5" x14ac:dyDescent="0.3">
      <c r="A85" s="151" t="s">
        <v>52</v>
      </c>
      <c r="B85" s="180">
        <v>4469</v>
      </c>
      <c r="C85" s="181">
        <v>9347</v>
      </c>
      <c r="D85" s="182">
        <v>1131921</v>
      </c>
      <c r="E85" s="159">
        <f>D85/B85</f>
        <v>253.28283732378608</v>
      </c>
    </row>
    <row r="86" spans="1:5" x14ac:dyDescent="0.3">
      <c r="A86" s="156" t="s">
        <v>53</v>
      </c>
      <c r="B86" s="170">
        <v>6042</v>
      </c>
      <c r="C86" s="171">
        <v>13073</v>
      </c>
      <c r="D86" s="170">
        <v>1576845</v>
      </c>
      <c r="E86" s="159">
        <f t="shared" ref="E86:E93" si="7">D86/B86</f>
        <v>260.98063555114203</v>
      </c>
    </row>
    <row r="87" spans="1:5" x14ac:dyDescent="0.3">
      <c r="A87" s="156" t="s">
        <v>54</v>
      </c>
      <c r="B87" s="170">
        <v>3557</v>
      </c>
      <c r="C87" s="171">
        <v>7989</v>
      </c>
      <c r="D87" s="170">
        <v>961977</v>
      </c>
      <c r="E87" s="159">
        <f t="shared" si="7"/>
        <v>270.44616249648578</v>
      </c>
    </row>
    <row r="88" spans="1:5" x14ac:dyDescent="0.3">
      <c r="A88" s="156" t="s">
        <v>55</v>
      </c>
      <c r="B88" s="170">
        <v>1882</v>
      </c>
      <c r="C88" s="171">
        <v>3606</v>
      </c>
      <c r="D88" s="170">
        <v>438714</v>
      </c>
      <c r="E88" s="159">
        <f t="shared" si="7"/>
        <v>233.1105207226355</v>
      </c>
    </row>
    <row r="89" spans="1:5" x14ac:dyDescent="0.3">
      <c r="A89" s="156" t="s">
        <v>56</v>
      </c>
      <c r="B89" s="170">
        <v>4027</v>
      </c>
      <c r="C89" s="171">
        <v>8705</v>
      </c>
      <c r="D89" s="170">
        <v>1054725</v>
      </c>
      <c r="E89" s="159">
        <f t="shared" si="7"/>
        <v>261.91333498882545</v>
      </c>
    </row>
    <row r="90" spans="1:5" x14ac:dyDescent="0.3">
      <c r="A90" s="156" t="s">
        <v>57</v>
      </c>
      <c r="B90" s="170">
        <v>1017</v>
      </c>
      <c r="C90" s="171">
        <v>2489</v>
      </c>
      <c r="D90" s="170">
        <v>296141</v>
      </c>
      <c r="E90" s="159">
        <f t="shared" si="7"/>
        <v>291.19075712881022</v>
      </c>
    </row>
    <row r="91" spans="1:5" x14ac:dyDescent="0.3">
      <c r="A91" s="156" t="s">
        <v>97</v>
      </c>
      <c r="B91" s="170">
        <f>6705+6038</f>
        <v>12743</v>
      </c>
      <c r="C91" s="171">
        <f>14138+11835</f>
        <v>25973</v>
      </c>
      <c r="D91" s="170">
        <f>1711710+1471960</f>
        <v>3183670</v>
      </c>
      <c r="E91" s="159">
        <f t="shared" si="7"/>
        <v>249.83677313034607</v>
      </c>
    </row>
    <row r="92" spans="1:5" x14ac:dyDescent="0.3">
      <c r="A92" s="185" t="s">
        <v>58</v>
      </c>
      <c r="B92" s="170">
        <v>3518</v>
      </c>
      <c r="C92" s="171">
        <v>7594</v>
      </c>
      <c r="D92" s="170">
        <v>913835</v>
      </c>
      <c r="E92" s="159">
        <f t="shared" si="7"/>
        <v>259.75980670835702</v>
      </c>
    </row>
    <row r="93" spans="1:5" ht="19.5" thickBot="1" x14ac:dyDescent="0.35">
      <c r="A93" s="156" t="s">
        <v>59</v>
      </c>
      <c r="B93" s="173">
        <v>5268</v>
      </c>
      <c r="C93" s="171">
        <v>11095</v>
      </c>
      <c r="D93" s="170">
        <v>1339632</v>
      </c>
      <c r="E93" s="159">
        <f t="shared" si="7"/>
        <v>254.29612756264237</v>
      </c>
    </row>
    <row r="94" spans="1:5" ht="19.5" thickBot="1" x14ac:dyDescent="0.35">
      <c r="A94" s="135" t="s">
        <v>91</v>
      </c>
      <c r="B94" s="141">
        <f>SUM(B85:B93)</f>
        <v>42523</v>
      </c>
      <c r="C94" s="142">
        <f>SUM(C85:C93)</f>
        <v>89871</v>
      </c>
      <c r="D94" s="142">
        <f>SUM(D85:D93)</f>
        <v>10897460</v>
      </c>
      <c r="E94" s="139">
        <f>D94/B94</f>
        <v>256.27213507983913</v>
      </c>
    </row>
    <row r="95" spans="1:5" ht="19.5" thickBot="1" x14ac:dyDescent="0.35">
      <c r="A95" s="147"/>
      <c r="B95" s="148"/>
      <c r="C95" s="148"/>
      <c r="D95" s="148"/>
      <c r="E95" s="149"/>
    </row>
    <row r="96" spans="1:5" ht="19.5" thickBot="1" x14ac:dyDescent="0.35">
      <c r="A96" s="140" t="s">
        <v>8</v>
      </c>
      <c r="B96" s="177"/>
      <c r="C96" s="177"/>
      <c r="D96" s="177"/>
      <c r="E96" s="178"/>
    </row>
    <row r="97" spans="1:5" x14ac:dyDescent="0.3">
      <c r="A97" s="186" t="s">
        <v>73</v>
      </c>
      <c r="B97" s="180">
        <f>3382+780</f>
        <v>4162</v>
      </c>
      <c r="C97" s="181">
        <f>8300+1849</f>
        <v>10149</v>
      </c>
      <c r="D97" s="182">
        <f>1001493+226714</f>
        <v>1228207</v>
      </c>
      <c r="E97" s="159">
        <f>D97/B97</f>
        <v>295.10019221528114</v>
      </c>
    </row>
    <row r="98" spans="1:5" x14ac:dyDescent="0.3">
      <c r="A98" s="187" t="s">
        <v>60</v>
      </c>
      <c r="B98" s="170">
        <v>4583</v>
      </c>
      <c r="C98" s="171">
        <v>9628</v>
      </c>
      <c r="D98" s="170">
        <v>1166266</v>
      </c>
      <c r="E98" s="159">
        <f t="shared" ref="E98:E107" si="8">D98/B98</f>
        <v>254.47654374863626</v>
      </c>
    </row>
    <row r="99" spans="1:5" x14ac:dyDescent="0.3">
      <c r="A99" s="187" t="s">
        <v>61</v>
      </c>
      <c r="B99" s="170">
        <v>6357</v>
      </c>
      <c r="C99" s="171">
        <v>13984</v>
      </c>
      <c r="D99" s="170">
        <v>1691768</v>
      </c>
      <c r="E99" s="159">
        <f>D99/B99</f>
        <v>266.12678936605317</v>
      </c>
    </row>
    <row r="100" spans="1:5" x14ac:dyDescent="0.3">
      <c r="A100" s="156" t="s">
        <v>62</v>
      </c>
      <c r="B100" s="170">
        <v>3742</v>
      </c>
      <c r="C100" s="171">
        <v>8638</v>
      </c>
      <c r="D100" s="170">
        <v>1040318</v>
      </c>
      <c r="E100" s="159">
        <f t="shared" si="8"/>
        <v>278.01122394441472</v>
      </c>
    </row>
    <row r="101" spans="1:5" x14ac:dyDescent="0.3">
      <c r="A101" s="156" t="s">
        <v>63</v>
      </c>
      <c r="B101" s="170">
        <v>3154</v>
      </c>
      <c r="C101" s="171">
        <v>7890</v>
      </c>
      <c r="D101" s="170">
        <v>949020</v>
      </c>
      <c r="E101" s="159">
        <f t="shared" si="8"/>
        <v>300.89410272669625</v>
      </c>
    </row>
    <row r="102" spans="1:5" x14ac:dyDescent="0.3">
      <c r="A102" s="156" t="s">
        <v>64</v>
      </c>
      <c r="B102" s="170">
        <v>6906</v>
      </c>
      <c r="C102" s="171">
        <v>16241</v>
      </c>
      <c r="D102" s="170">
        <v>1936406</v>
      </c>
      <c r="E102" s="159">
        <f t="shared" si="8"/>
        <v>280.39472922096729</v>
      </c>
    </row>
    <row r="103" spans="1:5" x14ac:dyDescent="0.3">
      <c r="A103" s="156" t="s">
        <v>65</v>
      </c>
      <c r="B103" s="170">
        <v>4899</v>
      </c>
      <c r="C103" s="171">
        <v>11717</v>
      </c>
      <c r="D103" s="170">
        <v>1397017</v>
      </c>
      <c r="E103" s="159">
        <f t="shared" si="8"/>
        <v>285.16370687895488</v>
      </c>
    </row>
    <row r="104" spans="1:5" x14ac:dyDescent="0.3">
      <c r="A104" s="156" t="s">
        <v>66</v>
      </c>
      <c r="B104" s="170">
        <v>3981</v>
      </c>
      <c r="C104" s="171">
        <v>9768</v>
      </c>
      <c r="D104" s="170">
        <v>1164821</v>
      </c>
      <c r="E104" s="159">
        <f t="shared" si="8"/>
        <v>292.59507661391609</v>
      </c>
    </row>
    <row r="105" spans="1:5" x14ac:dyDescent="0.3">
      <c r="A105" s="156" t="s">
        <v>119</v>
      </c>
      <c r="B105" s="170">
        <f>5633+6809+13391</f>
        <v>25833</v>
      </c>
      <c r="C105" s="171">
        <f>12054+16437+30465</f>
        <v>58956</v>
      </c>
      <c r="D105" s="170">
        <f>1461506+1973125+3703679</f>
        <v>7138310</v>
      </c>
      <c r="E105" s="159">
        <f t="shared" si="8"/>
        <v>276.32524290636007</v>
      </c>
    </row>
    <row r="106" spans="1:5" x14ac:dyDescent="0.3">
      <c r="A106" s="156" t="s">
        <v>67</v>
      </c>
      <c r="B106" s="170">
        <v>4614</v>
      </c>
      <c r="C106" s="171">
        <v>11102</v>
      </c>
      <c r="D106" s="170">
        <v>1336183</v>
      </c>
      <c r="E106" s="159">
        <f t="shared" si="8"/>
        <v>289.5931946250542</v>
      </c>
    </row>
    <row r="107" spans="1:5" ht="19.5" thickBot="1" x14ac:dyDescent="0.35">
      <c r="A107" s="156" t="s">
        <v>68</v>
      </c>
      <c r="B107" s="173">
        <v>6772</v>
      </c>
      <c r="C107" s="171">
        <v>15047</v>
      </c>
      <c r="D107" s="170">
        <v>1799848</v>
      </c>
      <c r="E107" s="159">
        <f t="shared" si="8"/>
        <v>265.77790903721205</v>
      </c>
    </row>
    <row r="108" spans="1:5" ht="19.5" thickBot="1" x14ac:dyDescent="0.35">
      <c r="A108" s="135" t="s">
        <v>91</v>
      </c>
      <c r="B108" s="141">
        <f>SUM(B97:B107)</f>
        <v>75003</v>
      </c>
      <c r="C108" s="141">
        <f>SUM(C97:C107)</f>
        <v>173120</v>
      </c>
      <c r="D108" s="141">
        <f>SUM(D97:D107)</f>
        <v>20848164</v>
      </c>
      <c r="E108" s="179">
        <f>D108/B108</f>
        <v>277.96440142394306</v>
      </c>
    </row>
    <row r="109" spans="1:5" ht="19.5" thickBot="1" x14ac:dyDescent="0.35">
      <c r="A109" s="147"/>
      <c r="B109" s="148"/>
      <c r="C109" s="148"/>
      <c r="D109" s="148"/>
      <c r="E109" s="149"/>
    </row>
    <row r="110" spans="1:5" ht="19.5" thickBot="1" x14ac:dyDescent="0.35">
      <c r="A110" s="135" t="s">
        <v>9</v>
      </c>
      <c r="B110" s="142"/>
      <c r="C110" s="142"/>
      <c r="D110" s="142"/>
      <c r="E110" s="142"/>
    </row>
    <row r="111" spans="1:5" x14ac:dyDescent="0.3">
      <c r="A111" s="151" t="s">
        <v>99</v>
      </c>
      <c r="B111" s="180">
        <v>1231</v>
      </c>
      <c r="C111" s="181">
        <v>3000</v>
      </c>
      <c r="D111" s="182">
        <v>362683</v>
      </c>
      <c r="E111" s="159">
        <f>D111/B111</f>
        <v>294.62469536961822</v>
      </c>
    </row>
    <row r="112" spans="1:5" x14ac:dyDescent="0.3">
      <c r="A112" s="156" t="s">
        <v>100</v>
      </c>
      <c r="B112" s="170">
        <f>3637+1303+3952</f>
        <v>8892</v>
      </c>
      <c r="C112" s="171">
        <f>7843+2776+8073</f>
        <v>18692</v>
      </c>
      <c r="D112" s="170">
        <f>947322+335957+990171</f>
        <v>2273450</v>
      </c>
      <c r="E112" s="159">
        <f>D112/B112</f>
        <v>255.67363922627081</v>
      </c>
    </row>
    <row r="113" spans="1:5" x14ac:dyDescent="0.3">
      <c r="A113" s="156" t="s">
        <v>101</v>
      </c>
      <c r="B113" s="170">
        <f>5567+4870+4689+6524+6033</f>
        <v>27683</v>
      </c>
      <c r="C113" s="171">
        <f>10046+11143+10047+14675+13887</f>
        <v>59798</v>
      </c>
      <c r="D113" s="170">
        <f>1253568+1352829+1238727+1776087+1677862</f>
        <v>7299073</v>
      </c>
      <c r="E113" s="159">
        <f>D113/B113</f>
        <v>263.66625726980459</v>
      </c>
    </row>
    <row r="114" spans="1:5" ht="19.5" thickBot="1" x14ac:dyDescent="0.35">
      <c r="A114" s="185" t="s">
        <v>102</v>
      </c>
      <c r="B114" s="173">
        <f>5828+4430</f>
        <v>10258</v>
      </c>
      <c r="C114" s="171">
        <f>13245+7918</f>
        <v>21163</v>
      </c>
      <c r="D114" s="170">
        <f>1629378+978967</f>
        <v>2608345</v>
      </c>
      <c r="E114" s="159">
        <f>D114/B114</f>
        <v>254.27422499512576</v>
      </c>
    </row>
    <row r="115" spans="1:5" ht="19.5" thickBot="1" x14ac:dyDescent="0.35">
      <c r="A115" s="135" t="s">
        <v>91</v>
      </c>
      <c r="B115" s="141">
        <f>SUM(B111:B114)</f>
        <v>48064</v>
      </c>
      <c r="C115" s="141">
        <f>SUM(C111:C114)</f>
        <v>102653</v>
      </c>
      <c r="D115" s="142">
        <f>SUM(D111:D114)</f>
        <v>12543551</v>
      </c>
      <c r="E115" s="139">
        <f>D115/B115</f>
        <v>260.97601115179759</v>
      </c>
    </row>
    <row r="116" spans="1:5" ht="19.5" thickBot="1" x14ac:dyDescent="0.35">
      <c r="A116" s="147"/>
      <c r="B116" s="148"/>
      <c r="C116" s="148"/>
      <c r="D116" s="148"/>
      <c r="E116" s="149"/>
    </row>
    <row r="117" spans="1:5" ht="19.5" thickBot="1" x14ac:dyDescent="0.35">
      <c r="A117" s="134" t="s">
        <v>74</v>
      </c>
      <c r="B117" s="142">
        <f>B15+B29+B41+B51+B60+B69+B82+B94+B108+B115</f>
        <v>505712</v>
      </c>
      <c r="C117" s="142">
        <f>C15+C29+C41+C51+C60+C69+C82+C94+C108+C115</f>
        <v>1098668</v>
      </c>
      <c r="D117" s="142">
        <f>D15+D29+D41+D51+D60+D69+D82+D94+D108+D115</f>
        <v>133195796</v>
      </c>
      <c r="E117" s="178">
        <f>SUM(E8:E114)</f>
        <v>23520.979468029807</v>
      </c>
    </row>
  </sheetData>
  <mergeCells count="5">
    <mergeCell ref="A5:E5"/>
    <mergeCell ref="A1:E1"/>
    <mergeCell ref="A2:E2"/>
    <mergeCell ref="A3:E3"/>
    <mergeCell ref="A4:E4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7"/>
  <sheetViews>
    <sheetView zoomScale="75" workbookViewId="0">
      <pane ySplit="6" topLeftCell="A115" activePane="bottomLeft" state="frozen"/>
      <selection pane="bottomLeft" activeCell="H40" sqref="H40"/>
    </sheetView>
  </sheetViews>
  <sheetFormatPr defaultRowHeight="18.75" x14ac:dyDescent="0.3"/>
  <cols>
    <col min="1" max="1" width="23.42578125" style="150" customWidth="1"/>
    <col min="2" max="5" width="15.7109375" style="64" customWidth="1"/>
    <col min="6" max="14" width="9.140625" style="18"/>
    <col min="15" max="16384" width="9.140625" style="1"/>
  </cols>
  <sheetData>
    <row r="1" spans="1:6" x14ac:dyDescent="0.3">
      <c r="A1" s="359" t="s">
        <v>10</v>
      </c>
      <c r="B1" s="359"/>
      <c r="C1" s="359"/>
      <c r="D1" s="359"/>
      <c r="E1" s="359"/>
    </row>
    <row r="2" spans="1:6" x14ac:dyDescent="0.3">
      <c r="A2" s="359" t="s">
        <v>71</v>
      </c>
      <c r="B2" s="359"/>
      <c r="C2" s="359"/>
      <c r="D2" s="359"/>
      <c r="E2" s="359"/>
    </row>
    <row r="3" spans="1:6" x14ac:dyDescent="0.3">
      <c r="A3" s="360" t="s">
        <v>112</v>
      </c>
      <c r="B3" s="360"/>
      <c r="C3" s="360"/>
      <c r="D3" s="360"/>
      <c r="E3" s="360"/>
    </row>
    <row r="4" spans="1:6" x14ac:dyDescent="0.3">
      <c r="A4" s="359" t="s">
        <v>139</v>
      </c>
      <c r="B4" s="359"/>
      <c r="C4" s="359"/>
      <c r="D4" s="359"/>
      <c r="E4" s="359"/>
      <c r="F4" s="143"/>
    </row>
    <row r="5" spans="1:6" ht="19.5" thickBot="1" x14ac:dyDescent="0.35">
      <c r="A5" s="354"/>
      <c r="B5" s="358"/>
      <c r="C5" s="358"/>
      <c r="D5" s="358"/>
      <c r="E5" s="358"/>
    </row>
    <row r="6" spans="1:6" ht="57" thickBot="1" x14ac:dyDescent="0.35">
      <c r="A6" s="188"/>
      <c r="B6" s="189" t="s">
        <v>75</v>
      </c>
      <c r="C6" s="190" t="s">
        <v>76</v>
      </c>
      <c r="D6" s="190" t="s">
        <v>77</v>
      </c>
      <c r="E6" s="190" t="s">
        <v>78</v>
      </c>
    </row>
    <row r="7" spans="1:6" ht="21.75" customHeight="1" thickBot="1" x14ac:dyDescent="0.35">
      <c r="A7" s="135" t="s">
        <v>0</v>
      </c>
      <c r="B7" s="137"/>
      <c r="C7" s="137"/>
      <c r="D7" s="137"/>
      <c r="E7" s="137"/>
    </row>
    <row r="8" spans="1:6" x14ac:dyDescent="0.3">
      <c r="A8" s="151" t="s">
        <v>11</v>
      </c>
      <c r="B8" s="152">
        <v>5719</v>
      </c>
      <c r="C8" s="153">
        <v>13206</v>
      </c>
      <c r="D8" s="154">
        <v>1471524</v>
      </c>
      <c r="E8" s="155">
        <f>D8/B8</f>
        <v>257.30442385032347</v>
      </c>
    </row>
    <row r="9" spans="1:6" x14ac:dyDescent="0.3">
      <c r="A9" s="156" t="s">
        <v>124</v>
      </c>
      <c r="B9" s="157">
        <f>4743+4932</f>
        <v>9675</v>
      </c>
      <c r="C9" s="158">
        <f>10043+10177</f>
        <v>20220</v>
      </c>
      <c r="D9" s="157">
        <f>1146573+1174039</f>
        <v>2320612</v>
      </c>
      <c r="E9" s="155">
        <f t="shared" ref="E9:E14" si="0">D9/B9</f>
        <v>239.85653746770026</v>
      </c>
    </row>
    <row r="10" spans="1:6" x14ac:dyDescent="0.3">
      <c r="A10" s="156" t="s">
        <v>12</v>
      </c>
      <c r="B10" s="157">
        <v>6710</v>
      </c>
      <c r="C10" s="158">
        <v>14201</v>
      </c>
      <c r="D10" s="157">
        <v>1604809</v>
      </c>
      <c r="E10" s="155">
        <f t="shared" si="0"/>
        <v>239.16676602086437</v>
      </c>
    </row>
    <row r="11" spans="1:6" x14ac:dyDescent="0.3">
      <c r="A11" s="156" t="s">
        <v>13</v>
      </c>
      <c r="B11" s="157">
        <v>1712</v>
      </c>
      <c r="C11" s="158">
        <v>3763</v>
      </c>
      <c r="D11" s="157">
        <v>430590</v>
      </c>
      <c r="E11" s="155">
        <f t="shared" si="0"/>
        <v>251.51285046728972</v>
      </c>
    </row>
    <row r="12" spans="1:6" x14ac:dyDescent="0.3">
      <c r="A12" s="156" t="s">
        <v>14</v>
      </c>
      <c r="B12" s="157">
        <v>6997</v>
      </c>
      <c r="C12" s="158">
        <v>16057</v>
      </c>
      <c r="D12" s="157">
        <v>1821358</v>
      </c>
      <c r="E12" s="155">
        <f t="shared" si="0"/>
        <v>260.30555952551094</v>
      </c>
    </row>
    <row r="13" spans="1:6" x14ac:dyDescent="0.3">
      <c r="A13" s="156" t="s">
        <v>15</v>
      </c>
      <c r="B13" s="157">
        <v>2448</v>
      </c>
      <c r="C13" s="158">
        <v>4995</v>
      </c>
      <c r="D13" s="157">
        <v>570374</v>
      </c>
      <c r="E13" s="155">
        <f t="shared" si="0"/>
        <v>232.99591503267973</v>
      </c>
    </row>
    <row r="14" spans="1:6" ht="19.5" thickBot="1" x14ac:dyDescent="0.35">
      <c r="A14" s="160" t="s">
        <v>72</v>
      </c>
      <c r="B14" s="161">
        <v>8639</v>
      </c>
      <c r="C14" s="162">
        <v>17908</v>
      </c>
      <c r="D14" s="163">
        <v>2055144</v>
      </c>
      <c r="E14" s="155">
        <f t="shared" si="0"/>
        <v>237.8914226183586</v>
      </c>
    </row>
    <row r="15" spans="1:6" ht="19.5" thickBot="1" x14ac:dyDescent="0.35">
      <c r="A15" s="135" t="s">
        <v>85</v>
      </c>
      <c r="B15" s="139">
        <f>SUM(B8:B14)</f>
        <v>41900</v>
      </c>
      <c r="C15" s="139">
        <f>SUM(C8:C14)</f>
        <v>90350</v>
      </c>
      <c r="D15" s="139">
        <f>SUM(D8:D14)</f>
        <v>10274411</v>
      </c>
      <c r="E15" s="139">
        <f>D15/B15</f>
        <v>245.21267303102624</v>
      </c>
    </row>
    <row r="16" spans="1:6" ht="19.5" thickBot="1" x14ac:dyDescent="0.35">
      <c r="A16" s="144"/>
      <c r="B16" s="145"/>
      <c r="C16" s="145"/>
      <c r="D16" s="145"/>
      <c r="E16" s="145"/>
    </row>
    <row r="17" spans="1:14" ht="19.5" thickBot="1" x14ac:dyDescent="0.35">
      <c r="A17" s="134" t="s">
        <v>1</v>
      </c>
      <c r="B17" s="139"/>
      <c r="C17" s="139"/>
      <c r="D17" s="139"/>
      <c r="E17" s="183"/>
    </row>
    <row r="18" spans="1:14" s="2" customFormat="1" x14ac:dyDescent="0.3">
      <c r="A18" s="165" t="s">
        <v>122</v>
      </c>
      <c r="B18" s="152">
        <f>11670+5368</f>
        <v>17038</v>
      </c>
      <c r="C18" s="167">
        <f>23991+10490</f>
        <v>34481</v>
      </c>
      <c r="D18" s="168">
        <f>2770270+1220843</f>
        <v>3991113</v>
      </c>
      <c r="E18" s="155">
        <f>D18/B18</f>
        <v>234.24774034511094</v>
      </c>
      <c r="F18" s="42"/>
      <c r="G18" s="42"/>
      <c r="H18" s="42"/>
      <c r="I18" s="42"/>
      <c r="J18" s="42"/>
      <c r="K18" s="42"/>
      <c r="L18" s="42"/>
      <c r="M18" s="42"/>
      <c r="N18" s="42"/>
    </row>
    <row r="19" spans="1:14" x14ac:dyDescent="0.3">
      <c r="A19" s="169" t="s">
        <v>16</v>
      </c>
      <c r="B19" s="170">
        <v>4760</v>
      </c>
      <c r="C19" s="170">
        <v>9991</v>
      </c>
      <c r="D19" s="170">
        <v>1146721</v>
      </c>
      <c r="E19" s="155">
        <f t="shared" ref="E19:E28" si="1">D19/B19</f>
        <v>240.90777310924369</v>
      </c>
    </row>
    <row r="20" spans="1:14" x14ac:dyDescent="0.3">
      <c r="A20" s="156" t="s">
        <v>17</v>
      </c>
      <c r="B20" s="170">
        <v>6060</v>
      </c>
      <c r="C20" s="171">
        <v>12929</v>
      </c>
      <c r="D20" s="170">
        <v>1461061</v>
      </c>
      <c r="E20" s="155">
        <f t="shared" si="1"/>
        <v>241.09917491749175</v>
      </c>
    </row>
    <row r="21" spans="1:14" x14ac:dyDescent="0.3">
      <c r="A21" s="156" t="s">
        <v>18</v>
      </c>
      <c r="B21" s="170">
        <v>3878</v>
      </c>
      <c r="C21" s="171">
        <v>8746</v>
      </c>
      <c r="D21" s="170">
        <v>986768</v>
      </c>
      <c r="E21" s="155">
        <f t="shared" si="1"/>
        <v>254.45281072717896</v>
      </c>
    </row>
    <row r="22" spans="1:14" x14ac:dyDescent="0.3">
      <c r="A22" s="156" t="s">
        <v>19</v>
      </c>
      <c r="B22" s="170">
        <v>2525</v>
      </c>
      <c r="C22" s="171">
        <v>5588</v>
      </c>
      <c r="D22" s="170">
        <v>633116</v>
      </c>
      <c r="E22" s="155">
        <f t="shared" si="1"/>
        <v>250.73900990099011</v>
      </c>
    </row>
    <row r="23" spans="1:14" x14ac:dyDescent="0.3">
      <c r="A23" s="156" t="s">
        <v>20</v>
      </c>
      <c r="B23" s="170">
        <v>6845</v>
      </c>
      <c r="C23" s="171">
        <v>14739</v>
      </c>
      <c r="D23" s="170">
        <v>1673820</v>
      </c>
      <c r="E23" s="155">
        <f t="shared" si="1"/>
        <v>244.5317750182615</v>
      </c>
    </row>
    <row r="24" spans="1:14" x14ac:dyDescent="0.3">
      <c r="A24" s="156" t="s">
        <v>21</v>
      </c>
      <c r="B24" s="170">
        <v>6178</v>
      </c>
      <c r="C24" s="171">
        <v>14035</v>
      </c>
      <c r="D24" s="170">
        <v>1597678</v>
      </c>
      <c r="E24" s="155">
        <f t="shared" si="1"/>
        <v>258.60764001294916</v>
      </c>
    </row>
    <row r="25" spans="1:14" x14ac:dyDescent="0.3">
      <c r="A25" s="156" t="s">
        <v>69</v>
      </c>
      <c r="B25" s="170">
        <v>7979</v>
      </c>
      <c r="C25" s="171">
        <v>16555</v>
      </c>
      <c r="D25" s="170">
        <v>1899309</v>
      </c>
      <c r="E25" s="155">
        <f t="shared" si="1"/>
        <v>238.03847599949867</v>
      </c>
    </row>
    <row r="26" spans="1:14" x14ac:dyDescent="0.3">
      <c r="A26" s="156" t="s">
        <v>22</v>
      </c>
      <c r="B26" s="170">
        <v>5094</v>
      </c>
      <c r="C26" s="171">
        <v>12399</v>
      </c>
      <c r="D26" s="170">
        <v>1383237</v>
      </c>
      <c r="E26" s="155">
        <f t="shared" si="1"/>
        <v>271.5424028268551</v>
      </c>
    </row>
    <row r="27" spans="1:14" x14ac:dyDescent="0.3">
      <c r="A27" s="156" t="s">
        <v>23</v>
      </c>
      <c r="B27" s="170">
        <v>4413</v>
      </c>
      <c r="C27" s="171">
        <v>9822</v>
      </c>
      <c r="D27" s="170">
        <v>1101317</v>
      </c>
      <c r="E27" s="155">
        <f t="shared" si="1"/>
        <v>249.56197598005892</v>
      </c>
    </row>
    <row r="28" spans="1:14" ht="19.5" thickBot="1" x14ac:dyDescent="0.35">
      <c r="A28" s="172" t="s">
        <v>87</v>
      </c>
      <c r="B28" s="173">
        <f>4810+1562</f>
        <v>6372</v>
      </c>
      <c r="C28" s="174">
        <f>10969+3566</f>
        <v>14535</v>
      </c>
      <c r="D28" s="175">
        <f>1253284+400680</f>
        <v>1653964</v>
      </c>
      <c r="E28" s="155">
        <f t="shared" si="1"/>
        <v>259.56748273697428</v>
      </c>
    </row>
    <row r="29" spans="1:14" ht="19.5" thickBot="1" x14ac:dyDescent="0.35">
      <c r="A29" s="135" t="s">
        <v>88</v>
      </c>
      <c r="B29" s="142">
        <f>SUM(B18:B28)</f>
        <v>71142</v>
      </c>
      <c r="C29" s="142">
        <f>SUM(C18:C28)</f>
        <v>153820</v>
      </c>
      <c r="D29" s="142">
        <f>SUM(D18:D28)</f>
        <v>17528104</v>
      </c>
      <c r="E29" s="139">
        <f>D29/B29</f>
        <v>246.38194034466278</v>
      </c>
    </row>
    <row r="30" spans="1:14" ht="19.5" thickBot="1" x14ac:dyDescent="0.35">
      <c r="A30" s="144"/>
      <c r="B30" s="146"/>
      <c r="C30" s="146"/>
      <c r="D30" s="146"/>
      <c r="E30" s="145"/>
    </row>
    <row r="31" spans="1:14" ht="19.5" thickBot="1" x14ac:dyDescent="0.35">
      <c r="A31" s="176" t="s">
        <v>2</v>
      </c>
      <c r="B31" s="142"/>
      <c r="C31" s="142"/>
      <c r="D31" s="142"/>
      <c r="E31" s="142"/>
    </row>
    <row r="32" spans="1:14" x14ac:dyDescent="0.3">
      <c r="A32" s="151" t="s">
        <v>24</v>
      </c>
      <c r="B32" s="180">
        <v>20055</v>
      </c>
      <c r="C32" s="181">
        <v>42726</v>
      </c>
      <c r="D32" s="182">
        <v>4864330</v>
      </c>
      <c r="E32" s="155">
        <f>D32/B32</f>
        <v>242.54948890550986</v>
      </c>
    </row>
    <row r="33" spans="1:5" x14ac:dyDescent="0.3">
      <c r="A33" s="156" t="s">
        <v>25</v>
      </c>
      <c r="B33" s="170">
        <v>3743</v>
      </c>
      <c r="C33" s="171">
        <v>8379</v>
      </c>
      <c r="D33" s="170">
        <v>956203</v>
      </c>
      <c r="E33" s="155">
        <f t="shared" ref="E33:E40" si="2">D33/B33</f>
        <v>255.46433342238845</v>
      </c>
    </row>
    <row r="34" spans="1:5" x14ac:dyDescent="0.3">
      <c r="A34" s="156" t="s">
        <v>26</v>
      </c>
      <c r="B34" s="170">
        <v>6266</v>
      </c>
      <c r="C34" s="171">
        <v>14316</v>
      </c>
      <c r="D34" s="170">
        <v>1606635</v>
      </c>
      <c r="E34" s="155">
        <f t="shared" si="2"/>
        <v>256.4052026811363</v>
      </c>
    </row>
    <row r="35" spans="1:5" x14ac:dyDescent="0.3">
      <c r="A35" s="156" t="s">
        <v>27</v>
      </c>
      <c r="B35" s="170">
        <v>3871</v>
      </c>
      <c r="C35" s="171">
        <v>8385</v>
      </c>
      <c r="D35" s="170">
        <v>943695</v>
      </c>
      <c r="E35" s="155">
        <f t="shared" si="2"/>
        <v>243.78584345130457</v>
      </c>
    </row>
    <row r="36" spans="1:5" x14ac:dyDescent="0.3">
      <c r="A36" s="156" t="s">
        <v>28</v>
      </c>
      <c r="B36" s="170">
        <v>4674</v>
      </c>
      <c r="C36" s="171">
        <v>10329</v>
      </c>
      <c r="D36" s="170">
        <v>1148894</v>
      </c>
      <c r="E36" s="155">
        <f t="shared" si="2"/>
        <v>245.80530594779631</v>
      </c>
    </row>
    <row r="37" spans="1:5" x14ac:dyDescent="0.3">
      <c r="A37" s="156" t="s">
        <v>29</v>
      </c>
      <c r="B37" s="170">
        <v>7427</v>
      </c>
      <c r="C37" s="171">
        <v>17004</v>
      </c>
      <c r="D37" s="170">
        <v>1909894</v>
      </c>
      <c r="E37" s="155">
        <f t="shared" si="2"/>
        <v>257.15551366635248</v>
      </c>
    </row>
    <row r="38" spans="1:5" x14ac:dyDescent="0.3">
      <c r="A38" s="156" t="s">
        <v>89</v>
      </c>
      <c r="B38" s="170">
        <f>4911+4037</f>
        <v>8948</v>
      </c>
      <c r="C38" s="171">
        <f>10987+8684</f>
        <v>19671</v>
      </c>
      <c r="D38" s="170">
        <f>1242010+976774</f>
        <v>2218784</v>
      </c>
      <c r="E38" s="155">
        <f t="shared" si="2"/>
        <v>247.96423781850692</v>
      </c>
    </row>
    <row r="39" spans="1:5" x14ac:dyDescent="0.3">
      <c r="A39" s="156" t="s">
        <v>30</v>
      </c>
      <c r="B39" s="170">
        <v>5438</v>
      </c>
      <c r="C39" s="171">
        <v>12228</v>
      </c>
      <c r="D39" s="170">
        <v>1382395</v>
      </c>
      <c r="E39" s="155">
        <f t="shared" si="2"/>
        <v>254.21018756895919</v>
      </c>
    </row>
    <row r="40" spans="1:5" ht="19.5" thickBot="1" x14ac:dyDescent="0.35">
      <c r="A40" s="172" t="s">
        <v>90</v>
      </c>
      <c r="B40" s="173">
        <f>5473+4113</f>
        <v>9586</v>
      </c>
      <c r="C40" s="174">
        <f>11893+8656</f>
        <v>20549</v>
      </c>
      <c r="D40" s="175">
        <f>1355394+991045</f>
        <v>2346439</v>
      </c>
      <c r="E40" s="155">
        <f t="shared" si="2"/>
        <v>244.77769664093469</v>
      </c>
    </row>
    <row r="41" spans="1:5" ht="19.5" thickBot="1" x14ac:dyDescent="0.35">
      <c r="A41" s="135" t="s">
        <v>91</v>
      </c>
      <c r="B41" s="142">
        <f>SUM(B32:B40)</f>
        <v>70008</v>
      </c>
      <c r="C41" s="142">
        <f>SUM(C32:C40)</f>
        <v>153587</v>
      </c>
      <c r="D41" s="142">
        <f>SUM(D32:D40)</f>
        <v>17377269</v>
      </c>
      <c r="E41" s="139">
        <f>D41/B41</f>
        <v>248.21833219060679</v>
      </c>
    </row>
    <row r="42" spans="1:5" ht="19.5" thickBot="1" x14ac:dyDescent="0.35">
      <c r="A42" s="147"/>
      <c r="B42" s="148"/>
      <c r="C42" s="148"/>
      <c r="D42" s="148"/>
      <c r="E42" s="149"/>
    </row>
    <row r="43" spans="1:5" ht="19.5" thickBot="1" x14ac:dyDescent="0.35">
      <c r="A43" s="176" t="s">
        <v>3</v>
      </c>
      <c r="B43" s="142"/>
      <c r="C43" s="142"/>
      <c r="D43" s="142"/>
      <c r="E43" s="142"/>
    </row>
    <row r="44" spans="1:5" x14ac:dyDescent="0.3">
      <c r="A44" s="151" t="s">
        <v>31</v>
      </c>
      <c r="B44" s="180">
        <v>3513</v>
      </c>
      <c r="C44" s="181">
        <v>7463</v>
      </c>
      <c r="D44" s="182">
        <v>871081</v>
      </c>
      <c r="E44" s="155">
        <f>D44/B44</f>
        <v>247.95929405066894</v>
      </c>
    </row>
    <row r="45" spans="1:5" x14ac:dyDescent="0.3">
      <c r="A45" s="156" t="s">
        <v>32</v>
      </c>
      <c r="B45" s="170">
        <v>6643</v>
      </c>
      <c r="C45" s="171">
        <v>15762</v>
      </c>
      <c r="D45" s="170">
        <v>1773593</v>
      </c>
      <c r="E45" s="155">
        <f t="shared" ref="E45:E50" si="3">D45/B45</f>
        <v>266.98675297305437</v>
      </c>
    </row>
    <row r="46" spans="1:5" x14ac:dyDescent="0.3">
      <c r="A46" s="156" t="s">
        <v>92</v>
      </c>
      <c r="B46" s="170">
        <v>16214</v>
      </c>
      <c r="C46" s="171">
        <v>33530</v>
      </c>
      <c r="D46" s="170">
        <v>3793851</v>
      </c>
      <c r="E46" s="155">
        <f t="shared" si="3"/>
        <v>233.9861231034908</v>
      </c>
    </row>
    <row r="47" spans="1:5" x14ac:dyDescent="0.3">
      <c r="A47" s="156" t="s">
        <v>33</v>
      </c>
      <c r="B47" s="170">
        <v>5217</v>
      </c>
      <c r="C47" s="171">
        <v>11547</v>
      </c>
      <c r="D47" s="170">
        <v>1302533</v>
      </c>
      <c r="E47" s="155">
        <f t="shared" si="3"/>
        <v>249.67088364960705</v>
      </c>
    </row>
    <row r="48" spans="1:5" x14ac:dyDescent="0.3">
      <c r="A48" s="156" t="s">
        <v>34</v>
      </c>
      <c r="B48" s="170">
        <v>4269</v>
      </c>
      <c r="C48" s="171">
        <v>9016</v>
      </c>
      <c r="D48" s="170">
        <v>1034965</v>
      </c>
      <c r="E48" s="155">
        <f t="shared" si="3"/>
        <v>242.43733895525884</v>
      </c>
    </row>
    <row r="49" spans="1:5" x14ac:dyDescent="0.3">
      <c r="A49" s="156" t="s">
        <v>35</v>
      </c>
      <c r="B49" s="170">
        <v>3977</v>
      </c>
      <c r="C49" s="171">
        <v>8085</v>
      </c>
      <c r="D49" s="170">
        <v>920863</v>
      </c>
      <c r="E49" s="155">
        <f t="shared" si="3"/>
        <v>231.54714609001761</v>
      </c>
    </row>
    <row r="50" spans="1:5" ht="19.5" thickBot="1" x14ac:dyDescent="0.35">
      <c r="A50" s="156" t="s">
        <v>36</v>
      </c>
      <c r="B50" s="173">
        <v>5997</v>
      </c>
      <c r="C50" s="171">
        <v>12468</v>
      </c>
      <c r="D50" s="170">
        <v>1414017</v>
      </c>
      <c r="E50" s="155">
        <f t="shared" si="3"/>
        <v>235.78739369684843</v>
      </c>
    </row>
    <row r="51" spans="1:5" ht="19.5" thickBot="1" x14ac:dyDescent="0.35">
      <c r="A51" s="135" t="s">
        <v>91</v>
      </c>
      <c r="B51" s="142">
        <f>SUM(B44:B50)</f>
        <v>45830</v>
      </c>
      <c r="C51" s="142">
        <f>SUM(C44:C50)</f>
        <v>97871</v>
      </c>
      <c r="D51" s="142">
        <f>SUM(D44:D50)</f>
        <v>11110903</v>
      </c>
      <c r="E51" s="139">
        <f>D51/B51</f>
        <v>242.43733362426357</v>
      </c>
    </row>
    <row r="52" spans="1:5" ht="19.5" thickBot="1" x14ac:dyDescent="0.35">
      <c r="A52" s="147"/>
      <c r="B52" s="148"/>
      <c r="C52" s="148"/>
      <c r="D52" s="148"/>
      <c r="E52" s="149"/>
    </row>
    <row r="53" spans="1:5" ht="19.5" thickBot="1" x14ac:dyDescent="0.35">
      <c r="A53" s="135" t="s">
        <v>4</v>
      </c>
      <c r="B53" s="142"/>
      <c r="C53" s="142"/>
      <c r="D53" s="142"/>
      <c r="E53" s="142"/>
    </row>
    <row r="54" spans="1:5" x14ac:dyDescent="0.3">
      <c r="A54" s="151" t="s">
        <v>37</v>
      </c>
      <c r="B54" s="180">
        <v>6351</v>
      </c>
      <c r="C54" s="181">
        <v>14058</v>
      </c>
      <c r="D54" s="182">
        <v>1578554</v>
      </c>
      <c r="E54" s="155">
        <f t="shared" ref="E54:E60" si="4">D54/B54</f>
        <v>248.55203904896868</v>
      </c>
    </row>
    <row r="55" spans="1:5" x14ac:dyDescent="0.3">
      <c r="A55" s="156" t="s">
        <v>93</v>
      </c>
      <c r="B55" s="170">
        <f>6402+7927</f>
        <v>14329</v>
      </c>
      <c r="C55" s="171">
        <f>13681+16853</f>
        <v>30534</v>
      </c>
      <c r="D55" s="170">
        <f>1552767+1902012</f>
        <v>3454779</v>
      </c>
      <c r="E55" s="155">
        <f t="shared" si="4"/>
        <v>241.10398492567521</v>
      </c>
    </row>
    <row r="56" spans="1:5" x14ac:dyDescent="0.3">
      <c r="A56" s="156" t="s">
        <v>94</v>
      </c>
      <c r="B56" s="170">
        <v>4233</v>
      </c>
      <c r="C56" s="171">
        <v>9990</v>
      </c>
      <c r="D56" s="170">
        <v>1130919</v>
      </c>
      <c r="E56" s="155">
        <f t="shared" si="4"/>
        <v>267.16725726435152</v>
      </c>
    </row>
    <row r="57" spans="1:5" x14ac:dyDescent="0.3">
      <c r="A57" s="156" t="s">
        <v>38</v>
      </c>
      <c r="B57" s="170">
        <v>2985</v>
      </c>
      <c r="C57" s="171">
        <v>6398</v>
      </c>
      <c r="D57" s="170">
        <v>724851</v>
      </c>
      <c r="E57" s="155">
        <f t="shared" si="4"/>
        <v>242.83115577889447</v>
      </c>
    </row>
    <row r="58" spans="1:5" x14ac:dyDescent="0.3">
      <c r="A58" s="156" t="s">
        <v>95</v>
      </c>
      <c r="B58" s="170">
        <f>5467+1909</f>
        <v>7376</v>
      </c>
      <c r="C58" s="171">
        <f>11900+4114</f>
        <v>16014</v>
      </c>
      <c r="D58" s="170">
        <f>1340141+465328</f>
        <v>1805469</v>
      </c>
      <c r="E58" s="155">
        <f t="shared" si="4"/>
        <v>244.77616594360086</v>
      </c>
    </row>
    <row r="59" spans="1:5" ht="19.5" thickBot="1" x14ac:dyDescent="0.35">
      <c r="A59" s="156" t="s">
        <v>121</v>
      </c>
      <c r="B59" s="173">
        <f>5900+508</f>
        <v>6408</v>
      </c>
      <c r="C59" s="171">
        <f>12582+898</f>
        <v>13480</v>
      </c>
      <c r="D59" s="170">
        <f>1429888+104399</f>
        <v>1534287</v>
      </c>
      <c r="E59" s="155">
        <f t="shared" si="4"/>
        <v>239.43305243445693</v>
      </c>
    </row>
    <row r="60" spans="1:5" ht="19.5" thickBot="1" x14ac:dyDescent="0.35">
      <c r="A60" s="135" t="s">
        <v>91</v>
      </c>
      <c r="B60" s="141">
        <f>SUM(B54:B59)</f>
        <v>41682</v>
      </c>
      <c r="C60" s="141">
        <f>SUM(C54:C59)</f>
        <v>90474</v>
      </c>
      <c r="D60" s="142">
        <f>SUM(D54:D59)</f>
        <v>10228859</v>
      </c>
      <c r="E60" s="139">
        <f t="shared" si="4"/>
        <v>245.40230795067416</v>
      </c>
    </row>
    <row r="61" spans="1:5" ht="19.5" thickBot="1" x14ac:dyDescent="0.35">
      <c r="A61" s="147"/>
      <c r="B61" s="148"/>
      <c r="C61" s="148"/>
      <c r="D61" s="148"/>
      <c r="E61" s="149"/>
    </row>
    <row r="62" spans="1:5" ht="19.5" thickBot="1" x14ac:dyDescent="0.35">
      <c r="A62" s="135" t="s">
        <v>5</v>
      </c>
      <c r="B62" s="142"/>
      <c r="C62" s="142"/>
      <c r="D62" s="142"/>
      <c r="E62" s="142"/>
    </row>
    <row r="63" spans="1:5" x14ac:dyDescent="0.3">
      <c r="A63" s="151" t="s">
        <v>39</v>
      </c>
      <c r="B63" s="180">
        <v>3313</v>
      </c>
      <c r="C63" s="181">
        <v>7248</v>
      </c>
      <c r="D63" s="182">
        <v>818579</v>
      </c>
      <c r="E63" s="155">
        <f t="shared" ref="E63:E69" si="5">D63/B63</f>
        <v>247.08089345004527</v>
      </c>
    </row>
    <row r="64" spans="1:5" x14ac:dyDescent="0.3">
      <c r="A64" s="156" t="s">
        <v>40</v>
      </c>
      <c r="B64" s="170">
        <v>5372</v>
      </c>
      <c r="C64" s="171">
        <v>10689</v>
      </c>
      <c r="D64" s="170">
        <v>1201238</v>
      </c>
      <c r="E64" s="155">
        <f t="shared" si="5"/>
        <v>223.61094564408043</v>
      </c>
    </row>
    <row r="65" spans="1:5" x14ac:dyDescent="0.3">
      <c r="A65" s="156" t="s">
        <v>5</v>
      </c>
      <c r="B65" s="170">
        <v>6398</v>
      </c>
      <c r="C65" s="171">
        <v>13683</v>
      </c>
      <c r="D65" s="170">
        <v>1552502</v>
      </c>
      <c r="E65" s="155">
        <f t="shared" si="5"/>
        <v>242.6542669584245</v>
      </c>
    </row>
    <row r="66" spans="1:5" x14ac:dyDescent="0.3">
      <c r="A66" s="156" t="s">
        <v>41</v>
      </c>
      <c r="B66" s="170">
        <v>3372</v>
      </c>
      <c r="C66" s="171">
        <v>7155</v>
      </c>
      <c r="D66" s="170">
        <v>810085</v>
      </c>
      <c r="E66" s="155">
        <f t="shared" si="5"/>
        <v>240.23873072360618</v>
      </c>
    </row>
    <row r="67" spans="1:5" x14ac:dyDescent="0.3">
      <c r="A67" s="156" t="s">
        <v>42</v>
      </c>
      <c r="B67" s="170">
        <v>4978</v>
      </c>
      <c r="C67" s="171">
        <v>10586</v>
      </c>
      <c r="D67" s="170">
        <v>1202602</v>
      </c>
      <c r="E67" s="155">
        <f t="shared" si="5"/>
        <v>241.58336681398151</v>
      </c>
    </row>
    <row r="68" spans="1:5" ht="19.5" thickBot="1" x14ac:dyDescent="0.35">
      <c r="A68" s="160" t="s">
        <v>43</v>
      </c>
      <c r="B68" s="173">
        <v>3304</v>
      </c>
      <c r="C68" s="184">
        <v>7500</v>
      </c>
      <c r="D68" s="173">
        <v>835992</v>
      </c>
      <c r="E68" s="155">
        <f t="shared" si="5"/>
        <v>253.02421307506054</v>
      </c>
    </row>
    <row r="69" spans="1:5" ht="19.5" thickBot="1" x14ac:dyDescent="0.35">
      <c r="A69" s="135" t="s">
        <v>91</v>
      </c>
      <c r="B69" s="141">
        <f>SUM(B63:B68)</f>
        <v>26737</v>
      </c>
      <c r="C69" s="141">
        <f>SUM(C63:C68)</f>
        <v>56861</v>
      </c>
      <c r="D69" s="142">
        <f>SUM(D63:D68)</f>
        <v>6420998</v>
      </c>
      <c r="E69" s="139">
        <f t="shared" si="5"/>
        <v>240.15401877547967</v>
      </c>
    </row>
    <row r="70" spans="1:5" ht="19.5" thickBot="1" x14ac:dyDescent="0.35">
      <c r="A70" s="147"/>
      <c r="B70" s="148"/>
      <c r="C70" s="148"/>
      <c r="D70" s="148"/>
      <c r="E70" s="149"/>
    </row>
    <row r="71" spans="1:5" ht="19.5" thickBot="1" x14ac:dyDescent="0.35">
      <c r="A71" s="176" t="s">
        <v>6</v>
      </c>
      <c r="B71" s="142"/>
      <c r="C71" s="142"/>
      <c r="D71" s="142"/>
      <c r="E71" s="142"/>
    </row>
    <row r="72" spans="1:5" x14ac:dyDescent="0.3">
      <c r="A72" s="151" t="s">
        <v>44</v>
      </c>
      <c r="B72" s="180">
        <v>1883</v>
      </c>
      <c r="C72" s="181">
        <v>3944</v>
      </c>
      <c r="D72" s="182">
        <v>442680</v>
      </c>
      <c r="E72" s="155">
        <f>D72/B72</f>
        <v>235.09293680297398</v>
      </c>
    </row>
    <row r="73" spans="1:5" x14ac:dyDescent="0.3">
      <c r="A73" s="156" t="s">
        <v>70</v>
      </c>
      <c r="B73" s="170">
        <v>98</v>
      </c>
      <c r="C73" s="171">
        <v>208</v>
      </c>
      <c r="D73" s="170">
        <v>23057</v>
      </c>
      <c r="E73" s="155">
        <f t="shared" ref="E73:E81" si="6">D73/B73</f>
        <v>235.27551020408163</v>
      </c>
    </row>
    <row r="74" spans="1:5" x14ac:dyDescent="0.3">
      <c r="A74" s="156" t="s">
        <v>45</v>
      </c>
      <c r="B74" s="170">
        <v>5571</v>
      </c>
      <c r="C74" s="171">
        <v>11795</v>
      </c>
      <c r="D74" s="170">
        <v>1340530</v>
      </c>
      <c r="E74" s="155">
        <f t="shared" si="6"/>
        <v>240.62645844552145</v>
      </c>
    </row>
    <row r="75" spans="1:5" x14ac:dyDescent="0.3">
      <c r="A75" s="156" t="s">
        <v>6</v>
      </c>
      <c r="B75" s="170">
        <v>8903</v>
      </c>
      <c r="C75" s="171">
        <v>18133</v>
      </c>
      <c r="D75" s="170">
        <v>2067139</v>
      </c>
      <c r="E75" s="155">
        <f t="shared" si="6"/>
        <v>232.1845445355498</v>
      </c>
    </row>
    <row r="76" spans="1:5" x14ac:dyDescent="0.3">
      <c r="A76" s="156" t="s">
        <v>46</v>
      </c>
      <c r="B76" s="170">
        <v>6712</v>
      </c>
      <c r="C76" s="171">
        <v>14466</v>
      </c>
      <c r="D76" s="170">
        <v>1654016</v>
      </c>
      <c r="E76" s="155">
        <f t="shared" si="6"/>
        <v>246.42669845053635</v>
      </c>
    </row>
    <row r="77" spans="1:5" x14ac:dyDescent="0.3">
      <c r="A77" s="156" t="s">
        <v>47</v>
      </c>
      <c r="B77" s="170">
        <v>5580</v>
      </c>
      <c r="C77" s="171">
        <v>11626</v>
      </c>
      <c r="D77" s="170">
        <v>1335545</v>
      </c>
      <c r="E77" s="155">
        <f t="shared" si="6"/>
        <v>239.34498207885304</v>
      </c>
    </row>
    <row r="78" spans="1:5" x14ac:dyDescent="0.3">
      <c r="A78" s="156" t="s">
        <v>48</v>
      </c>
      <c r="B78" s="170">
        <v>2325</v>
      </c>
      <c r="C78" s="171">
        <v>4899</v>
      </c>
      <c r="D78" s="170">
        <v>552712</v>
      </c>
      <c r="E78" s="155">
        <f t="shared" si="6"/>
        <v>237.72559139784946</v>
      </c>
    </row>
    <row r="79" spans="1:5" x14ac:dyDescent="0.3">
      <c r="A79" s="156" t="s">
        <v>49</v>
      </c>
      <c r="B79" s="170">
        <v>4113</v>
      </c>
      <c r="C79" s="171">
        <v>8629</v>
      </c>
      <c r="D79" s="170">
        <v>987576</v>
      </c>
      <c r="E79" s="155">
        <f t="shared" si="6"/>
        <v>240.11086797957694</v>
      </c>
    </row>
    <row r="80" spans="1:5" x14ac:dyDescent="0.3">
      <c r="A80" s="156" t="s">
        <v>50</v>
      </c>
      <c r="B80" s="170">
        <v>1626</v>
      </c>
      <c r="C80" s="171">
        <v>3389</v>
      </c>
      <c r="D80" s="170">
        <v>388481</v>
      </c>
      <c r="E80" s="155">
        <f t="shared" si="6"/>
        <v>238.91820418204182</v>
      </c>
    </row>
    <row r="81" spans="1:5" ht="19.5" thickBot="1" x14ac:dyDescent="0.35">
      <c r="A81" s="160" t="s">
        <v>51</v>
      </c>
      <c r="B81" s="173">
        <v>7444</v>
      </c>
      <c r="C81" s="184">
        <v>15614</v>
      </c>
      <c r="D81" s="173">
        <v>1777663</v>
      </c>
      <c r="E81" s="155">
        <f t="shared" si="6"/>
        <v>238.80480924234283</v>
      </c>
    </row>
    <row r="82" spans="1:5" ht="19.5" thickBot="1" x14ac:dyDescent="0.35">
      <c r="A82" s="135" t="s">
        <v>91</v>
      </c>
      <c r="B82" s="141">
        <f>SUM(B72:B81)</f>
        <v>44255</v>
      </c>
      <c r="C82" s="141">
        <f>SUM(C72:C81)</f>
        <v>92703</v>
      </c>
      <c r="D82" s="142">
        <f>SUM(D72:D81)</f>
        <v>10569399</v>
      </c>
      <c r="E82" s="139">
        <f>D82/B82</f>
        <v>238.82948819342448</v>
      </c>
    </row>
    <row r="83" spans="1:5" ht="19.5" thickBot="1" x14ac:dyDescent="0.35">
      <c r="A83" s="147"/>
      <c r="B83" s="148"/>
      <c r="C83" s="148"/>
      <c r="D83" s="148"/>
      <c r="E83" s="149"/>
    </row>
    <row r="84" spans="1:5" ht="19.5" thickBot="1" x14ac:dyDescent="0.35">
      <c r="A84" s="135" t="s">
        <v>7</v>
      </c>
      <c r="B84" s="142"/>
      <c r="C84" s="142"/>
      <c r="D84" s="142"/>
      <c r="E84" s="142"/>
    </row>
    <row r="85" spans="1:5" x14ac:dyDescent="0.3">
      <c r="A85" s="151" t="s">
        <v>52</v>
      </c>
      <c r="B85" s="180">
        <v>4495</v>
      </c>
      <c r="C85" s="181">
        <v>9413</v>
      </c>
      <c r="D85" s="182">
        <v>1070120</v>
      </c>
      <c r="E85" s="155">
        <f>D85/B85</f>
        <v>238.06896551724137</v>
      </c>
    </row>
    <row r="86" spans="1:5" x14ac:dyDescent="0.3">
      <c r="A86" s="156" t="s">
        <v>53</v>
      </c>
      <c r="B86" s="170">
        <v>6063</v>
      </c>
      <c r="C86" s="171">
        <v>13099</v>
      </c>
      <c r="D86" s="170">
        <v>1478889</v>
      </c>
      <c r="E86" s="155">
        <f t="shared" ref="E86:E93" si="7">D86/B86</f>
        <v>243.9203364670955</v>
      </c>
    </row>
    <row r="87" spans="1:5" x14ac:dyDescent="0.3">
      <c r="A87" s="156" t="s">
        <v>54</v>
      </c>
      <c r="B87" s="170">
        <v>3557</v>
      </c>
      <c r="C87" s="171">
        <v>7971</v>
      </c>
      <c r="D87" s="170">
        <v>898587</v>
      </c>
      <c r="E87" s="155">
        <f t="shared" si="7"/>
        <v>252.62496485802643</v>
      </c>
    </row>
    <row r="88" spans="1:5" x14ac:dyDescent="0.3">
      <c r="A88" s="156" t="s">
        <v>55</v>
      </c>
      <c r="B88" s="170">
        <v>1885</v>
      </c>
      <c r="C88" s="171">
        <v>3603</v>
      </c>
      <c r="D88" s="170">
        <v>409372</v>
      </c>
      <c r="E88" s="155">
        <f t="shared" si="7"/>
        <v>217.17347480106102</v>
      </c>
    </row>
    <row r="89" spans="1:5" x14ac:dyDescent="0.3">
      <c r="A89" s="156" t="s">
        <v>56</v>
      </c>
      <c r="B89" s="170">
        <v>4033</v>
      </c>
      <c r="C89" s="171">
        <v>8731</v>
      </c>
      <c r="D89" s="170">
        <v>987914</v>
      </c>
      <c r="E89" s="155">
        <f t="shared" si="7"/>
        <v>244.95759980163649</v>
      </c>
    </row>
    <row r="90" spans="1:5" x14ac:dyDescent="0.3">
      <c r="A90" s="156" t="s">
        <v>57</v>
      </c>
      <c r="B90" s="170">
        <v>1020</v>
      </c>
      <c r="C90" s="171">
        <v>2485</v>
      </c>
      <c r="D90" s="170">
        <v>277721</v>
      </c>
      <c r="E90" s="155">
        <f t="shared" si="7"/>
        <v>272.27549019607841</v>
      </c>
    </row>
    <row r="91" spans="1:5" x14ac:dyDescent="0.3">
      <c r="A91" s="156" t="s">
        <v>97</v>
      </c>
      <c r="B91" s="170">
        <f>6681+6017</f>
        <v>12698</v>
      </c>
      <c r="C91" s="171">
        <f>14083+11764</f>
        <v>25847</v>
      </c>
      <c r="D91" s="170">
        <f>1600526+1370294</f>
        <v>2970820</v>
      </c>
      <c r="E91" s="155">
        <f t="shared" si="7"/>
        <v>233.95967868955742</v>
      </c>
    </row>
    <row r="92" spans="1:5" x14ac:dyDescent="0.3">
      <c r="A92" s="185" t="s">
        <v>58</v>
      </c>
      <c r="B92" s="170">
        <v>3526</v>
      </c>
      <c r="C92" s="171">
        <v>7625</v>
      </c>
      <c r="D92" s="170">
        <v>858119</v>
      </c>
      <c r="E92" s="155">
        <f t="shared" si="7"/>
        <v>243.36897334089619</v>
      </c>
    </row>
    <row r="93" spans="1:5" ht="19.5" thickBot="1" x14ac:dyDescent="0.35">
      <c r="A93" s="156" t="s">
        <v>59</v>
      </c>
      <c r="B93" s="173">
        <v>5307</v>
      </c>
      <c r="C93" s="171">
        <v>11173</v>
      </c>
      <c r="D93" s="170">
        <v>1260880</v>
      </c>
      <c r="E93" s="155">
        <f t="shared" si="7"/>
        <v>237.58809120030148</v>
      </c>
    </row>
    <row r="94" spans="1:5" ht="19.5" thickBot="1" x14ac:dyDescent="0.35">
      <c r="A94" s="135" t="s">
        <v>91</v>
      </c>
      <c r="B94" s="141">
        <f>SUM(B85:B93)</f>
        <v>42584</v>
      </c>
      <c r="C94" s="141">
        <f>SUM(C85:C93)</f>
        <v>89947</v>
      </c>
      <c r="D94" s="141">
        <f>SUM(D85:D93)</f>
        <v>10212422</v>
      </c>
      <c r="E94" s="179">
        <f>D94/B94</f>
        <v>239.81828855908321</v>
      </c>
    </row>
    <row r="95" spans="1:5" ht="19.5" thickBot="1" x14ac:dyDescent="0.35">
      <c r="A95" s="147"/>
      <c r="B95" s="148"/>
      <c r="C95" s="148"/>
      <c r="D95" s="148"/>
      <c r="E95" s="149"/>
    </row>
    <row r="96" spans="1:5" ht="19.5" thickBot="1" x14ac:dyDescent="0.35">
      <c r="A96" s="140" t="s">
        <v>8</v>
      </c>
      <c r="B96" s="142"/>
      <c r="C96" s="142"/>
      <c r="D96" s="142"/>
      <c r="E96" s="178"/>
    </row>
    <row r="97" spans="1:5" x14ac:dyDescent="0.3">
      <c r="A97" s="186" t="s">
        <v>73</v>
      </c>
      <c r="B97" s="180">
        <f>3374+772</f>
        <v>4146</v>
      </c>
      <c r="C97" s="181">
        <f>8269+1829</f>
        <v>10098</v>
      </c>
      <c r="D97" s="182">
        <f>935268+209642</f>
        <v>1144910</v>
      </c>
      <c r="E97" s="155">
        <f>D97/B97</f>
        <v>276.14809454896283</v>
      </c>
    </row>
    <row r="98" spans="1:5" x14ac:dyDescent="0.3">
      <c r="A98" s="187" t="s">
        <v>60</v>
      </c>
      <c r="B98" s="170">
        <v>4588</v>
      </c>
      <c r="C98" s="171">
        <v>9636</v>
      </c>
      <c r="D98" s="170">
        <v>1091251</v>
      </c>
      <c r="E98" s="155">
        <f t="shared" ref="E98:E107" si="8">D98/B98</f>
        <v>237.84895379250219</v>
      </c>
    </row>
    <row r="99" spans="1:5" x14ac:dyDescent="0.3">
      <c r="A99" s="187" t="s">
        <v>61</v>
      </c>
      <c r="B99" s="170">
        <v>6363</v>
      </c>
      <c r="C99" s="171">
        <v>13960</v>
      </c>
      <c r="D99" s="170">
        <v>1582595</v>
      </c>
      <c r="E99" s="155">
        <f t="shared" si="8"/>
        <v>248.71837183718372</v>
      </c>
    </row>
    <row r="100" spans="1:5" x14ac:dyDescent="0.3">
      <c r="A100" s="156" t="s">
        <v>62</v>
      </c>
      <c r="B100" s="170">
        <v>3720</v>
      </c>
      <c r="C100" s="171">
        <v>8582</v>
      </c>
      <c r="D100" s="170">
        <v>964336</v>
      </c>
      <c r="E100" s="155">
        <f t="shared" si="8"/>
        <v>259.23010752688174</v>
      </c>
    </row>
    <row r="101" spans="1:5" x14ac:dyDescent="0.3">
      <c r="A101" s="156" t="s">
        <v>63</v>
      </c>
      <c r="B101" s="170">
        <v>3154</v>
      </c>
      <c r="C101" s="171">
        <v>7914</v>
      </c>
      <c r="D101" s="170">
        <v>892703</v>
      </c>
      <c r="E101" s="155">
        <f t="shared" si="8"/>
        <v>283.03836398224479</v>
      </c>
    </row>
    <row r="102" spans="1:5" x14ac:dyDescent="0.3">
      <c r="A102" s="156" t="s">
        <v>64</v>
      </c>
      <c r="B102" s="170">
        <v>6922</v>
      </c>
      <c r="C102" s="171">
        <v>16320</v>
      </c>
      <c r="D102" s="170">
        <v>1821434</v>
      </c>
      <c r="E102" s="155">
        <f t="shared" si="8"/>
        <v>263.13695463738804</v>
      </c>
    </row>
    <row r="103" spans="1:5" x14ac:dyDescent="0.3">
      <c r="A103" s="156" t="s">
        <v>65</v>
      </c>
      <c r="B103" s="170">
        <v>4921</v>
      </c>
      <c r="C103" s="171">
        <v>11764</v>
      </c>
      <c r="D103" s="170">
        <v>1312006</v>
      </c>
      <c r="E103" s="155">
        <f t="shared" si="8"/>
        <v>266.61369640317008</v>
      </c>
    </row>
    <row r="104" spans="1:5" x14ac:dyDescent="0.3">
      <c r="A104" s="156" t="s">
        <v>66</v>
      </c>
      <c r="B104" s="170">
        <v>3982</v>
      </c>
      <c r="C104" s="171">
        <v>9753</v>
      </c>
      <c r="D104" s="170">
        <v>1087201</v>
      </c>
      <c r="E104" s="155">
        <f t="shared" si="8"/>
        <v>273.02887995981916</v>
      </c>
    </row>
    <row r="105" spans="1:5" x14ac:dyDescent="0.3">
      <c r="A105" s="156" t="s">
        <v>119</v>
      </c>
      <c r="B105" s="170">
        <f>5673+6800+13383</f>
        <v>25856</v>
      </c>
      <c r="C105" s="171">
        <f>12112+16425+30427</f>
        <v>58964</v>
      </c>
      <c r="D105" s="170">
        <f>1374012+1843703+3463299</f>
        <v>6681014</v>
      </c>
      <c r="E105" s="155">
        <f t="shared" si="8"/>
        <v>258.3931775990099</v>
      </c>
    </row>
    <row r="106" spans="1:5" x14ac:dyDescent="0.3">
      <c r="A106" s="156" t="s">
        <v>67</v>
      </c>
      <c r="B106" s="170">
        <v>4631</v>
      </c>
      <c r="C106" s="171">
        <v>11098</v>
      </c>
      <c r="D106" s="170">
        <v>1250839</v>
      </c>
      <c r="E106" s="155">
        <f t="shared" si="8"/>
        <v>270.10127402288924</v>
      </c>
    </row>
    <row r="107" spans="1:5" ht="19.5" thickBot="1" x14ac:dyDescent="0.35">
      <c r="A107" s="156" t="s">
        <v>68</v>
      </c>
      <c r="B107" s="173">
        <v>6785</v>
      </c>
      <c r="C107" s="171">
        <v>15091</v>
      </c>
      <c r="D107" s="170">
        <v>1690894</v>
      </c>
      <c r="E107" s="155">
        <f t="shared" si="8"/>
        <v>249.21061164333088</v>
      </c>
    </row>
    <row r="108" spans="1:5" ht="19.5" thickBot="1" x14ac:dyDescent="0.35">
      <c r="A108" s="135" t="s">
        <v>91</v>
      </c>
      <c r="B108" s="142">
        <f>SUM(B97:B107)</f>
        <v>75068</v>
      </c>
      <c r="C108" s="142">
        <f>SUM(C97:C107)</f>
        <v>173180</v>
      </c>
      <c r="D108" s="142">
        <f>SUM(D97:D107)</f>
        <v>19519183</v>
      </c>
      <c r="E108" s="139">
        <f>D108/B108</f>
        <v>260.02002184685887</v>
      </c>
    </row>
    <row r="109" spans="1:5" ht="19.5" thickBot="1" x14ac:dyDescent="0.35">
      <c r="A109" s="147"/>
      <c r="B109" s="148"/>
      <c r="C109" s="148"/>
      <c r="D109" s="148"/>
      <c r="E109" s="149"/>
    </row>
    <row r="110" spans="1:5" ht="19.5" thickBot="1" x14ac:dyDescent="0.35">
      <c r="A110" s="176" t="s">
        <v>9</v>
      </c>
      <c r="B110" s="142"/>
      <c r="C110" s="142"/>
      <c r="D110" s="142"/>
      <c r="E110" s="142"/>
    </row>
    <row r="111" spans="1:5" x14ac:dyDescent="0.3">
      <c r="A111" s="151" t="s">
        <v>99</v>
      </c>
      <c r="B111" s="180">
        <v>1229</v>
      </c>
      <c r="C111" s="181">
        <v>2994</v>
      </c>
      <c r="D111" s="182">
        <v>340000</v>
      </c>
      <c r="E111" s="155">
        <f>D111/B111</f>
        <v>276.64768104149715</v>
      </c>
    </row>
    <row r="112" spans="1:5" x14ac:dyDescent="0.3">
      <c r="A112" s="156" t="s">
        <v>100</v>
      </c>
      <c r="B112" s="170">
        <f>3637+1313+3984</f>
        <v>8934</v>
      </c>
      <c r="C112" s="171">
        <f>7818+2805+8113</f>
        <v>18736</v>
      </c>
      <c r="D112" s="170">
        <f>884637+317963+934154</f>
        <v>2136754</v>
      </c>
      <c r="E112" s="155">
        <f>D112/B112</f>
        <v>239.17103201253639</v>
      </c>
    </row>
    <row r="113" spans="1:5" x14ac:dyDescent="0.3">
      <c r="A113" s="156" t="s">
        <v>101</v>
      </c>
      <c r="B113" s="170">
        <f>5578+4911+4718+6571+6097</f>
        <v>27875</v>
      </c>
      <c r="C113" s="171">
        <f>10027+11244+10100+14739+14059</f>
        <v>60169</v>
      </c>
      <c r="D113" s="170">
        <f>1169929+1279538+1167131+1672376+1590662</f>
        <v>6879636</v>
      </c>
      <c r="E113" s="155">
        <f>D113/B113</f>
        <v>246.80308520179372</v>
      </c>
    </row>
    <row r="114" spans="1:5" ht="19.5" thickBot="1" x14ac:dyDescent="0.35">
      <c r="A114" s="185" t="s">
        <v>102</v>
      </c>
      <c r="B114" s="173">
        <f>5881+4477</f>
        <v>10358</v>
      </c>
      <c r="C114" s="171">
        <f>13312+7990</f>
        <v>21302</v>
      </c>
      <c r="D114" s="170">
        <f>1536560+928089</f>
        <v>2464649</v>
      </c>
      <c r="E114" s="155">
        <f>D114/B114</f>
        <v>237.94641822745703</v>
      </c>
    </row>
    <row r="115" spans="1:5" ht="19.5" thickBot="1" x14ac:dyDescent="0.35">
      <c r="A115" s="135" t="s">
        <v>91</v>
      </c>
      <c r="B115" s="142">
        <f>SUM(B111:B114)</f>
        <v>48396</v>
      </c>
      <c r="C115" s="142">
        <f>SUM(C111:C114)</f>
        <v>103201</v>
      </c>
      <c r="D115" s="142">
        <f>SUM(D111:D114)</f>
        <v>11821039</v>
      </c>
      <c r="E115" s="139">
        <f>D115/B115</f>
        <v>244.25652946524505</v>
      </c>
    </row>
    <row r="116" spans="1:5" ht="19.5" thickBot="1" x14ac:dyDescent="0.35">
      <c r="A116" s="147"/>
      <c r="B116" s="148"/>
      <c r="C116" s="148"/>
      <c r="D116" s="148"/>
      <c r="E116" s="149"/>
    </row>
    <row r="117" spans="1:5" ht="19.5" thickBot="1" x14ac:dyDescent="0.35">
      <c r="A117" s="134" t="s">
        <v>74</v>
      </c>
      <c r="B117" s="142">
        <f>B15+B29+B41+B51+B60+B69+B82+B94+B108+B115</f>
        <v>507602</v>
      </c>
      <c r="C117" s="142">
        <f>C15+C29+C41+C51+C60+C69+C82+C94+C108+C115</f>
        <v>1101994</v>
      </c>
      <c r="D117" s="142">
        <f>D15+D29+D41+D51+D60+D69+D82+D94+D108+D115</f>
        <v>125062587</v>
      </c>
      <c r="E117" s="178">
        <f>SUM(E8:E114)</f>
        <v>22011.837836384293</v>
      </c>
    </row>
  </sheetData>
  <mergeCells count="5">
    <mergeCell ref="A5:E5"/>
    <mergeCell ref="A1:E1"/>
    <mergeCell ref="A2:E2"/>
    <mergeCell ref="A3:E3"/>
    <mergeCell ref="A4:E4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0"/>
  <sheetViews>
    <sheetView zoomScale="60" zoomScaleNormal="60" workbookViewId="0">
      <pane xSplit="1" ySplit="6" topLeftCell="B109" activePane="bottomRight" state="frozen"/>
      <selection activeCell="A120" sqref="A120"/>
      <selection pane="topRight" activeCell="A120" sqref="A120"/>
      <selection pane="bottomLeft" activeCell="A120" sqref="A120"/>
      <selection pane="bottomRight" activeCell="O126" sqref="O126"/>
    </sheetView>
  </sheetViews>
  <sheetFormatPr defaultRowHeight="18.75" x14ac:dyDescent="0.3"/>
  <cols>
    <col min="1" max="1" width="23.42578125" style="150" customWidth="1"/>
    <col min="2" max="5" width="15.7109375" style="64" customWidth="1"/>
    <col min="6" max="6" width="9.140625" style="64"/>
    <col min="7" max="7" width="10.28515625" style="64" hidden="1" customWidth="1"/>
    <col min="8" max="9" width="10.28515625" style="18" hidden="1" customWidth="1"/>
    <col min="10" max="10" width="0" style="18" hidden="1" customWidth="1"/>
    <col min="11" max="13" width="9.5703125" style="18" hidden="1" customWidth="1"/>
    <col min="14" max="16" width="9.140625" style="18"/>
    <col min="17" max="16384" width="9.140625" style="1"/>
  </cols>
  <sheetData>
    <row r="1" spans="1:13" x14ac:dyDescent="0.3">
      <c r="A1" s="354" t="s">
        <v>10</v>
      </c>
      <c r="B1" s="354"/>
      <c r="C1" s="354"/>
      <c r="D1" s="354"/>
      <c r="E1" s="354"/>
    </row>
    <row r="2" spans="1:13" x14ac:dyDescent="0.3">
      <c r="A2" s="354" t="s">
        <v>71</v>
      </c>
      <c r="B2" s="354"/>
      <c r="C2" s="354"/>
      <c r="D2" s="354"/>
      <c r="E2" s="354"/>
    </row>
    <row r="3" spans="1:13" x14ac:dyDescent="0.3">
      <c r="A3" s="357" t="s">
        <v>112</v>
      </c>
      <c r="B3" s="357"/>
      <c r="C3" s="357"/>
      <c r="D3" s="357"/>
      <c r="E3" s="357"/>
    </row>
    <row r="4" spans="1:13" x14ac:dyDescent="0.3">
      <c r="A4" s="361" t="s">
        <v>132</v>
      </c>
      <c r="B4" s="361"/>
      <c r="C4" s="361"/>
      <c r="D4" s="361"/>
      <c r="E4" s="361"/>
    </row>
    <row r="5" spans="1:13" ht="19.5" thickBot="1" x14ac:dyDescent="0.35">
      <c r="A5" s="354"/>
      <c r="B5" s="358"/>
      <c r="C5" s="358"/>
      <c r="D5" s="358"/>
      <c r="E5" s="358"/>
    </row>
    <row r="6" spans="1:13" ht="57" thickBot="1" x14ac:dyDescent="0.35">
      <c r="A6" s="248"/>
      <c r="B6" s="249" t="s">
        <v>75</v>
      </c>
      <c r="C6" s="249" t="s">
        <v>76</v>
      </c>
      <c r="D6" s="249" t="s">
        <v>77</v>
      </c>
      <c r="E6" s="249" t="s">
        <v>78</v>
      </c>
    </row>
    <row r="7" spans="1:13" ht="21.75" customHeight="1" thickBot="1" x14ac:dyDescent="0.35">
      <c r="A7" s="268" t="s">
        <v>0</v>
      </c>
      <c r="B7" s="269"/>
      <c r="C7" s="269"/>
      <c r="D7" s="269"/>
      <c r="E7" s="269"/>
    </row>
    <row r="8" spans="1:13" x14ac:dyDescent="0.3">
      <c r="A8" s="156" t="s">
        <v>11</v>
      </c>
      <c r="B8" s="194">
        <v>5742</v>
      </c>
      <c r="C8" s="195">
        <v>13230</v>
      </c>
      <c r="D8" s="152">
        <v>1476573</v>
      </c>
      <c r="E8" s="155">
        <f>D8/B8</f>
        <v>257.15308254963429</v>
      </c>
      <c r="G8" s="270">
        <f>B8/$B$15</f>
        <v>0.13689028751251608</v>
      </c>
      <c r="H8" s="270">
        <f>C8/$C$15</f>
        <v>0.14636736771067277</v>
      </c>
      <c r="I8" s="270">
        <f>D8/$D$15</f>
        <v>0.14355137188564096</v>
      </c>
      <c r="K8" s="271">
        <f t="shared" ref="K8:K15" si="0">B8/$B$117</f>
        <v>1.1313349437090921E-2</v>
      </c>
      <c r="L8" s="271">
        <f t="shared" ref="L8:L15" si="1">C8/$C$117</f>
        <v>1.2020999950934695E-2</v>
      </c>
      <c r="M8" s="271">
        <f t="shared" ref="M8:M15" si="2">D8/$D$117</f>
        <v>1.1821556561430125E-2</v>
      </c>
    </row>
    <row r="9" spans="1:13" x14ac:dyDescent="0.3">
      <c r="A9" s="156" t="s">
        <v>120</v>
      </c>
      <c r="B9" s="196">
        <f>4733+4959</f>
        <v>9692</v>
      </c>
      <c r="C9" s="158">
        <f>10026+10231</f>
        <v>20257</v>
      </c>
      <c r="D9" s="157">
        <f>1144733+1182483</f>
        <v>2327216</v>
      </c>
      <c r="E9" s="155">
        <f t="shared" ref="E9:E14" si="3">D9/B9</f>
        <v>240.11721007016095</v>
      </c>
      <c r="G9" s="270">
        <f t="shared" ref="G9:G15" si="4">B9/$B$15</f>
        <v>0.23105898059409719</v>
      </c>
      <c r="H9" s="270">
        <f t="shared" ref="H9:H15" si="5">C9/$C$15</f>
        <v>0.22410912832313667</v>
      </c>
      <c r="I9" s="270">
        <f t="shared" ref="I9:I15" si="6">D9/$D$15</f>
        <v>0.22625027646734283</v>
      </c>
      <c r="K9" s="271">
        <f t="shared" si="0"/>
        <v>1.9095956590784606E-2</v>
      </c>
      <c r="L9" s="271">
        <f t="shared" si="1"/>
        <v>1.8405850038252767E-2</v>
      </c>
      <c r="M9" s="271">
        <f t="shared" si="2"/>
        <v>1.8631869589018066E-2</v>
      </c>
    </row>
    <row r="10" spans="1:13" x14ac:dyDescent="0.3">
      <c r="A10" s="156" t="s">
        <v>12</v>
      </c>
      <c r="B10" s="196">
        <v>6689</v>
      </c>
      <c r="C10" s="158">
        <v>14127</v>
      </c>
      <c r="D10" s="157">
        <v>1597703</v>
      </c>
      <c r="E10" s="155">
        <f t="shared" si="3"/>
        <v>238.85528479593361</v>
      </c>
      <c r="G10" s="270">
        <f t="shared" si="4"/>
        <v>0.15946693367663187</v>
      </c>
      <c r="H10" s="270">
        <f t="shared" si="5"/>
        <v>0.15629114162121496</v>
      </c>
      <c r="I10" s="270">
        <f t="shared" si="6"/>
        <v>0.15532754392488837</v>
      </c>
      <c r="K10" s="271">
        <f t="shared" si="0"/>
        <v>1.3179204873685331E-2</v>
      </c>
      <c r="L10" s="271">
        <f t="shared" si="1"/>
        <v>1.2836029199308725E-2</v>
      </c>
      <c r="M10" s="271">
        <f t="shared" si="2"/>
        <v>1.2791332621459688E-2</v>
      </c>
    </row>
    <row r="11" spans="1:13" x14ac:dyDescent="0.3">
      <c r="A11" s="156" t="s">
        <v>13</v>
      </c>
      <c r="B11" s="196">
        <v>1721</v>
      </c>
      <c r="C11" s="158">
        <v>3801</v>
      </c>
      <c r="D11" s="157">
        <v>436496</v>
      </c>
      <c r="E11" s="155">
        <f t="shared" si="3"/>
        <v>253.62928529924463</v>
      </c>
      <c r="G11" s="270">
        <f t="shared" si="4"/>
        <v>4.102894197301292E-2</v>
      </c>
      <c r="H11" s="270">
        <f t="shared" si="5"/>
        <v>4.205157707243138E-2</v>
      </c>
      <c r="I11" s="270">
        <f t="shared" si="6"/>
        <v>4.2435829195437501E-2</v>
      </c>
      <c r="K11" s="271">
        <f t="shared" si="0"/>
        <v>3.3908523826599573E-3</v>
      </c>
      <c r="L11" s="271">
        <f t="shared" si="1"/>
        <v>3.4536523668558406E-3</v>
      </c>
      <c r="M11" s="271">
        <f t="shared" si="2"/>
        <v>3.4946204168964244E-3</v>
      </c>
    </row>
    <row r="12" spans="1:13" x14ac:dyDescent="0.3">
      <c r="A12" s="156" t="s">
        <v>14</v>
      </c>
      <c r="B12" s="196">
        <v>7023</v>
      </c>
      <c r="C12" s="158">
        <v>16093</v>
      </c>
      <c r="D12" s="157">
        <v>1825100</v>
      </c>
      <c r="E12" s="155">
        <f t="shared" si="3"/>
        <v>259.8746974227538</v>
      </c>
      <c r="G12" s="270">
        <f t="shared" si="4"/>
        <v>0.1674295522815048</v>
      </c>
      <c r="H12" s="270">
        <f t="shared" si="5"/>
        <v>0.17804157585546915</v>
      </c>
      <c r="I12" s="270">
        <f t="shared" si="6"/>
        <v>0.17743491776463696</v>
      </c>
      <c r="K12" s="271">
        <f t="shared" si="0"/>
        <v>1.3837278491238163E-2</v>
      </c>
      <c r="L12" s="271">
        <f t="shared" si="1"/>
        <v>1.46223697815867E-2</v>
      </c>
      <c r="M12" s="271">
        <f t="shared" si="2"/>
        <v>1.4611890424832448E-2</v>
      </c>
    </row>
    <row r="13" spans="1:13" x14ac:dyDescent="0.3">
      <c r="A13" s="156" t="s">
        <v>15</v>
      </c>
      <c r="B13" s="196">
        <v>2448</v>
      </c>
      <c r="C13" s="158">
        <v>5004</v>
      </c>
      <c r="D13" s="157">
        <v>571285</v>
      </c>
      <c r="E13" s="155">
        <f t="shared" si="3"/>
        <v>233.36805555555554</v>
      </c>
      <c r="G13" s="270">
        <f t="shared" si="4"/>
        <v>5.8360749535116579E-2</v>
      </c>
      <c r="H13" s="270">
        <f t="shared" si="5"/>
        <v>5.5360718671519767E-2</v>
      </c>
      <c r="I13" s="270">
        <f t="shared" si="6"/>
        <v>5.5539919453822056E-2</v>
      </c>
      <c r="K13" s="271">
        <f t="shared" si="0"/>
        <v>4.8232461549980099E-3</v>
      </c>
      <c r="L13" s="271">
        <f t="shared" si="1"/>
        <v>4.5467183487889048E-3</v>
      </c>
      <c r="M13" s="271">
        <f t="shared" si="2"/>
        <v>4.5737514773713248E-3</v>
      </c>
    </row>
    <row r="14" spans="1:13" ht="19.5" thickBot="1" x14ac:dyDescent="0.35">
      <c r="A14" s="160" t="s">
        <v>72</v>
      </c>
      <c r="B14" s="197">
        <v>8631</v>
      </c>
      <c r="C14" s="198">
        <v>17877</v>
      </c>
      <c r="D14" s="161">
        <v>2051652</v>
      </c>
      <c r="E14" s="155">
        <f t="shared" si="3"/>
        <v>237.70733402850192</v>
      </c>
      <c r="G14" s="270">
        <f t="shared" si="4"/>
        <v>0.20576455442712058</v>
      </c>
      <c r="H14" s="270">
        <f t="shared" si="5"/>
        <v>0.19777849074555531</v>
      </c>
      <c r="I14" s="270">
        <f t="shared" si="6"/>
        <v>0.19946014130823131</v>
      </c>
      <c r="K14" s="271">
        <f t="shared" si="0"/>
        <v>1.700548920089372E-2</v>
      </c>
      <c r="L14" s="271">
        <f t="shared" si="1"/>
        <v>1.6243342110571393E-2</v>
      </c>
      <c r="M14" s="271">
        <f t="shared" si="2"/>
        <v>1.6425683093467942E-2</v>
      </c>
    </row>
    <row r="15" spans="1:13" ht="19.5" thickBot="1" x14ac:dyDescent="0.35">
      <c r="A15" s="250" t="s">
        <v>85</v>
      </c>
      <c r="B15" s="265">
        <f>SUM(B8:B14)</f>
        <v>41946</v>
      </c>
      <c r="C15" s="265">
        <f>SUM(C8:C14)</f>
        <v>90389</v>
      </c>
      <c r="D15" s="266">
        <f>SUM(D8:D14)</f>
        <v>10286025</v>
      </c>
      <c r="E15" s="258">
        <f>D15/B15</f>
        <v>245.22064082391645</v>
      </c>
      <c r="G15" s="270">
        <f t="shared" si="4"/>
        <v>1</v>
      </c>
      <c r="H15" s="270">
        <f t="shared" si="5"/>
        <v>1</v>
      </c>
      <c r="I15" s="270">
        <f t="shared" si="6"/>
        <v>1</v>
      </c>
      <c r="K15" s="271">
        <f t="shared" si="0"/>
        <v>8.26453771313507E-2</v>
      </c>
      <c r="L15" s="271">
        <f t="shared" si="1"/>
        <v>8.2128961796299027E-2</v>
      </c>
      <c r="M15" s="271">
        <f t="shared" si="2"/>
        <v>8.2350704184476015E-2</v>
      </c>
    </row>
    <row r="16" spans="1:13" ht="19.5" thickBot="1" x14ac:dyDescent="0.35">
      <c r="A16" s="262"/>
      <c r="B16" s="264"/>
      <c r="C16" s="264"/>
      <c r="D16" s="264"/>
      <c r="E16" s="264"/>
      <c r="K16" s="271"/>
      <c r="L16" s="271"/>
      <c r="M16" s="271"/>
    </row>
    <row r="17" spans="1:16" ht="19.5" thickBot="1" x14ac:dyDescent="0.35">
      <c r="A17" s="267" t="s">
        <v>1</v>
      </c>
      <c r="B17" s="266"/>
      <c r="C17" s="266"/>
      <c r="D17" s="266"/>
      <c r="E17" s="258"/>
      <c r="K17" s="271"/>
      <c r="L17" s="271"/>
      <c r="M17" s="271"/>
    </row>
    <row r="18" spans="1:16" s="2" customFormat="1" x14ac:dyDescent="0.3">
      <c r="A18" s="199" t="s">
        <v>122</v>
      </c>
      <c r="B18" s="154">
        <f>11660+5379</f>
        <v>17039</v>
      </c>
      <c r="C18" s="154">
        <f>23950+10505</f>
        <v>34455</v>
      </c>
      <c r="D18" s="154">
        <f>2768101+1221689</f>
        <v>3989790</v>
      </c>
      <c r="E18" s="155">
        <f>D18/B18</f>
        <v>234.15634720347438</v>
      </c>
      <c r="F18" s="193"/>
      <c r="G18" s="270">
        <f>B18/$B$29</f>
        <v>0.23949343603294634</v>
      </c>
      <c r="H18" s="270">
        <f>C18/$C$29</f>
        <v>0.22416462811637952</v>
      </c>
      <c r="I18" s="270">
        <f>D18/$D$29</f>
        <v>0.22767731803687311</v>
      </c>
      <c r="J18" s="42"/>
      <c r="K18" s="271">
        <f t="shared" ref="K18:K29" si="7">B18/$B$117</f>
        <v>3.3571605896654859E-2</v>
      </c>
      <c r="L18" s="271">
        <f t="shared" ref="L18:L29" si="8">C18/$C$117</f>
        <v>3.13063910286814E-2</v>
      </c>
      <c r="M18" s="271">
        <f t="shared" ref="M18:M29" si="9">D18/$D$117</f>
        <v>3.1942564406384447E-2</v>
      </c>
      <c r="N18" s="42"/>
      <c r="O18" s="42"/>
      <c r="P18" s="42"/>
    </row>
    <row r="19" spans="1:16" x14ac:dyDescent="0.3">
      <c r="A19" s="200" t="s">
        <v>16</v>
      </c>
      <c r="B19" s="170">
        <v>4739</v>
      </c>
      <c r="C19" s="170">
        <v>9949</v>
      </c>
      <c r="D19" s="170">
        <v>1142125</v>
      </c>
      <c r="E19" s="155">
        <f t="shared" ref="E19:E28" si="10">D19/B19</f>
        <v>241.00548638953364</v>
      </c>
      <c r="G19" s="270">
        <f t="shared" ref="G19:G29" si="11">B19/$B$29</f>
        <v>6.6609507210524832E-2</v>
      </c>
      <c r="H19" s="270">
        <f t="shared" ref="H19:H29" si="12">C19/$C$29</f>
        <v>6.4728308957476707E-2</v>
      </c>
      <c r="I19" s="270">
        <f t="shared" ref="I19:I29" si="13">D19/$D$29</f>
        <v>6.517534929479088E-2</v>
      </c>
      <c r="K19" s="271">
        <f t="shared" si="7"/>
        <v>9.3371583041403465E-3</v>
      </c>
      <c r="L19" s="271">
        <f t="shared" si="8"/>
        <v>9.0398283077739432E-3</v>
      </c>
      <c r="M19" s="271">
        <f t="shared" si="9"/>
        <v>9.1439402506502433E-3</v>
      </c>
    </row>
    <row r="20" spans="1:16" x14ac:dyDescent="0.3">
      <c r="A20" s="200" t="s">
        <v>17</v>
      </c>
      <c r="B20" s="170">
        <v>6065</v>
      </c>
      <c r="C20" s="170">
        <v>12930</v>
      </c>
      <c r="D20" s="170">
        <v>1460535</v>
      </c>
      <c r="E20" s="155">
        <f t="shared" si="10"/>
        <v>240.81368507831823</v>
      </c>
      <c r="G20" s="270">
        <f t="shared" si="11"/>
        <v>8.5247238073820036E-2</v>
      </c>
      <c r="H20" s="270">
        <f t="shared" si="12"/>
        <v>8.4122729401967411E-2</v>
      </c>
      <c r="I20" s="270">
        <f t="shared" si="13"/>
        <v>8.3345412089103552E-2</v>
      </c>
      <c r="K20" s="271">
        <f t="shared" si="7"/>
        <v>1.1949749971430937E-2</v>
      </c>
      <c r="L20" s="271">
        <f t="shared" si="8"/>
        <v>1.1748414918033681E-2</v>
      </c>
      <c r="M20" s="271">
        <f t="shared" si="9"/>
        <v>1.1693155104724486E-2</v>
      </c>
    </row>
    <row r="21" spans="1:16" x14ac:dyDescent="0.3">
      <c r="A21" s="200" t="s">
        <v>18</v>
      </c>
      <c r="B21" s="170">
        <v>3901</v>
      </c>
      <c r="C21" s="170">
        <v>8800</v>
      </c>
      <c r="D21" s="170">
        <v>993430</v>
      </c>
      <c r="E21" s="155">
        <f t="shared" si="10"/>
        <v>254.66034350166623</v>
      </c>
      <c r="G21" s="270">
        <f t="shared" si="11"/>
        <v>5.4830911084249291E-2</v>
      </c>
      <c r="H21" s="270">
        <f t="shared" si="12"/>
        <v>5.7252901681153386E-2</v>
      </c>
      <c r="I21" s="270">
        <f t="shared" si="13"/>
        <v>5.6690070920366951E-2</v>
      </c>
      <c r="K21" s="271">
        <f t="shared" si="7"/>
        <v>7.6860634193820412E-3</v>
      </c>
      <c r="L21" s="271">
        <f t="shared" si="8"/>
        <v>7.9958276317630625E-3</v>
      </c>
      <c r="M21" s="271">
        <f t="shared" si="9"/>
        <v>7.9534766888068043E-3</v>
      </c>
    </row>
    <row r="22" spans="1:16" x14ac:dyDescent="0.3">
      <c r="A22" s="200" t="s">
        <v>19</v>
      </c>
      <c r="B22" s="170">
        <v>2528</v>
      </c>
      <c r="C22" s="170">
        <v>5605</v>
      </c>
      <c r="D22" s="170">
        <v>633882</v>
      </c>
      <c r="E22" s="155">
        <f t="shared" si="10"/>
        <v>250.74446202531647</v>
      </c>
      <c r="G22" s="270">
        <f t="shared" si="11"/>
        <v>3.5532566834396873E-2</v>
      </c>
      <c r="H22" s="270">
        <f t="shared" si="12"/>
        <v>3.6466194763961901E-2</v>
      </c>
      <c r="I22" s="270">
        <f t="shared" si="13"/>
        <v>3.617246865420215E-2</v>
      </c>
      <c r="K22" s="271">
        <f t="shared" si="7"/>
        <v>4.9808685783639577E-3</v>
      </c>
      <c r="L22" s="271">
        <f t="shared" si="8"/>
        <v>5.0927970313672686E-3</v>
      </c>
      <c r="M22" s="271">
        <f t="shared" si="9"/>
        <v>5.0749078550619917E-3</v>
      </c>
    </row>
    <row r="23" spans="1:16" x14ac:dyDescent="0.3">
      <c r="A23" s="200" t="s">
        <v>20</v>
      </c>
      <c r="B23" s="170">
        <v>6832</v>
      </c>
      <c r="C23" s="170">
        <v>14698</v>
      </c>
      <c r="D23" s="170">
        <v>1671152</v>
      </c>
      <c r="E23" s="155">
        <f t="shared" si="10"/>
        <v>244.60655737704917</v>
      </c>
      <c r="G23" s="270">
        <f t="shared" si="11"/>
        <v>9.6027886318275094E-2</v>
      </c>
      <c r="H23" s="270">
        <f t="shared" si="12"/>
        <v>9.5625357830635513E-2</v>
      </c>
      <c r="I23" s="270">
        <f t="shared" si="13"/>
        <v>9.5364268643702191E-2</v>
      </c>
      <c r="K23" s="271">
        <f t="shared" si="7"/>
        <v>1.3460954955451963E-2</v>
      </c>
      <c r="L23" s="271">
        <f t="shared" si="8"/>
        <v>1.3354849378596987E-2</v>
      </c>
      <c r="M23" s="271">
        <f t="shared" si="9"/>
        <v>1.3379370942545392E-2</v>
      </c>
    </row>
    <row r="24" spans="1:16" x14ac:dyDescent="0.3">
      <c r="A24" s="200" t="s">
        <v>21</v>
      </c>
      <c r="B24" s="170">
        <v>6180</v>
      </c>
      <c r="C24" s="170">
        <v>14027</v>
      </c>
      <c r="D24" s="170">
        <v>1599159</v>
      </c>
      <c r="E24" s="155">
        <f t="shared" si="10"/>
        <v>258.76359223300972</v>
      </c>
      <c r="G24" s="270">
        <f t="shared" si="11"/>
        <v>8.6863632530289822E-2</v>
      </c>
      <c r="H24" s="270">
        <f t="shared" si="12"/>
        <v>9.1259824077447566E-2</v>
      </c>
      <c r="I24" s="270">
        <f t="shared" si="13"/>
        <v>9.1255988970479138E-2</v>
      </c>
      <c r="K24" s="271">
        <f t="shared" si="7"/>
        <v>1.2176332205019486E-2</v>
      </c>
      <c r="L24" s="271">
        <f t="shared" si="8"/>
        <v>1.2745167521675054E-2</v>
      </c>
      <c r="M24" s="271">
        <f t="shared" si="9"/>
        <v>1.2802989469006976E-2</v>
      </c>
    </row>
    <row r="25" spans="1:16" x14ac:dyDescent="0.3">
      <c r="A25" s="200" t="s">
        <v>69</v>
      </c>
      <c r="B25" s="170">
        <v>7994</v>
      </c>
      <c r="C25" s="170">
        <v>16571</v>
      </c>
      <c r="D25" s="170">
        <v>1901781</v>
      </c>
      <c r="E25" s="155">
        <f t="shared" si="10"/>
        <v>237.90105078809106</v>
      </c>
      <c r="G25" s="270">
        <f t="shared" si="11"/>
        <v>0.11236049813060467</v>
      </c>
      <c r="H25" s="270">
        <f t="shared" si="12"/>
        <v>0.10781111747254463</v>
      </c>
      <c r="I25" s="270">
        <f t="shared" si="13"/>
        <v>0.10852510973597171</v>
      </c>
      <c r="K25" s="271">
        <f t="shared" si="7"/>
        <v>1.5750420654842359E-2</v>
      </c>
      <c r="L25" s="271">
        <f t="shared" si="8"/>
        <v>1.5056688600675647E-2</v>
      </c>
      <c r="M25" s="271">
        <f t="shared" si="9"/>
        <v>1.5225804385528617E-2</v>
      </c>
    </row>
    <row r="26" spans="1:16" x14ac:dyDescent="0.3">
      <c r="A26" s="200" t="s">
        <v>22</v>
      </c>
      <c r="B26" s="170">
        <v>5127</v>
      </c>
      <c r="C26" s="170">
        <v>12434</v>
      </c>
      <c r="D26" s="170">
        <v>1389903</v>
      </c>
      <c r="E26" s="155">
        <f t="shared" si="10"/>
        <v>271.09479227618488</v>
      </c>
      <c r="G26" s="270">
        <f t="shared" si="11"/>
        <v>7.2063081550614236E-2</v>
      </c>
      <c r="H26" s="270">
        <f t="shared" si="12"/>
        <v>8.0895747670847867E-2</v>
      </c>
      <c r="I26" s="270">
        <f t="shared" si="13"/>
        <v>7.9314797864399891E-2</v>
      </c>
      <c r="K26" s="271">
        <f t="shared" si="7"/>
        <v>1.0101627057465194E-2</v>
      </c>
      <c r="L26" s="271">
        <f t="shared" si="8"/>
        <v>1.1297740996970672E-2</v>
      </c>
      <c r="M26" s="271">
        <f t="shared" si="9"/>
        <v>1.1127669901455204E-2</v>
      </c>
    </row>
    <row r="27" spans="1:16" x14ac:dyDescent="0.3">
      <c r="A27" s="200" t="s">
        <v>23</v>
      </c>
      <c r="B27" s="170">
        <v>4397</v>
      </c>
      <c r="C27" s="170">
        <v>9779</v>
      </c>
      <c r="D27" s="170">
        <v>1096415</v>
      </c>
      <c r="E27" s="155">
        <f t="shared" si="10"/>
        <v>249.35524221059813</v>
      </c>
      <c r="G27" s="270">
        <f t="shared" si="11"/>
        <v>6.1802490653023359E-2</v>
      </c>
      <c r="H27" s="270">
        <f t="shared" si="12"/>
        <v>6.3622286993181704E-2</v>
      </c>
      <c r="I27" s="270">
        <f t="shared" si="13"/>
        <v>6.2566908698301976E-2</v>
      </c>
      <c r="K27" s="271">
        <f t="shared" si="7"/>
        <v>8.6633224442509184E-3</v>
      </c>
      <c r="L27" s="271">
        <f t="shared" si="8"/>
        <v>8.8853634557967028E-3</v>
      </c>
      <c r="M27" s="271">
        <f t="shared" si="9"/>
        <v>8.7779824887089294E-3</v>
      </c>
    </row>
    <row r="28" spans="1:16" ht="19.5" thickBot="1" x14ac:dyDescent="0.35">
      <c r="A28" s="201" t="s">
        <v>87</v>
      </c>
      <c r="B28" s="175">
        <f>4790+1554</f>
        <v>6344</v>
      </c>
      <c r="C28" s="175">
        <f>10936+3520</f>
        <v>14456</v>
      </c>
      <c r="D28" s="175">
        <f>1248455+397253</f>
        <v>1645708</v>
      </c>
      <c r="E28" s="155">
        <f t="shared" si="10"/>
        <v>259.41172761664563</v>
      </c>
      <c r="G28" s="270">
        <f t="shared" si="11"/>
        <v>8.9168751581255451E-2</v>
      </c>
      <c r="H28" s="270">
        <f t="shared" si="12"/>
        <v>9.4050903034403791E-2</v>
      </c>
      <c r="I28" s="270">
        <f t="shared" si="13"/>
        <v>9.3912307091808436E-2</v>
      </c>
      <c r="K28" s="271">
        <f t="shared" si="7"/>
        <v>1.249945817291968E-2</v>
      </c>
      <c r="L28" s="271">
        <f t="shared" si="8"/>
        <v>1.3134964118723502E-2</v>
      </c>
      <c r="M28" s="271">
        <f t="shared" si="9"/>
        <v>1.3175664329225883E-2</v>
      </c>
    </row>
    <row r="29" spans="1:16" ht="19.5" thickBot="1" x14ac:dyDescent="0.35">
      <c r="A29" s="250" t="s">
        <v>88</v>
      </c>
      <c r="B29" s="253">
        <f>SUM(B18:B28)</f>
        <v>71146</v>
      </c>
      <c r="C29" s="253">
        <f>SUM(C18:C28)</f>
        <v>153704</v>
      </c>
      <c r="D29" s="253">
        <f>SUM(D18:D28)</f>
        <v>17523880</v>
      </c>
      <c r="E29" s="258">
        <f>D29/B29</f>
        <v>246.30871728558176</v>
      </c>
      <c r="G29" s="270">
        <f t="shared" si="11"/>
        <v>1</v>
      </c>
      <c r="H29" s="270">
        <f t="shared" si="12"/>
        <v>1</v>
      </c>
      <c r="I29" s="270">
        <f t="shared" si="13"/>
        <v>1</v>
      </c>
      <c r="K29" s="271">
        <f t="shared" si="7"/>
        <v>0.14017756165992173</v>
      </c>
      <c r="L29" s="271">
        <f t="shared" si="8"/>
        <v>0.13965803299005791</v>
      </c>
      <c r="M29" s="271">
        <f t="shared" si="9"/>
        <v>0.14029752582209898</v>
      </c>
    </row>
    <row r="30" spans="1:16" ht="19.5" thickBot="1" x14ac:dyDescent="0.35">
      <c r="A30" s="262"/>
      <c r="B30" s="263"/>
      <c r="C30" s="263"/>
      <c r="D30" s="263"/>
      <c r="E30" s="264"/>
      <c r="K30" s="271"/>
      <c r="L30" s="271"/>
      <c r="M30" s="271"/>
    </row>
    <row r="31" spans="1:16" ht="19.5" thickBot="1" x14ac:dyDescent="0.35">
      <c r="A31" s="250" t="s">
        <v>2</v>
      </c>
      <c r="B31" s="253"/>
      <c r="C31" s="253"/>
      <c r="D31" s="253"/>
      <c r="E31" s="253"/>
      <c r="K31" s="271"/>
      <c r="L31" s="271"/>
      <c r="M31" s="271"/>
    </row>
    <row r="32" spans="1:16" x14ac:dyDescent="0.3">
      <c r="A32" s="151" t="s">
        <v>24</v>
      </c>
      <c r="B32" s="180">
        <v>20136</v>
      </c>
      <c r="C32" s="181">
        <v>42847</v>
      </c>
      <c r="D32" s="182">
        <v>4865875</v>
      </c>
      <c r="E32" s="155">
        <f>D32/B32</f>
        <v>241.65052642034166</v>
      </c>
      <c r="G32" s="270">
        <f t="shared" ref="G32:G41" si="14">B32/$B$41</f>
        <v>0.28718943434977323</v>
      </c>
      <c r="H32" s="270">
        <f t="shared" ref="H32:H41" si="15">C32/$C$41</f>
        <v>0.27877395932282789</v>
      </c>
      <c r="I32" s="270">
        <f t="shared" ref="I32:I41" si="16">D32/$D$41</f>
        <v>0.27998923745739995</v>
      </c>
      <c r="K32" s="271">
        <f t="shared" ref="K32:K41" si="17">B32/$B$117</f>
        <v>3.9673563961209121E-2</v>
      </c>
      <c r="L32" s="271">
        <f t="shared" ref="L32:L41" si="18">C32/$C$117</f>
        <v>3.893150301569908E-2</v>
      </c>
      <c r="M32" s="271">
        <f t="shared" ref="M32:M41" si="19">D32/$D$117</f>
        <v>3.8956568035138674E-2</v>
      </c>
    </row>
    <row r="33" spans="1:13" x14ac:dyDescent="0.3">
      <c r="A33" s="156" t="s">
        <v>25</v>
      </c>
      <c r="B33" s="170">
        <v>3783</v>
      </c>
      <c r="C33" s="171">
        <v>8475</v>
      </c>
      <c r="D33" s="170">
        <v>966515</v>
      </c>
      <c r="E33" s="155">
        <f t="shared" ref="E33:E40" si="20">D33/B33</f>
        <v>255.48902987047316</v>
      </c>
      <c r="G33" s="270">
        <f t="shared" si="14"/>
        <v>5.3954987591636479E-2</v>
      </c>
      <c r="H33" s="270">
        <f t="shared" si="15"/>
        <v>5.5140600398183449E-2</v>
      </c>
      <c r="I33" s="270">
        <f t="shared" si="16"/>
        <v>5.5614621797958008E-2</v>
      </c>
      <c r="K33" s="271">
        <f t="shared" si="17"/>
        <v>7.453570344917268E-3</v>
      </c>
      <c r="L33" s="271">
        <f t="shared" si="18"/>
        <v>7.7005271794536303E-3</v>
      </c>
      <c r="M33" s="271">
        <f t="shared" si="19"/>
        <v>7.7379931367908246E-3</v>
      </c>
    </row>
    <row r="34" spans="1:13" x14ac:dyDescent="0.3">
      <c r="A34" s="156" t="s">
        <v>26</v>
      </c>
      <c r="B34" s="170">
        <v>6259</v>
      </c>
      <c r="C34" s="171">
        <v>14298</v>
      </c>
      <c r="D34" s="170">
        <f>1605174+123</f>
        <v>1605297</v>
      </c>
      <c r="E34" s="155">
        <f t="shared" si="20"/>
        <v>256.4781914043777</v>
      </c>
      <c r="G34" s="270">
        <f t="shared" si="14"/>
        <v>8.9268904926262937E-2</v>
      </c>
      <c r="H34" s="270">
        <f t="shared" si="15"/>
        <v>9.3026584600970741E-2</v>
      </c>
      <c r="I34" s="270">
        <f t="shared" si="16"/>
        <v>9.2371029449513559E-2</v>
      </c>
      <c r="K34" s="271">
        <f t="shared" si="17"/>
        <v>1.233198434809336E-2</v>
      </c>
      <c r="L34" s="271">
        <f t="shared" si="18"/>
        <v>1.2991402668062303E-2</v>
      </c>
      <c r="M34" s="271">
        <f t="shared" si="19"/>
        <v>1.2852130767252345E-2</v>
      </c>
    </row>
    <row r="35" spans="1:13" x14ac:dyDescent="0.3">
      <c r="A35" s="156" t="s">
        <v>27</v>
      </c>
      <c r="B35" s="170">
        <v>3848</v>
      </c>
      <c r="C35" s="171">
        <v>8361</v>
      </c>
      <c r="D35" s="170">
        <v>939357</v>
      </c>
      <c r="E35" s="155">
        <f t="shared" si="20"/>
        <v>244.11564449064448</v>
      </c>
      <c r="G35" s="270">
        <f t="shared" si="14"/>
        <v>5.488204923410446E-2</v>
      </c>
      <c r="H35" s="270">
        <f t="shared" si="15"/>
        <v>5.4398886127340632E-2</v>
      </c>
      <c r="I35" s="270">
        <f t="shared" si="16"/>
        <v>5.4051912581040584E-2</v>
      </c>
      <c r="K35" s="271">
        <f t="shared" si="17"/>
        <v>7.5816385639021003E-3</v>
      </c>
      <c r="L35" s="271">
        <f t="shared" si="18"/>
        <v>7.5969448669512456E-3</v>
      </c>
      <c r="M35" s="271">
        <f t="shared" si="19"/>
        <v>7.5205641081580923E-3</v>
      </c>
    </row>
    <row r="36" spans="1:13" x14ac:dyDescent="0.3">
      <c r="A36" s="156" t="s">
        <v>28</v>
      </c>
      <c r="B36" s="170">
        <v>4677</v>
      </c>
      <c r="C36" s="171">
        <v>10331</v>
      </c>
      <c r="D36" s="170">
        <v>1149530</v>
      </c>
      <c r="E36" s="155">
        <f t="shared" si="20"/>
        <v>245.78362197990165</v>
      </c>
      <c r="G36" s="270">
        <f t="shared" si="14"/>
        <v>6.6705650797273017E-2</v>
      </c>
      <c r="H36" s="270">
        <f t="shared" si="15"/>
        <v>6.7216229228747287E-2</v>
      </c>
      <c r="I36" s="270">
        <f t="shared" si="16"/>
        <v>6.6145560281430357E-2</v>
      </c>
      <c r="K36" s="271">
        <f t="shared" si="17"/>
        <v>9.2150009260317366E-3</v>
      </c>
      <c r="L36" s="271">
        <f t="shared" si="18"/>
        <v>9.3869199163345678E-3</v>
      </c>
      <c r="M36" s="271">
        <f t="shared" si="19"/>
        <v>9.2032252479632044E-3</v>
      </c>
    </row>
    <row r="37" spans="1:13" x14ac:dyDescent="0.3">
      <c r="A37" s="156" t="s">
        <v>29</v>
      </c>
      <c r="B37" s="170">
        <v>7426</v>
      </c>
      <c r="C37" s="171">
        <v>16992</v>
      </c>
      <c r="D37" s="170">
        <v>1908094</v>
      </c>
      <c r="E37" s="155">
        <f t="shared" si="20"/>
        <v>256.94775114462698</v>
      </c>
      <c r="G37" s="270">
        <f t="shared" si="14"/>
        <v>0.105913227030265</v>
      </c>
      <c r="H37" s="270">
        <f t="shared" si="15"/>
        <v>0.11055446394878268</v>
      </c>
      <c r="I37" s="270">
        <f t="shared" si="16"/>
        <v>0.10979439135963009</v>
      </c>
      <c r="K37" s="271">
        <f t="shared" si="17"/>
        <v>1.4631301448944126E-2</v>
      </c>
      <c r="L37" s="271">
        <f t="shared" si="18"/>
        <v>1.5439216263513402E-2</v>
      </c>
      <c r="M37" s="271">
        <f t="shared" si="19"/>
        <v>1.527634674718111E-2</v>
      </c>
    </row>
    <row r="38" spans="1:13" x14ac:dyDescent="0.3">
      <c r="A38" s="156" t="s">
        <v>89</v>
      </c>
      <c r="B38" s="170">
        <f>4921+4048</f>
        <v>8969</v>
      </c>
      <c r="C38" s="171">
        <f>11025+8674</f>
        <v>19699</v>
      </c>
      <c r="D38" s="170">
        <f>1246150+978107</f>
        <v>2224257</v>
      </c>
      <c r="E38" s="155">
        <f t="shared" si="20"/>
        <v>247.99386776675215</v>
      </c>
      <c r="G38" s="270">
        <f t="shared" si="14"/>
        <v>0.12792024417377415</v>
      </c>
      <c r="H38" s="270">
        <f t="shared" si="15"/>
        <v>0.12816692474853283</v>
      </c>
      <c r="I38" s="270">
        <f t="shared" si="16"/>
        <v>0.12798685156098011</v>
      </c>
      <c r="K38" s="271">
        <f t="shared" si="17"/>
        <v>1.767144393961485E-2</v>
      </c>
      <c r="L38" s="271">
        <f t="shared" si="18"/>
        <v>1.7898841877056881E-2</v>
      </c>
      <c r="M38" s="271">
        <f t="shared" si="19"/>
        <v>1.7807571947107855E-2</v>
      </c>
    </row>
    <row r="39" spans="1:13" x14ac:dyDescent="0.3">
      <c r="A39" s="156" t="s">
        <v>30</v>
      </c>
      <c r="B39" s="170">
        <v>5446</v>
      </c>
      <c r="C39" s="171">
        <v>12249</v>
      </c>
      <c r="D39" s="170">
        <v>1386442</v>
      </c>
      <c r="E39" s="155">
        <f t="shared" si="20"/>
        <v>254.57987513771576</v>
      </c>
      <c r="G39" s="270">
        <f t="shared" si="14"/>
        <v>7.767350315200959E-2</v>
      </c>
      <c r="H39" s="270">
        <f t="shared" si="15"/>
        <v>7.9695246522401078E-2</v>
      </c>
      <c r="I39" s="270">
        <f t="shared" si="16"/>
        <v>7.9777807354055028E-2</v>
      </c>
      <c r="K39" s="271">
        <f t="shared" si="17"/>
        <v>1.0730146470636913E-2</v>
      </c>
      <c r="L39" s="271">
        <f t="shared" si="18"/>
        <v>1.112964689334838E-2</v>
      </c>
      <c r="M39" s="271">
        <f t="shared" si="19"/>
        <v>1.1099960870300558E-2</v>
      </c>
    </row>
    <row r="40" spans="1:13" ht="19.5" thickBot="1" x14ac:dyDescent="0.35">
      <c r="A40" s="172" t="s">
        <v>90</v>
      </c>
      <c r="B40" s="173">
        <f>5441+4129</f>
        <v>9570</v>
      </c>
      <c r="C40" s="174">
        <f>11805+8641</f>
        <v>20446</v>
      </c>
      <c r="D40" s="175">
        <f>1347144+986282</f>
        <v>2333426</v>
      </c>
      <c r="E40" s="155">
        <f t="shared" si="20"/>
        <v>243.8271682340648</v>
      </c>
      <c r="G40" s="270">
        <f t="shared" si="14"/>
        <v>0.13649199874490117</v>
      </c>
      <c r="H40" s="270">
        <f t="shared" si="15"/>
        <v>0.13302710510221344</v>
      </c>
      <c r="I40" s="270">
        <f t="shared" si="16"/>
        <v>0.13426858815799234</v>
      </c>
      <c r="K40" s="271">
        <f t="shared" si="17"/>
        <v>1.8855582395151536E-2</v>
      </c>
      <c r="L40" s="271">
        <f t="shared" si="18"/>
        <v>1.8577578608980405E-2</v>
      </c>
      <c r="M40" s="271">
        <f t="shared" si="19"/>
        <v>1.8681587324779508E-2</v>
      </c>
    </row>
    <row r="41" spans="1:13" ht="19.5" thickBot="1" x14ac:dyDescent="0.35">
      <c r="A41" s="250" t="s">
        <v>91</v>
      </c>
      <c r="B41" s="251">
        <f>SUM(B32:B40)</f>
        <v>70114</v>
      </c>
      <c r="C41" s="251">
        <f>SUM(C32:C40)</f>
        <v>153698</v>
      </c>
      <c r="D41" s="251">
        <f>SUM(D32:D40)</f>
        <v>17378793</v>
      </c>
      <c r="E41" s="252">
        <f>D41/B41</f>
        <v>247.86480588755455</v>
      </c>
      <c r="G41" s="270">
        <f t="shared" si="14"/>
        <v>1</v>
      </c>
      <c r="H41" s="270">
        <f t="shared" si="15"/>
        <v>1</v>
      </c>
      <c r="I41" s="270">
        <f t="shared" si="16"/>
        <v>1</v>
      </c>
      <c r="K41" s="271">
        <f t="shared" si="17"/>
        <v>0.13814423239850102</v>
      </c>
      <c r="L41" s="271">
        <f t="shared" si="18"/>
        <v>0.13965258128939989</v>
      </c>
      <c r="M41" s="271">
        <f t="shared" si="19"/>
        <v>0.13913594818467218</v>
      </c>
    </row>
    <row r="42" spans="1:13" ht="19.5" thickBot="1" x14ac:dyDescent="0.35">
      <c r="A42" s="255"/>
      <c r="B42" s="256"/>
      <c r="C42" s="256"/>
      <c r="D42" s="256"/>
      <c r="E42" s="257"/>
      <c r="K42" s="271"/>
      <c r="L42" s="271"/>
      <c r="M42" s="271"/>
    </row>
    <row r="43" spans="1:13" ht="19.5" thickBot="1" x14ac:dyDescent="0.35">
      <c r="A43" s="250" t="s">
        <v>3</v>
      </c>
      <c r="B43" s="253"/>
      <c r="C43" s="253"/>
      <c r="D43" s="253"/>
      <c r="E43" s="254"/>
      <c r="K43" s="271"/>
      <c r="L43" s="271"/>
      <c r="M43" s="271"/>
    </row>
    <row r="44" spans="1:13" x14ac:dyDescent="0.3">
      <c r="A44" s="151" t="s">
        <v>31</v>
      </c>
      <c r="B44" s="180">
        <v>3526</v>
      </c>
      <c r="C44" s="181">
        <v>7455</v>
      </c>
      <c r="D44" s="182">
        <v>861503</v>
      </c>
      <c r="E44" s="155">
        <f t="shared" ref="E44:E51" si="21">D44/B44</f>
        <v>244.32870107770844</v>
      </c>
      <c r="G44" s="270">
        <f>B44/$B$51</f>
        <v>7.6765653574849782E-2</v>
      </c>
      <c r="H44" s="270">
        <f>C44/$C$51</f>
        <v>7.6059786767331536E-2</v>
      </c>
      <c r="I44" s="270">
        <f>D44/$D$51</f>
        <v>7.7554458524128039E-2</v>
      </c>
      <c r="K44" s="271">
        <f t="shared" ref="K44:K51" si="22">B44/$B$117</f>
        <v>6.9472083098541595E-3</v>
      </c>
      <c r="L44" s="271">
        <f t="shared" ref="L44:L51" si="23">C44/$C$117</f>
        <v>6.7737380675901848E-3</v>
      </c>
      <c r="M44" s="271">
        <f t="shared" ref="M44:M51" si="24">D44/$D$117</f>
        <v>6.8972590195958729E-3</v>
      </c>
    </row>
    <row r="45" spans="1:13" x14ac:dyDescent="0.3">
      <c r="A45" s="156" t="s">
        <v>32</v>
      </c>
      <c r="B45" s="170">
        <v>6645</v>
      </c>
      <c r="C45" s="171">
        <v>15724</v>
      </c>
      <c r="D45" s="170">
        <v>1770062</v>
      </c>
      <c r="E45" s="155">
        <f t="shared" si="21"/>
        <v>266.37501881113621</v>
      </c>
      <c r="G45" s="270">
        <f t="shared" ref="G45:G51" si="25">B45/$B$51</f>
        <v>0.1446703823042759</v>
      </c>
      <c r="H45" s="270">
        <f t="shared" ref="H45:H51" si="26">C45/$C$51</f>
        <v>0.16042442483293373</v>
      </c>
      <c r="I45" s="270">
        <f t="shared" ref="I45:I51" si="27">D45/$D$51</f>
        <v>0.15934500514117203</v>
      </c>
      <c r="K45" s="271">
        <f t="shared" si="22"/>
        <v>1.3092512540834059E-2</v>
      </c>
      <c r="L45" s="271">
        <f t="shared" si="23"/>
        <v>1.4287090191118453E-2</v>
      </c>
      <c r="M45" s="271">
        <f t="shared" si="24"/>
        <v>1.4171251980253012E-2</v>
      </c>
    </row>
    <row r="46" spans="1:13" x14ac:dyDescent="0.3">
      <c r="A46" s="156" t="s">
        <v>92</v>
      </c>
      <c r="B46" s="170">
        <v>16275</v>
      </c>
      <c r="C46" s="171">
        <v>33616</v>
      </c>
      <c r="D46" s="170">
        <v>3799967</v>
      </c>
      <c r="E46" s="155">
        <f t="shared" si="21"/>
        <v>233.48491551459293</v>
      </c>
      <c r="G46" s="270">
        <f t="shared" si="25"/>
        <v>0.35432813724636419</v>
      </c>
      <c r="H46" s="270">
        <f t="shared" si="26"/>
        <v>0.3429679130745294</v>
      </c>
      <c r="I46" s="270">
        <f t="shared" si="27"/>
        <v>0.34208166784625854</v>
      </c>
      <c r="K46" s="271">
        <f t="shared" si="22"/>
        <v>3.2066311753510053E-2</v>
      </c>
      <c r="L46" s="271">
        <f t="shared" si="23"/>
        <v>3.0544061553334896E-2</v>
      </c>
      <c r="M46" s="271">
        <f t="shared" si="24"/>
        <v>3.0422826925636557E-2</v>
      </c>
    </row>
    <row r="47" spans="1:13" x14ac:dyDescent="0.3">
      <c r="A47" s="156" t="s">
        <v>33</v>
      </c>
      <c r="B47" s="170">
        <v>5218</v>
      </c>
      <c r="C47" s="171">
        <v>11567</v>
      </c>
      <c r="D47" s="170">
        <v>1301855</v>
      </c>
      <c r="E47" s="155">
        <f t="shared" si="21"/>
        <v>249.49310080490611</v>
      </c>
      <c r="G47" s="270">
        <f t="shared" si="25"/>
        <v>0.11360271706000175</v>
      </c>
      <c r="H47" s="270">
        <f t="shared" si="26"/>
        <v>0.11801254909962761</v>
      </c>
      <c r="I47" s="270">
        <f t="shared" si="27"/>
        <v>0.11719594662111299</v>
      </c>
      <c r="K47" s="271">
        <f t="shared" si="22"/>
        <v>1.028092256404396E-2</v>
      </c>
      <c r="L47" s="271">
        <f t="shared" si="23"/>
        <v>1.0509970251886743E-2</v>
      </c>
      <c r="M47" s="271">
        <f t="shared" si="24"/>
        <v>1.0422750867908743E-2</v>
      </c>
    </row>
    <row r="48" spans="1:13" x14ac:dyDescent="0.3">
      <c r="A48" s="156" t="s">
        <v>34</v>
      </c>
      <c r="B48" s="170">
        <v>4266</v>
      </c>
      <c r="C48" s="171">
        <v>9027</v>
      </c>
      <c r="D48" s="170">
        <v>1034950</v>
      </c>
      <c r="E48" s="155">
        <f t="shared" si="21"/>
        <v>242.60431317393343</v>
      </c>
      <c r="G48" s="270">
        <f t="shared" si="25"/>
        <v>9.2876426021074626E-2</v>
      </c>
      <c r="H48" s="270">
        <f t="shared" si="26"/>
        <v>9.2098148242615932E-2</v>
      </c>
      <c r="I48" s="270">
        <f t="shared" si="27"/>
        <v>9.3168551763077215E-2</v>
      </c>
      <c r="K48" s="271">
        <f t="shared" si="22"/>
        <v>8.4052157259891791E-3</v>
      </c>
      <c r="L48" s="271">
        <f t="shared" si="23"/>
        <v>8.2020836399914962E-3</v>
      </c>
      <c r="M48" s="271">
        <f t="shared" si="24"/>
        <v>8.2858889897432144E-3</v>
      </c>
    </row>
    <row r="49" spans="1:13" x14ac:dyDescent="0.3">
      <c r="A49" s="156" t="s">
        <v>35</v>
      </c>
      <c r="B49" s="170">
        <v>3964</v>
      </c>
      <c r="C49" s="171">
        <v>8032</v>
      </c>
      <c r="D49" s="170">
        <v>912834</v>
      </c>
      <c r="E49" s="155">
        <f t="shared" si="21"/>
        <v>230.28102926337033</v>
      </c>
      <c r="G49" s="270">
        <f t="shared" si="25"/>
        <v>8.6301489157885575E-2</v>
      </c>
      <c r="H49" s="270">
        <f t="shared" si="26"/>
        <v>8.1946640820282607E-2</v>
      </c>
      <c r="I49" s="270">
        <f t="shared" si="27"/>
        <v>8.2175391835447933E-2</v>
      </c>
      <c r="K49" s="271">
        <f t="shared" si="22"/>
        <v>7.8101910777827258E-3</v>
      </c>
      <c r="L49" s="271">
        <f t="shared" si="23"/>
        <v>7.2980099475364671E-3</v>
      </c>
      <c r="M49" s="271">
        <f t="shared" si="24"/>
        <v>7.308218938174074E-3</v>
      </c>
    </row>
    <row r="50" spans="1:13" ht="19.5" thickBot="1" x14ac:dyDescent="0.35">
      <c r="A50" s="156" t="s">
        <v>36</v>
      </c>
      <c r="B50" s="173">
        <v>6038</v>
      </c>
      <c r="C50" s="171">
        <v>12594</v>
      </c>
      <c r="D50" s="170">
        <v>1427191</v>
      </c>
      <c r="E50" s="155">
        <f t="shared" si="21"/>
        <v>236.36816826763828</v>
      </c>
      <c r="G50" s="270">
        <f t="shared" si="25"/>
        <v>0.13145519463554819</v>
      </c>
      <c r="H50" s="270">
        <f t="shared" si="26"/>
        <v>0.12849053716267919</v>
      </c>
      <c r="I50" s="270">
        <f t="shared" si="27"/>
        <v>0.12847897826880328</v>
      </c>
      <c r="K50" s="271">
        <f t="shared" si="22"/>
        <v>1.1896552403544928E-2</v>
      </c>
      <c r="L50" s="271">
        <f t="shared" si="23"/>
        <v>1.1443119681184546E-2</v>
      </c>
      <c r="M50" s="271">
        <f t="shared" si="24"/>
        <v>1.1426200486169002E-2</v>
      </c>
    </row>
    <row r="51" spans="1:13" ht="19.5" thickBot="1" x14ac:dyDescent="0.35">
      <c r="A51" s="250" t="s">
        <v>91</v>
      </c>
      <c r="B51" s="251">
        <f>SUM(B44:B50)</f>
        <v>45932</v>
      </c>
      <c r="C51" s="251">
        <f>SUM(C44:C50)</f>
        <v>98015</v>
      </c>
      <c r="D51" s="251">
        <f>SUM(D44:D50)</f>
        <v>11108362</v>
      </c>
      <c r="E51" s="252">
        <f t="shared" si="21"/>
        <v>241.84363842201515</v>
      </c>
      <c r="G51" s="270">
        <f t="shared" si="25"/>
        <v>1</v>
      </c>
      <c r="H51" s="270">
        <f t="shared" si="26"/>
        <v>1</v>
      </c>
      <c r="I51" s="270">
        <f t="shared" si="27"/>
        <v>1</v>
      </c>
      <c r="K51" s="271">
        <f t="shared" si="22"/>
        <v>9.049891437555907E-2</v>
      </c>
      <c r="L51" s="271">
        <f t="shared" si="23"/>
        <v>8.905807333264279E-2</v>
      </c>
      <c r="M51" s="271">
        <f t="shared" si="24"/>
        <v>8.8934397207480476E-2</v>
      </c>
    </row>
    <row r="52" spans="1:13" ht="19.5" thickBot="1" x14ac:dyDescent="0.35">
      <c r="A52" s="255"/>
      <c r="B52" s="256"/>
      <c r="C52" s="256"/>
      <c r="D52" s="256"/>
      <c r="E52" s="257"/>
      <c r="K52" s="271"/>
      <c r="L52" s="271"/>
      <c r="M52" s="271"/>
    </row>
    <row r="53" spans="1:13" ht="19.5" thickBot="1" x14ac:dyDescent="0.35">
      <c r="A53" s="250" t="s">
        <v>4</v>
      </c>
      <c r="B53" s="253"/>
      <c r="C53" s="253"/>
      <c r="D53" s="253"/>
      <c r="E53" s="254"/>
      <c r="K53" s="271"/>
      <c r="L53" s="271"/>
      <c r="M53" s="271"/>
    </row>
    <row r="54" spans="1:13" x14ac:dyDescent="0.3">
      <c r="A54" s="151" t="s">
        <v>37</v>
      </c>
      <c r="B54" s="180">
        <v>6287</v>
      </c>
      <c r="C54" s="181">
        <v>13873</v>
      </c>
      <c r="D54" s="182">
        <v>1555195</v>
      </c>
      <c r="E54" s="155">
        <f t="shared" ref="E54:E60" si="28">D54/B54</f>
        <v>247.36678861142039</v>
      </c>
      <c r="G54" s="270">
        <f>B54/$B$60</f>
        <v>0.15107170319108035</v>
      </c>
      <c r="H54" s="270">
        <f>C54/$C$60</f>
        <v>0.15379072577516156</v>
      </c>
      <c r="I54" s="270">
        <f>D54/$D$60</f>
        <v>0.15256004864044348</v>
      </c>
      <c r="K54" s="271">
        <f t="shared" ref="K54:K60" si="29">B54/$B$117</f>
        <v>1.2387152196271442E-2</v>
      </c>
      <c r="L54" s="271">
        <f t="shared" ref="L54:L60" si="30">C54/$C$117</f>
        <v>1.26052405381192E-2</v>
      </c>
      <c r="M54" s="271">
        <f t="shared" ref="M54:M60" si="31">D54/$D$117</f>
        <v>1.2451010316830474E-2</v>
      </c>
    </row>
    <row r="55" spans="1:13" x14ac:dyDescent="0.3">
      <c r="A55" s="156" t="s">
        <v>93</v>
      </c>
      <c r="B55" s="170">
        <f>6433+7936</f>
        <v>14369</v>
      </c>
      <c r="C55" s="171">
        <f>13710+16847</f>
        <v>30557</v>
      </c>
      <c r="D55" s="170">
        <f>1554997+1900067</f>
        <v>3455064</v>
      </c>
      <c r="E55" s="155">
        <f t="shared" si="28"/>
        <v>240.45264110237318</v>
      </c>
      <c r="G55" s="270">
        <f t="shared" ref="G55:G60" si="32">B55/$B$60</f>
        <v>0.34527585544021533</v>
      </c>
      <c r="H55" s="270">
        <f t="shared" ref="H55:H60" si="33">C55/$C$60</f>
        <v>0.33874311306217919</v>
      </c>
      <c r="I55" s="270">
        <f t="shared" ref="I55:I60" si="34">D55/$D$60</f>
        <v>0.3389316014363763</v>
      </c>
      <c r="K55" s="271">
        <f t="shared" si="29"/>
        <v>2.8310957516816341E-2</v>
      </c>
      <c r="L55" s="271">
        <f t="shared" si="30"/>
        <v>2.7764602834520896E-2</v>
      </c>
      <c r="M55" s="271">
        <f t="shared" si="31"/>
        <v>2.7661507083876661E-2</v>
      </c>
    </row>
    <row r="56" spans="1:13" x14ac:dyDescent="0.3">
      <c r="A56" s="156" t="s">
        <v>94</v>
      </c>
      <c r="B56" s="170">
        <v>4233</v>
      </c>
      <c r="C56" s="171">
        <v>9994</v>
      </c>
      <c r="D56" s="170">
        <v>1131183</v>
      </c>
      <c r="E56" s="155">
        <f t="shared" si="28"/>
        <v>267.2296243798724</v>
      </c>
      <c r="G56" s="270">
        <f t="shared" si="32"/>
        <v>0.1017156862745098</v>
      </c>
      <c r="H56" s="270">
        <f t="shared" si="33"/>
        <v>0.11078962829935593</v>
      </c>
      <c r="I56" s="270">
        <f t="shared" si="34"/>
        <v>0.11096572037670054</v>
      </c>
      <c r="K56" s="271">
        <f t="shared" si="29"/>
        <v>8.3401964763507256E-3</v>
      </c>
      <c r="L56" s="271">
        <f t="shared" si="30"/>
        <v>9.0807160627090957E-3</v>
      </c>
      <c r="M56" s="271">
        <f t="shared" si="31"/>
        <v>9.0563377603601128E-3</v>
      </c>
    </row>
    <row r="57" spans="1:13" x14ac:dyDescent="0.3">
      <c r="A57" s="156" t="s">
        <v>38</v>
      </c>
      <c r="B57" s="170">
        <v>2994</v>
      </c>
      <c r="C57" s="171">
        <v>6416</v>
      </c>
      <c r="D57" s="170">
        <v>727068</v>
      </c>
      <c r="E57" s="155">
        <f t="shared" si="28"/>
        <v>242.84168336673346</v>
      </c>
      <c r="G57" s="270">
        <f t="shared" si="32"/>
        <v>7.1943483275663203E-2</v>
      </c>
      <c r="H57" s="270">
        <f t="shared" si="33"/>
        <v>7.1125300697285135E-2</v>
      </c>
      <c r="I57" s="270">
        <f t="shared" si="34"/>
        <v>7.1323229205925931E-2</v>
      </c>
      <c r="K57" s="271">
        <f t="shared" si="29"/>
        <v>5.8990191944706056E-3</v>
      </c>
      <c r="L57" s="271">
        <f t="shared" si="30"/>
        <v>5.8296852369763416E-3</v>
      </c>
      <c r="M57" s="271">
        <f t="shared" si="31"/>
        <v>5.8209621102416733E-3</v>
      </c>
    </row>
    <row r="58" spans="1:13" x14ac:dyDescent="0.3">
      <c r="A58" s="156" t="s">
        <v>95</v>
      </c>
      <c r="B58" s="170">
        <f>5413+1900</f>
        <v>7313</v>
      </c>
      <c r="C58" s="171">
        <f>11759+4104</f>
        <v>15863</v>
      </c>
      <c r="D58" s="170">
        <f>1324292+464153</f>
        <v>1788445</v>
      </c>
      <c r="E58" s="155">
        <f t="shared" si="28"/>
        <v>244.55695337070969</v>
      </c>
      <c r="G58" s="270">
        <f t="shared" si="32"/>
        <v>0.17572568242983469</v>
      </c>
      <c r="H58" s="270">
        <f t="shared" si="33"/>
        <v>0.17585109803008636</v>
      </c>
      <c r="I58" s="270">
        <f t="shared" si="34"/>
        <v>0.1754411865976665</v>
      </c>
      <c r="K58" s="271">
        <f t="shared" si="29"/>
        <v>1.4408659775939725E-2</v>
      </c>
      <c r="L58" s="271">
        <f t="shared" si="30"/>
        <v>1.4413387923029255E-2</v>
      </c>
      <c r="M58" s="271">
        <f t="shared" si="31"/>
        <v>1.431842768661414E-2</v>
      </c>
    </row>
    <row r="59" spans="1:13" ht="19.5" thickBot="1" x14ac:dyDescent="0.35">
      <c r="A59" s="156" t="s">
        <v>96</v>
      </c>
      <c r="B59" s="173">
        <f>5915+505</f>
        <v>6420</v>
      </c>
      <c r="C59" s="171">
        <f>12613+891</f>
        <v>13504</v>
      </c>
      <c r="D59" s="170">
        <f>1433845+103186</f>
        <v>1537031</v>
      </c>
      <c r="E59" s="155">
        <f t="shared" si="28"/>
        <v>239.41292834890965</v>
      </c>
      <c r="G59" s="270">
        <f t="shared" si="32"/>
        <v>0.15426758938869667</v>
      </c>
      <c r="H59" s="270">
        <f t="shared" si="33"/>
        <v>0.14970013413593181</v>
      </c>
      <c r="I59" s="270">
        <f t="shared" si="34"/>
        <v>0.15077821374288722</v>
      </c>
      <c r="K59" s="271">
        <f t="shared" si="29"/>
        <v>1.2649199475117331E-2</v>
      </c>
      <c r="L59" s="271">
        <f t="shared" si="30"/>
        <v>1.2269960947650952E-2</v>
      </c>
      <c r="M59" s="271">
        <f t="shared" si="31"/>
        <v>1.2305587941247406E-2</v>
      </c>
    </row>
    <row r="60" spans="1:13" ht="19.5" thickBot="1" x14ac:dyDescent="0.35">
      <c r="A60" s="250" t="s">
        <v>91</v>
      </c>
      <c r="B60" s="253">
        <f>SUM(B54:B59)</f>
        <v>41616</v>
      </c>
      <c r="C60" s="251">
        <f>SUM(C54:C59)</f>
        <v>90207</v>
      </c>
      <c r="D60" s="253">
        <f>SUM(D54:D59)</f>
        <v>10193986</v>
      </c>
      <c r="E60" s="258">
        <f t="shared" si="28"/>
        <v>244.95352748942713</v>
      </c>
      <c r="G60" s="270">
        <f t="shared" si="32"/>
        <v>1</v>
      </c>
      <c r="H60" s="270">
        <f t="shared" si="33"/>
        <v>1</v>
      </c>
      <c r="I60" s="270">
        <f t="shared" si="34"/>
        <v>1</v>
      </c>
      <c r="K60" s="271">
        <f t="shared" si="29"/>
        <v>8.1995184634966176E-2</v>
      </c>
      <c r="L60" s="271">
        <f t="shared" si="30"/>
        <v>8.1963593543005739E-2</v>
      </c>
      <c r="M60" s="271">
        <f t="shared" si="31"/>
        <v>8.1613832899170471E-2</v>
      </c>
    </row>
    <row r="61" spans="1:13" ht="19.5" thickBot="1" x14ac:dyDescent="0.35">
      <c r="A61" s="255"/>
      <c r="B61" s="256"/>
      <c r="C61" s="256"/>
      <c r="D61" s="256"/>
      <c r="E61" s="257"/>
      <c r="K61" s="271"/>
      <c r="L61" s="271"/>
      <c r="M61" s="271"/>
    </row>
    <row r="62" spans="1:13" ht="19.5" thickBot="1" x14ac:dyDescent="0.35">
      <c r="A62" s="250" t="s">
        <v>5</v>
      </c>
      <c r="B62" s="253"/>
      <c r="C62" s="253"/>
      <c r="D62" s="261"/>
      <c r="E62" s="254"/>
      <c r="K62" s="271"/>
      <c r="L62" s="271"/>
      <c r="M62" s="271"/>
    </row>
    <row r="63" spans="1:13" x14ac:dyDescent="0.3">
      <c r="A63" s="151" t="s">
        <v>39</v>
      </c>
      <c r="B63" s="180">
        <v>3305</v>
      </c>
      <c r="C63" s="181">
        <v>7216</v>
      </c>
      <c r="D63" s="182">
        <v>816502</v>
      </c>
      <c r="E63" s="155">
        <f t="shared" ref="E63:E69" si="35">D63/B63</f>
        <v>247.05052950075643</v>
      </c>
      <c r="G63" s="270">
        <f>B63/$B$69</f>
        <v>0.12402431702191534</v>
      </c>
      <c r="H63" s="270">
        <f>C63/$C$69</f>
        <v>0.12744163046165802</v>
      </c>
      <c r="I63" s="270">
        <f>D63/$D$69</f>
        <v>0.12755735067546647</v>
      </c>
      <c r="K63" s="271">
        <f t="shared" ref="K63:K69" si="36">B63/$B$117</f>
        <v>6.5117763653057287E-3</v>
      </c>
      <c r="L63" s="271">
        <f t="shared" ref="L63:L69" si="37">C63/$C$117</f>
        <v>6.5565786580457103E-3</v>
      </c>
      <c r="M63" s="271">
        <f t="shared" ref="M63:M69" si="38">D63/$D$117</f>
        <v>6.5369775659725729E-3</v>
      </c>
    </row>
    <row r="64" spans="1:13" x14ac:dyDescent="0.3">
      <c r="A64" s="156" t="s">
        <v>40</v>
      </c>
      <c r="B64" s="170">
        <v>5362</v>
      </c>
      <c r="C64" s="171">
        <v>10636</v>
      </c>
      <c r="D64" s="170">
        <v>1195982</v>
      </c>
      <c r="E64" s="155">
        <f t="shared" si="35"/>
        <v>223.04774337933605</v>
      </c>
      <c r="G64" s="270">
        <f t="shared" ref="G64:G69" si="39">B64/$B$69</f>
        <v>0.20121585109576703</v>
      </c>
      <c r="H64" s="270">
        <f t="shared" ref="H64:H69" si="40">C64/$C$69</f>
        <v>0.18784218148422874</v>
      </c>
      <c r="I64" s="270">
        <f t="shared" ref="I64:I69" si="41">D64/$D$69</f>
        <v>0.18684130029754456</v>
      </c>
      <c r="K64" s="271">
        <f t="shared" si="36"/>
        <v>1.0564642926102668E-2</v>
      </c>
      <c r="L64" s="271">
        <f t="shared" si="37"/>
        <v>9.6640480331172639E-3</v>
      </c>
      <c r="M64" s="271">
        <f t="shared" si="38"/>
        <v>9.5751235187507312E-3</v>
      </c>
    </row>
    <row r="65" spans="1:13" x14ac:dyDescent="0.3">
      <c r="A65" s="156" t="s">
        <v>5</v>
      </c>
      <c r="B65" s="170">
        <v>6386</v>
      </c>
      <c r="C65" s="171">
        <v>13681</v>
      </c>
      <c r="D65" s="170">
        <v>1552444</v>
      </c>
      <c r="E65" s="155">
        <f t="shared" si="35"/>
        <v>243.10115878484183</v>
      </c>
      <c r="G65" s="270">
        <f t="shared" si="39"/>
        <v>0.23964274992494747</v>
      </c>
      <c r="H65" s="270">
        <f t="shared" si="40"/>
        <v>0.2416198650701141</v>
      </c>
      <c r="I65" s="270">
        <f t="shared" si="41"/>
        <v>0.24252928187808953</v>
      </c>
      <c r="K65" s="271">
        <f t="shared" si="36"/>
        <v>1.2582209945186803E-2</v>
      </c>
      <c r="L65" s="271">
        <f t="shared" si="37"/>
        <v>1.2430786117062552E-2</v>
      </c>
      <c r="M65" s="271">
        <f t="shared" si="38"/>
        <v>1.2428985600070453E-2</v>
      </c>
    </row>
    <row r="66" spans="1:13" x14ac:dyDescent="0.3">
      <c r="A66" s="156" t="s">
        <v>41</v>
      </c>
      <c r="B66" s="170">
        <v>3371</v>
      </c>
      <c r="C66" s="171">
        <v>7118</v>
      </c>
      <c r="D66" s="170">
        <v>807689</v>
      </c>
      <c r="E66" s="155">
        <f t="shared" si="35"/>
        <v>239.5992287155147</v>
      </c>
      <c r="G66" s="270">
        <f t="shared" si="39"/>
        <v>0.12650105073551485</v>
      </c>
      <c r="H66" s="270">
        <f t="shared" si="40"/>
        <v>0.12571085443820423</v>
      </c>
      <c r="I66" s="270">
        <f t="shared" si="41"/>
        <v>0.12618054702831938</v>
      </c>
      <c r="K66" s="271">
        <f t="shared" si="36"/>
        <v>6.6418148645826357E-3</v>
      </c>
      <c r="L66" s="271">
        <f t="shared" si="37"/>
        <v>6.4675342139647127E-3</v>
      </c>
      <c r="M66" s="271">
        <f t="shared" si="38"/>
        <v>6.4664200127897073E-3</v>
      </c>
    </row>
    <row r="67" spans="1:13" x14ac:dyDescent="0.3">
      <c r="A67" s="156" t="s">
        <v>42</v>
      </c>
      <c r="B67" s="170">
        <v>4932</v>
      </c>
      <c r="C67" s="171">
        <v>10497</v>
      </c>
      <c r="D67" s="170">
        <v>1192667</v>
      </c>
      <c r="E67" s="155">
        <f t="shared" si="35"/>
        <v>241.82218167072182</v>
      </c>
      <c r="G67" s="270">
        <f t="shared" si="39"/>
        <v>0.18507955568898229</v>
      </c>
      <c r="H67" s="270">
        <f t="shared" si="40"/>
        <v>0.18538730528769737</v>
      </c>
      <c r="I67" s="270">
        <f t="shared" si="41"/>
        <v>0.18632341716010073</v>
      </c>
      <c r="K67" s="271">
        <f t="shared" si="36"/>
        <v>9.7174224005106974E-3</v>
      </c>
      <c r="L67" s="271">
        <f t="shared" si="37"/>
        <v>9.5377503012064619E-3</v>
      </c>
      <c r="M67" s="271">
        <f t="shared" si="38"/>
        <v>9.5485833747814587E-3</v>
      </c>
    </row>
    <row r="68" spans="1:13" ht="19.5" thickBot="1" x14ac:dyDescent="0.35">
      <c r="A68" s="160" t="s">
        <v>43</v>
      </c>
      <c r="B68" s="173">
        <v>3292</v>
      </c>
      <c r="C68" s="184">
        <v>7474</v>
      </c>
      <c r="D68" s="173">
        <v>835774</v>
      </c>
      <c r="E68" s="155">
        <f t="shared" si="35"/>
        <v>253.88031591737547</v>
      </c>
      <c r="G68" s="270">
        <f t="shared" si="39"/>
        <v>0.12353647553287302</v>
      </c>
      <c r="H68" s="270">
        <f t="shared" si="40"/>
        <v>0.13199816325809757</v>
      </c>
      <c r="I68" s="270">
        <f t="shared" si="41"/>
        <v>0.13056810296047935</v>
      </c>
      <c r="K68" s="271">
        <f t="shared" si="36"/>
        <v>6.4861627215087618E-3</v>
      </c>
      <c r="L68" s="271">
        <f t="shared" si="37"/>
        <v>6.7910017863405826E-3</v>
      </c>
      <c r="M68" s="271">
        <f t="shared" si="38"/>
        <v>6.6912706744419017E-3</v>
      </c>
    </row>
    <row r="69" spans="1:13" ht="19.5" thickBot="1" x14ac:dyDescent="0.35">
      <c r="A69" s="250" t="s">
        <v>91</v>
      </c>
      <c r="B69" s="251">
        <f>SUM(B63:B68)</f>
        <v>26648</v>
      </c>
      <c r="C69" s="251">
        <f>SUM(C63:C68)</f>
        <v>56622</v>
      </c>
      <c r="D69" s="251">
        <f>SUM(D63:D68)</f>
        <v>6401058</v>
      </c>
      <c r="E69" s="252">
        <f t="shared" si="35"/>
        <v>240.20782047433204</v>
      </c>
      <c r="G69" s="270">
        <f t="shared" si="39"/>
        <v>1</v>
      </c>
      <c r="H69" s="270">
        <f t="shared" si="40"/>
        <v>1</v>
      </c>
      <c r="I69" s="270">
        <f t="shared" si="41"/>
        <v>1</v>
      </c>
      <c r="K69" s="271">
        <f t="shared" si="36"/>
        <v>5.2504029223197295E-2</v>
      </c>
      <c r="L69" s="271">
        <f t="shared" si="37"/>
        <v>5.1447699109737281E-2</v>
      </c>
      <c r="M69" s="271">
        <f t="shared" si="38"/>
        <v>5.1247360746806823E-2</v>
      </c>
    </row>
    <row r="70" spans="1:13" ht="19.5" thickBot="1" x14ac:dyDescent="0.35">
      <c r="A70" s="255"/>
      <c r="B70" s="256"/>
      <c r="C70" s="256"/>
      <c r="D70" s="259"/>
      <c r="E70" s="257"/>
      <c r="K70" s="271"/>
      <c r="L70" s="271"/>
      <c r="M70" s="271"/>
    </row>
    <row r="71" spans="1:13" ht="19.5" thickBot="1" x14ac:dyDescent="0.35">
      <c r="A71" s="250" t="s">
        <v>6</v>
      </c>
      <c r="B71" s="253"/>
      <c r="C71" s="260"/>
      <c r="D71" s="253"/>
      <c r="E71" s="253"/>
      <c r="K71" s="271"/>
      <c r="L71" s="271"/>
      <c r="M71" s="271"/>
    </row>
    <row r="72" spans="1:13" x14ac:dyDescent="0.3">
      <c r="A72" s="151" t="s">
        <v>44</v>
      </c>
      <c r="B72" s="180">
        <v>1864</v>
      </c>
      <c r="C72" s="181">
        <v>3882</v>
      </c>
      <c r="D72" s="182">
        <v>439069</v>
      </c>
      <c r="E72" s="155">
        <f>D72/B72</f>
        <v>235.55203862660943</v>
      </c>
      <c r="G72" s="270">
        <f>B72/$B$82</f>
        <v>4.2131910853939698E-2</v>
      </c>
      <c r="H72" s="270">
        <f>C72/$C$82</f>
        <v>4.198072909344551E-2</v>
      </c>
      <c r="I72" s="270">
        <f>D72/$D$82</f>
        <v>4.1617125741692101E-2</v>
      </c>
      <c r="K72" s="271">
        <f t="shared" ref="K72:K117" si="42">B72/$B$117</f>
        <v>3.6726024644265893E-3</v>
      </c>
      <c r="L72" s="271">
        <f t="shared" ref="L72:L117" si="43">C72/$C$117</f>
        <v>3.5272503257391145E-3</v>
      </c>
      <c r="M72" s="271">
        <f t="shared" ref="M72:M117" si="44">D72/$D$117</f>
        <v>3.5152200520194828E-3</v>
      </c>
    </row>
    <row r="73" spans="1:13" x14ac:dyDescent="0.3">
      <c r="A73" s="156" t="s">
        <v>70</v>
      </c>
      <c r="B73" s="170">
        <v>96</v>
      </c>
      <c r="C73" s="171">
        <v>199</v>
      </c>
      <c r="D73" s="170">
        <v>21877</v>
      </c>
      <c r="E73" s="155">
        <f t="shared" ref="E73:E81" si="45">D73/B73</f>
        <v>227.88541666666666</v>
      </c>
      <c r="G73" s="270">
        <f t="shared" ref="G73:G82" si="46">B73/$B$82</f>
        <v>2.169883820803761E-3</v>
      </c>
      <c r="H73" s="270">
        <f t="shared" ref="H73:H82" si="47">C73/$C$82</f>
        <v>2.1520260405965114E-3</v>
      </c>
      <c r="I73" s="270">
        <f t="shared" ref="I73:I82" si="48">D73/$D$82</f>
        <v>2.0736099789577449E-3</v>
      </c>
      <c r="K73" s="272">
        <f t="shared" si="42"/>
        <v>1.8914690803913765E-4</v>
      </c>
      <c r="L73" s="272">
        <f t="shared" si="43"/>
        <v>1.8081473849100561E-4</v>
      </c>
      <c r="M73" s="272">
        <f t="shared" si="44"/>
        <v>1.7514893804397537E-4</v>
      </c>
    </row>
    <row r="74" spans="1:13" x14ac:dyDescent="0.3">
      <c r="A74" s="156" t="s">
        <v>45</v>
      </c>
      <c r="B74" s="170">
        <v>5532</v>
      </c>
      <c r="C74" s="171">
        <v>11675</v>
      </c>
      <c r="D74" s="170">
        <v>1330770</v>
      </c>
      <c r="E74" s="155">
        <f t="shared" si="45"/>
        <v>240.55856832971801</v>
      </c>
      <c r="G74" s="270">
        <f t="shared" si="46"/>
        <v>0.12503955517381674</v>
      </c>
      <c r="H74" s="270">
        <f t="shared" si="47"/>
        <v>0.12625579911539833</v>
      </c>
      <c r="I74" s="270">
        <f t="shared" si="48"/>
        <v>0.12613694527117969</v>
      </c>
      <c r="K74" s="271">
        <f t="shared" si="42"/>
        <v>1.0899590575755307E-2</v>
      </c>
      <c r="L74" s="271">
        <f t="shared" si="43"/>
        <v>1.0608100863731108E-2</v>
      </c>
      <c r="M74" s="271">
        <f t="shared" si="44"/>
        <v>1.065424657314902E-2</v>
      </c>
    </row>
    <row r="75" spans="1:13" x14ac:dyDescent="0.3">
      <c r="A75" s="156" t="s">
        <v>6</v>
      </c>
      <c r="B75" s="170">
        <v>8903</v>
      </c>
      <c r="C75" s="171">
        <v>18134</v>
      </c>
      <c r="D75" s="170">
        <v>2065618</v>
      </c>
      <c r="E75" s="155">
        <f t="shared" si="45"/>
        <v>232.01370324609681</v>
      </c>
      <c r="G75" s="270">
        <f t="shared" si="46"/>
        <v>0.20123412142308214</v>
      </c>
      <c r="H75" s="270">
        <f t="shared" si="47"/>
        <v>0.19610472472450821</v>
      </c>
      <c r="I75" s="270">
        <f t="shared" si="48"/>
        <v>0.19578946370684916</v>
      </c>
      <c r="K75" s="271">
        <f t="shared" si="42"/>
        <v>1.7541405440337943E-2</v>
      </c>
      <c r="L75" s="271">
        <f t="shared" si="43"/>
        <v>1.6476856622089926E-2</v>
      </c>
      <c r="M75" s="271">
        <f t="shared" si="44"/>
        <v>1.6537495959433209E-2</v>
      </c>
    </row>
    <row r="76" spans="1:13" x14ac:dyDescent="0.3">
      <c r="A76" s="156" t="s">
        <v>130</v>
      </c>
      <c r="B76" s="170">
        <v>6724</v>
      </c>
      <c r="C76" s="171">
        <v>14468</v>
      </c>
      <c r="D76" s="170">
        <v>1653511</v>
      </c>
      <c r="E76" s="155">
        <f t="shared" si="45"/>
        <v>245.91180844735277</v>
      </c>
      <c r="G76" s="270">
        <f t="shared" si="46"/>
        <v>0.15198227928213009</v>
      </c>
      <c r="H76" s="270">
        <f t="shared" si="47"/>
        <v>0.15645986309221269</v>
      </c>
      <c r="I76" s="270">
        <f t="shared" si="48"/>
        <v>0.15672792932835397</v>
      </c>
      <c r="K76" s="271">
        <f t="shared" si="42"/>
        <v>1.3248164683907934E-2</v>
      </c>
      <c r="L76" s="271">
        <f t="shared" si="43"/>
        <v>1.3145867520039543E-2</v>
      </c>
      <c r="M76" s="271">
        <f t="shared" si="44"/>
        <v>1.3238135745030478E-2</v>
      </c>
    </row>
    <row r="77" spans="1:13" x14ac:dyDescent="0.3">
      <c r="A77" s="156" t="s">
        <v>47</v>
      </c>
      <c r="B77" s="170">
        <v>5602</v>
      </c>
      <c r="C77" s="171">
        <v>11675</v>
      </c>
      <c r="D77" s="170">
        <v>1339815</v>
      </c>
      <c r="E77" s="155">
        <f t="shared" si="45"/>
        <v>239.16726169225277</v>
      </c>
      <c r="G77" s="270">
        <f t="shared" si="46"/>
        <v>0.12662176212648615</v>
      </c>
      <c r="H77" s="270">
        <f t="shared" si="47"/>
        <v>0.12625579911539833</v>
      </c>
      <c r="I77" s="270">
        <f t="shared" si="48"/>
        <v>0.12699427499004759</v>
      </c>
      <c r="K77" s="271">
        <f t="shared" si="42"/>
        <v>1.1037510196200511E-2</v>
      </c>
      <c r="L77" s="271">
        <f t="shared" si="43"/>
        <v>1.0608100863731108E-2</v>
      </c>
      <c r="M77" s="271">
        <f t="shared" si="44"/>
        <v>1.0726661536105905E-2</v>
      </c>
    </row>
    <row r="78" spans="1:13" x14ac:dyDescent="0.3">
      <c r="A78" s="156" t="s">
        <v>48</v>
      </c>
      <c r="B78" s="170">
        <v>2336</v>
      </c>
      <c r="C78" s="171">
        <v>4916</v>
      </c>
      <c r="D78" s="170">
        <v>556234</v>
      </c>
      <c r="E78" s="155">
        <f t="shared" si="45"/>
        <v>238.11386986301369</v>
      </c>
      <c r="G78" s="270">
        <f t="shared" si="46"/>
        <v>5.2800506306224855E-2</v>
      </c>
      <c r="H78" s="270">
        <f t="shared" si="47"/>
        <v>5.3162613143580152E-2</v>
      </c>
      <c r="I78" s="270">
        <f t="shared" si="48"/>
        <v>5.2722602415120091E-2</v>
      </c>
      <c r="K78" s="271">
        <f t="shared" si="42"/>
        <v>4.6025747622856824E-3</v>
      </c>
      <c r="L78" s="271">
        <f t="shared" si="43"/>
        <v>4.4667600724712739E-3</v>
      </c>
      <c r="M78" s="271">
        <f t="shared" si="44"/>
        <v>4.4532520182818756E-3</v>
      </c>
    </row>
    <row r="79" spans="1:13" x14ac:dyDescent="0.3">
      <c r="A79" s="156" t="s">
        <v>49</v>
      </c>
      <c r="B79" s="170">
        <v>4117</v>
      </c>
      <c r="C79" s="171">
        <v>8594</v>
      </c>
      <c r="D79" s="170">
        <v>985210</v>
      </c>
      <c r="E79" s="155">
        <f t="shared" si="45"/>
        <v>239.30289045421424</v>
      </c>
      <c r="G79" s="270">
        <f t="shared" si="46"/>
        <v>9.3056371773427959E-2</v>
      </c>
      <c r="H79" s="270">
        <f t="shared" si="47"/>
        <v>9.2937245190384016E-2</v>
      </c>
      <c r="I79" s="270">
        <f t="shared" si="48"/>
        <v>9.3383063828173879E-2</v>
      </c>
      <c r="K79" s="271">
        <f t="shared" si="42"/>
        <v>8.1116439624701019E-3</v>
      </c>
      <c r="L79" s="271">
        <f t="shared" si="43"/>
        <v>7.8086525758376988E-3</v>
      </c>
      <c r="M79" s="271">
        <f t="shared" si="44"/>
        <v>7.887666739054942E-3</v>
      </c>
    </row>
    <row r="80" spans="1:13" x14ac:dyDescent="0.3">
      <c r="A80" s="156" t="s">
        <v>50</v>
      </c>
      <c r="B80" s="170">
        <v>1630</v>
      </c>
      <c r="C80" s="171">
        <v>3384</v>
      </c>
      <c r="D80" s="170">
        <v>387453</v>
      </c>
      <c r="E80" s="155">
        <f t="shared" si="45"/>
        <v>237.70122699386502</v>
      </c>
      <c r="G80" s="270">
        <f t="shared" si="46"/>
        <v>3.6842819040730529E-2</v>
      </c>
      <c r="H80" s="270">
        <f t="shared" si="47"/>
        <v>3.6595256891349723E-2</v>
      </c>
      <c r="I80" s="270">
        <f t="shared" si="48"/>
        <v>3.6724706640632404E-2</v>
      </c>
      <c r="K80" s="271">
        <f t="shared" si="42"/>
        <v>3.2115568760811915E-3</v>
      </c>
      <c r="L80" s="271">
        <f t="shared" si="43"/>
        <v>3.0747591711234321E-3</v>
      </c>
      <c r="M80" s="271">
        <f t="shared" si="44"/>
        <v>3.1019784016068194E-3</v>
      </c>
    </row>
    <row r="81" spans="1:13" ht="19.5" thickBot="1" x14ac:dyDescent="0.35">
      <c r="A81" s="160" t="s">
        <v>51</v>
      </c>
      <c r="B81" s="173">
        <v>7438</v>
      </c>
      <c r="C81" s="184">
        <v>15544</v>
      </c>
      <c r="D81" s="173">
        <v>1770643</v>
      </c>
      <c r="E81" s="155">
        <f t="shared" si="45"/>
        <v>238.053643452541</v>
      </c>
      <c r="G81" s="270">
        <f t="shared" si="46"/>
        <v>0.16812079019935808</v>
      </c>
      <c r="H81" s="270">
        <f t="shared" si="47"/>
        <v>0.16809594359312649</v>
      </c>
      <c r="I81" s="270">
        <f t="shared" si="48"/>
        <v>0.1678302780989934</v>
      </c>
      <c r="K81" s="271">
        <f t="shared" si="42"/>
        <v>1.4654944812449019E-2</v>
      </c>
      <c r="L81" s="271">
        <f t="shared" si="43"/>
        <v>1.4123539171377845E-2</v>
      </c>
      <c r="M81" s="271">
        <f t="shared" si="44"/>
        <v>1.417590351076467E-2</v>
      </c>
    </row>
    <row r="82" spans="1:13" ht="19.5" thickBot="1" x14ac:dyDescent="0.35">
      <c r="A82" s="250" t="s">
        <v>91</v>
      </c>
      <c r="B82" s="251">
        <f>SUM(B72:B81)</f>
        <v>44242</v>
      </c>
      <c r="C82" s="251">
        <f>SUM(C72:C81)</f>
        <v>92471</v>
      </c>
      <c r="D82" s="251">
        <f>SUM(D72:D81)</f>
        <v>10550200</v>
      </c>
      <c r="E82" s="252">
        <f>D82/B82</f>
        <v>238.46571131504001</v>
      </c>
      <c r="G82" s="270">
        <f t="shared" si="46"/>
        <v>1</v>
      </c>
      <c r="H82" s="270">
        <f t="shared" si="47"/>
        <v>1</v>
      </c>
      <c r="I82" s="270">
        <f t="shared" si="48"/>
        <v>1</v>
      </c>
      <c r="K82" s="271">
        <f t="shared" si="42"/>
        <v>8.7169140681953416E-2</v>
      </c>
      <c r="L82" s="271">
        <f t="shared" si="43"/>
        <v>8.4020701924632055E-2</v>
      </c>
      <c r="M82" s="271">
        <f t="shared" si="44"/>
        <v>8.4465709473490386E-2</v>
      </c>
    </row>
    <row r="83" spans="1:13" ht="19.5" thickBot="1" x14ac:dyDescent="0.35">
      <c r="A83" s="255"/>
      <c r="B83" s="256"/>
      <c r="C83" s="256"/>
      <c r="D83" s="256"/>
      <c r="E83" s="257"/>
      <c r="K83" s="271"/>
      <c r="L83" s="271"/>
      <c r="M83" s="271"/>
    </row>
    <row r="84" spans="1:13" ht="19.5" thickBot="1" x14ac:dyDescent="0.35">
      <c r="A84" s="250" t="s">
        <v>7</v>
      </c>
      <c r="B84" s="253"/>
      <c r="C84" s="253"/>
      <c r="D84" s="253"/>
      <c r="E84" s="253"/>
      <c r="K84" s="271"/>
      <c r="L84" s="271"/>
      <c r="M84" s="271"/>
    </row>
    <row r="85" spans="1:13" x14ac:dyDescent="0.3">
      <c r="A85" s="151" t="s">
        <v>52</v>
      </c>
      <c r="B85" s="180">
        <v>4504</v>
      </c>
      <c r="C85" s="181">
        <v>9401</v>
      </c>
      <c r="D85" s="182">
        <v>1066481</v>
      </c>
      <c r="E85" s="155">
        <f>D85/B85</f>
        <v>236.78530195381882</v>
      </c>
      <c r="G85" s="270">
        <f>B85/$B$94</f>
        <v>0.10586686724332456</v>
      </c>
      <c r="H85" s="270">
        <f>C85/$C$94</f>
        <v>0.10475468838795227</v>
      </c>
      <c r="I85" s="270">
        <f>D85/$D$94</f>
        <v>0.10468217914389556</v>
      </c>
      <c r="K85" s="271">
        <f t="shared" si="42"/>
        <v>8.8741424355028749E-3</v>
      </c>
      <c r="L85" s="271">
        <f t="shared" si="43"/>
        <v>8.5419063143414263E-3</v>
      </c>
      <c r="M85" s="271">
        <f t="shared" si="44"/>
        <v>8.538328591400874E-3</v>
      </c>
    </row>
    <row r="86" spans="1:13" x14ac:dyDescent="0.3">
      <c r="A86" s="156" t="s">
        <v>53</v>
      </c>
      <c r="B86" s="170">
        <v>6042</v>
      </c>
      <c r="C86" s="171">
        <v>13061</v>
      </c>
      <c r="D86" s="170">
        <v>1476739</v>
      </c>
      <c r="E86" s="155">
        <v>3475</v>
      </c>
      <c r="G86" s="270">
        <f>B86/$B$94</f>
        <v>0.1420176758179767</v>
      </c>
      <c r="H86" s="270">
        <f t="shared" ref="H86:H94" si="49">C86/$C$94</f>
        <v>0.14553781353420323</v>
      </c>
      <c r="I86" s="270">
        <f t="shared" ref="I86:I94" si="50">D86/$D$94</f>
        <v>0.14495172117157004</v>
      </c>
      <c r="K86" s="271">
        <f t="shared" si="42"/>
        <v>1.1904433524713225E-2</v>
      </c>
      <c r="L86" s="271">
        <f t="shared" si="43"/>
        <v>1.186744371573379E-2</v>
      </c>
      <c r="M86" s="271">
        <f t="shared" si="44"/>
        <v>1.1822885570147742E-2</v>
      </c>
    </row>
    <row r="87" spans="1:13" x14ac:dyDescent="0.3">
      <c r="A87" s="156" t="s">
        <v>54</v>
      </c>
      <c r="B87" s="170">
        <v>3565</v>
      </c>
      <c r="C87" s="171">
        <v>7983</v>
      </c>
      <c r="D87" s="170">
        <v>899387</v>
      </c>
      <c r="E87" s="155">
        <f t="shared" ref="E87:E93" si="51">D87/B87</f>
        <v>252.28246844319776</v>
      </c>
      <c r="G87" s="270">
        <f t="shared" ref="G87:G94" si="52">B87/$B$94</f>
        <v>8.3795599849567512E-2</v>
      </c>
      <c r="H87" s="270">
        <f t="shared" si="49"/>
        <v>8.8954013126371967E-2</v>
      </c>
      <c r="I87" s="270">
        <f t="shared" si="50"/>
        <v>8.8280795488799885E-2</v>
      </c>
      <c r="K87" s="271">
        <f t="shared" si="42"/>
        <v>7.0240492412450596E-3</v>
      </c>
      <c r="L87" s="271">
        <f t="shared" si="43"/>
        <v>7.2534877254959683E-3</v>
      </c>
      <c r="M87" s="271">
        <f t="shared" si="44"/>
        <v>7.2005612259705117E-3</v>
      </c>
    </row>
    <row r="88" spans="1:13" x14ac:dyDescent="0.3">
      <c r="A88" s="156" t="s">
        <v>55</v>
      </c>
      <c r="B88" s="170">
        <v>1879</v>
      </c>
      <c r="C88" s="171">
        <v>3599</v>
      </c>
      <c r="D88" s="170">
        <v>407278</v>
      </c>
      <c r="E88" s="155">
        <f t="shared" si="51"/>
        <v>216.75252794039383</v>
      </c>
      <c r="G88" s="270">
        <f t="shared" si="52"/>
        <v>4.4166039864610755E-2</v>
      </c>
      <c r="H88" s="270">
        <f t="shared" si="49"/>
        <v>4.0103406393813448E-2</v>
      </c>
      <c r="I88" s="270">
        <f t="shared" si="50"/>
        <v>3.9977035275234621E-2</v>
      </c>
      <c r="K88" s="271">
        <f t="shared" si="42"/>
        <v>3.7021566688077044E-3</v>
      </c>
      <c r="L88" s="271">
        <f t="shared" si="43"/>
        <v>3.270111778035825E-3</v>
      </c>
      <c r="M88" s="271">
        <f t="shared" si="44"/>
        <v>3.2606988704426661E-3</v>
      </c>
    </row>
    <row r="89" spans="1:13" x14ac:dyDescent="0.3">
      <c r="A89" s="156" t="s">
        <v>56</v>
      </c>
      <c r="B89" s="170">
        <v>4045</v>
      </c>
      <c r="C89" s="171">
        <v>8738</v>
      </c>
      <c r="D89" s="170">
        <v>987913</v>
      </c>
      <c r="E89" s="155">
        <f t="shared" si="51"/>
        <v>244.23065512978985</v>
      </c>
      <c r="G89" s="270">
        <f t="shared" si="52"/>
        <v>9.507803685596089E-2</v>
      </c>
      <c r="H89" s="270">
        <f t="shared" si="49"/>
        <v>9.7366925554082218E-2</v>
      </c>
      <c r="I89" s="270">
        <f t="shared" si="50"/>
        <v>9.6970209168830285E-2</v>
      </c>
      <c r="K89" s="271">
        <f t="shared" si="42"/>
        <v>7.9697837814407483E-3</v>
      </c>
      <c r="L89" s="271">
        <f t="shared" si="43"/>
        <v>7.9394933916301855E-3</v>
      </c>
      <c r="M89" s="271">
        <f t="shared" si="44"/>
        <v>7.9093071641375811E-3</v>
      </c>
    </row>
    <row r="90" spans="1:13" x14ac:dyDescent="0.3">
      <c r="A90" s="156" t="s">
        <v>57</v>
      </c>
      <c r="B90" s="170">
        <v>1022</v>
      </c>
      <c r="C90" s="171">
        <v>2492</v>
      </c>
      <c r="D90" s="170">
        <v>279049</v>
      </c>
      <c r="E90" s="155">
        <f t="shared" si="51"/>
        <v>273.04207436399219</v>
      </c>
      <c r="G90" s="270">
        <f t="shared" si="52"/>
        <v>2.4022188792779241E-2</v>
      </c>
      <c r="H90" s="270">
        <f t="shared" si="49"/>
        <v>2.7768182476627705E-2</v>
      </c>
      <c r="I90" s="270">
        <f t="shared" si="50"/>
        <v>2.7390508980399006E-2</v>
      </c>
      <c r="K90" s="271">
        <f t="shared" si="42"/>
        <v>2.0136264584999864E-3</v>
      </c>
      <c r="L90" s="271">
        <f t="shared" si="43"/>
        <v>2.2642730066310852E-3</v>
      </c>
      <c r="M90" s="271">
        <f t="shared" si="44"/>
        <v>2.2340876725434606E-3</v>
      </c>
    </row>
    <row r="91" spans="1:13" x14ac:dyDescent="0.3">
      <c r="A91" s="156" t="s">
        <v>97</v>
      </c>
      <c r="B91" s="170">
        <f>6663+6029</f>
        <v>12692</v>
      </c>
      <c r="C91" s="171">
        <f>13988+11763</f>
        <v>25751</v>
      </c>
      <c r="D91" s="170">
        <f>1592755+1367969</f>
        <v>2960724</v>
      </c>
      <c r="E91" s="155">
        <f t="shared" si="51"/>
        <v>233.27481878348567</v>
      </c>
      <c r="G91" s="270">
        <f t="shared" si="52"/>
        <v>0.29832643851071833</v>
      </c>
      <c r="H91" s="270">
        <f t="shared" si="49"/>
        <v>0.28694159990194223</v>
      </c>
      <c r="I91" s="270">
        <f t="shared" si="50"/>
        <v>0.29061468527205925</v>
      </c>
      <c r="K91" s="271">
        <f t="shared" si="42"/>
        <v>2.5006797467007656E-2</v>
      </c>
      <c r="L91" s="271">
        <f t="shared" si="43"/>
        <v>2.3397790607446661E-2</v>
      </c>
      <c r="M91" s="271">
        <f t="shared" si="44"/>
        <v>2.3703783171427115E-2</v>
      </c>
    </row>
    <row r="92" spans="1:13" x14ac:dyDescent="0.3">
      <c r="A92" s="185" t="s">
        <v>58</v>
      </c>
      <c r="B92" s="170">
        <v>3508</v>
      </c>
      <c r="C92" s="171">
        <v>7603</v>
      </c>
      <c r="D92" s="170">
        <v>855395</v>
      </c>
      <c r="E92" s="155">
        <f t="shared" si="51"/>
        <v>243.84122006841505</v>
      </c>
      <c r="G92" s="270">
        <f t="shared" si="52"/>
        <v>8.2455810455058287E-2</v>
      </c>
      <c r="H92" s="270">
        <f t="shared" si="49"/>
        <v>8.471969958659728E-2</v>
      </c>
      <c r="I92" s="270">
        <f t="shared" si="50"/>
        <v>8.3962689095063617E-2</v>
      </c>
      <c r="K92" s="271">
        <f t="shared" si="42"/>
        <v>6.9117432645968216E-3</v>
      </c>
      <c r="L92" s="271">
        <f t="shared" si="43"/>
        <v>6.9082133504880178E-3</v>
      </c>
      <c r="M92" s="271">
        <f t="shared" si="44"/>
        <v>6.8483579036488695E-3</v>
      </c>
    </row>
    <row r="93" spans="1:13" ht="19.5" thickBot="1" x14ac:dyDescent="0.35">
      <c r="A93" s="156" t="s">
        <v>59</v>
      </c>
      <c r="B93" s="173">
        <v>5287</v>
      </c>
      <c r="C93" s="171">
        <v>11115</v>
      </c>
      <c r="D93" s="170">
        <v>1254833</v>
      </c>
      <c r="E93" s="155">
        <f t="shared" si="51"/>
        <v>237.34310573103841</v>
      </c>
      <c r="G93" s="270">
        <f t="shared" si="52"/>
        <v>0.12427134261000376</v>
      </c>
      <c r="H93" s="270">
        <f t="shared" si="49"/>
        <v>0.12385367103840968</v>
      </c>
      <c r="I93" s="270">
        <f t="shared" si="50"/>
        <v>0.12317017640414775</v>
      </c>
      <c r="K93" s="271">
        <f t="shared" si="42"/>
        <v>1.0416871904197092E-2</v>
      </c>
      <c r="L93" s="271">
        <f t="shared" si="43"/>
        <v>1.0099275468982549E-2</v>
      </c>
      <c r="M93" s="271">
        <f t="shared" si="44"/>
        <v>1.0046289133452291E-2</v>
      </c>
    </row>
    <row r="94" spans="1:13" ht="19.5" thickBot="1" x14ac:dyDescent="0.35">
      <c r="A94" s="250" t="s">
        <v>91</v>
      </c>
      <c r="B94" s="251">
        <f>SUM(B85:B93)</f>
        <v>42544</v>
      </c>
      <c r="C94" s="251">
        <f>SUM(C85:C93)</f>
        <v>89743</v>
      </c>
      <c r="D94" s="251">
        <f>SUM(D85:D93)</f>
        <v>10187799</v>
      </c>
      <c r="E94" s="252">
        <f>D94/B94</f>
        <v>239.46500094020308</v>
      </c>
      <c r="G94" s="270">
        <f t="shared" si="52"/>
        <v>1</v>
      </c>
      <c r="H94" s="270">
        <f t="shared" si="49"/>
        <v>1</v>
      </c>
      <c r="I94" s="270">
        <f t="shared" si="50"/>
        <v>1</v>
      </c>
      <c r="K94" s="271">
        <f t="shared" si="42"/>
        <v>8.3823604746011166E-2</v>
      </c>
      <c r="L94" s="271">
        <f t="shared" si="43"/>
        <v>8.1541995358785507E-2</v>
      </c>
      <c r="M94" s="271">
        <f t="shared" si="44"/>
        <v>8.1564299303171106E-2</v>
      </c>
    </row>
    <row r="95" spans="1:13" ht="19.5" thickBot="1" x14ac:dyDescent="0.35">
      <c r="A95" s="255"/>
      <c r="B95" s="256"/>
      <c r="C95" s="256"/>
      <c r="D95" s="256"/>
      <c r="E95" s="257"/>
      <c r="K95" s="271">
        <f t="shared" si="42"/>
        <v>0</v>
      </c>
      <c r="L95" s="271">
        <f t="shared" si="43"/>
        <v>0</v>
      </c>
      <c r="M95" s="271">
        <f t="shared" si="44"/>
        <v>0</v>
      </c>
    </row>
    <row r="96" spans="1:13" ht="19.5" thickBot="1" x14ac:dyDescent="0.35">
      <c r="A96" s="248" t="s">
        <v>8</v>
      </c>
      <c r="B96" s="253"/>
      <c r="C96" s="253"/>
      <c r="D96" s="253"/>
      <c r="E96" s="253"/>
      <c r="K96" s="271">
        <f t="shared" si="42"/>
        <v>0</v>
      </c>
      <c r="L96" s="271">
        <f t="shared" si="43"/>
        <v>0</v>
      </c>
      <c r="M96" s="271">
        <f t="shared" si="44"/>
        <v>0</v>
      </c>
    </row>
    <row r="97" spans="1:13" x14ac:dyDescent="0.3">
      <c r="A97" s="186" t="s">
        <v>73</v>
      </c>
      <c r="B97" s="180">
        <f>3357+763</f>
        <v>4120</v>
      </c>
      <c r="C97" s="181">
        <f>8251+1788</f>
        <v>10039</v>
      </c>
      <c r="D97" s="182">
        <f>933107+205603</f>
        <v>1138710</v>
      </c>
      <c r="E97" s="155">
        <f>D97/B97</f>
        <v>276.38592233009706</v>
      </c>
      <c r="G97" s="270">
        <f>B97/$B$108</f>
        <v>5.4941391404072594E-2</v>
      </c>
      <c r="H97" s="270">
        <f>C97/$C$108</f>
        <v>5.8079595485076567E-2</v>
      </c>
      <c r="I97" s="270">
        <f>D97/$D$108</f>
        <v>5.8434817628983581E-2</v>
      </c>
      <c r="K97" s="271">
        <f t="shared" si="42"/>
        <v>8.1175548033463243E-3</v>
      </c>
      <c r="L97" s="271">
        <f t="shared" si="43"/>
        <v>9.1216038176442481E-3</v>
      </c>
      <c r="M97" s="271">
        <f t="shared" si="44"/>
        <v>9.1165994990197556E-3</v>
      </c>
    </row>
    <row r="98" spans="1:13" x14ac:dyDescent="0.3">
      <c r="A98" s="187" t="s">
        <v>60</v>
      </c>
      <c r="B98" s="170">
        <v>4608</v>
      </c>
      <c r="C98" s="171">
        <v>9684</v>
      </c>
      <c r="D98" s="170">
        <v>1095155</v>
      </c>
      <c r="E98" s="155">
        <f t="shared" ref="E98:E107" si="53">D98/B98</f>
        <v>237.66384548611111</v>
      </c>
      <c r="G98" s="270">
        <f t="shared" ref="G98:G108" si="54">B98/$B$108</f>
        <v>6.1449012521836537E-2</v>
      </c>
      <c r="H98" s="270">
        <f t="shared" ref="H98:H108" si="55">C98/$C$108</f>
        <v>5.6025779726813579E-2</v>
      </c>
      <c r="I98" s="270">
        <f t="shared" ref="I98:I108" si="56">D98/$D$108</f>
        <v>5.6199719595392605E-2</v>
      </c>
      <c r="K98" s="271">
        <f t="shared" si="42"/>
        <v>9.0790515858786072E-3</v>
      </c>
      <c r="L98" s="271">
        <f t="shared" si="43"/>
        <v>8.799044862044714E-3</v>
      </c>
      <c r="M98" s="271">
        <f t="shared" si="44"/>
        <v>8.767894832177622E-3</v>
      </c>
    </row>
    <row r="99" spans="1:13" x14ac:dyDescent="0.3">
      <c r="A99" s="187" t="s">
        <v>61</v>
      </c>
      <c r="B99" s="170">
        <v>6367</v>
      </c>
      <c r="C99" s="171">
        <v>14027</v>
      </c>
      <c r="D99" s="170">
        <v>1590609</v>
      </c>
      <c r="E99" s="155">
        <f t="shared" si="53"/>
        <v>249.82079472278937</v>
      </c>
      <c r="G99" s="270">
        <f t="shared" si="54"/>
        <v>8.490578618197335E-2</v>
      </c>
      <c r="H99" s="270">
        <f t="shared" si="55"/>
        <v>8.1151756735647881E-2</v>
      </c>
      <c r="I99" s="270">
        <f t="shared" si="56"/>
        <v>8.1624774379798148E-2</v>
      </c>
      <c r="K99" s="271">
        <f t="shared" si="42"/>
        <v>1.254477461963739E-2</v>
      </c>
      <c r="L99" s="271">
        <f t="shared" si="43"/>
        <v>1.2745167521675054E-2</v>
      </c>
      <c r="M99" s="271">
        <f t="shared" si="44"/>
        <v>1.2734537513973106E-2</v>
      </c>
    </row>
    <row r="100" spans="1:13" x14ac:dyDescent="0.3">
      <c r="A100" s="156" t="s">
        <v>62</v>
      </c>
      <c r="B100" s="170">
        <v>3735</v>
      </c>
      <c r="C100" s="171">
        <v>8603</v>
      </c>
      <c r="D100" s="170">
        <v>967914</v>
      </c>
      <c r="E100" s="155">
        <f t="shared" si="53"/>
        <v>259.1469879518072</v>
      </c>
      <c r="G100" s="270">
        <f t="shared" si="54"/>
        <v>4.9807305071410471E-2</v>
      </c>
      <c r="H100" s="270">
        <f t="shared" si="55"/>
        <v>4.9771766107990209E-2</v>
      </c>
      <c r="I100" s="270">
        <f t="shared" si="56"/>
        <v>4.9670133809784765E-2</v>
      </c>
      <c r="K100" s="271">
        <f t="shared" si="42"/>
        <v>7.358996890897699E-3</v>
      </c>
      <c r="L100" s="271">
        <f t="shared" si="43"/>
        <v>7.8168301268247298E-3</v>
      </c>
      <c r="M100" s="271">
        <f t="shared" si="44"/>
        <v>7.7491936379712198E-3</v>
      </c>
    </row>
    <row r="101" spans="1:13" x14ac:dyDescent="0.3">
      <c r="A101" s="156" t="s">
        <v>63</v>
      </c>
      <c r="B101" s="170">
        <v>3156</v>
      </c>
      <c r="C101" s="171">
        <v>7953</v>
      </c>
      <c r="D101" s="170">
        <v>896775</v>
      </c>
      <c r="E101" s="155">
        <f t="shared" si="53"/>
        <v>284.14923954372625</v>
      </c>
      <c r="G101" s="270">
        <f t="shared" si="54"/>
        <v>4.208617263865367E-2</v>
      </c>
      <c r="H101" s="270">
        <f t="shared" si="55"/>
        <v>4.601125838159318E-2</v>
      </c>
      <c r="I101" s="270">
        <f t="shared" si="56"/>
        <v>4.6019516452153533E-2</v>
      </c>
      <c r="K101" s="271">
        <f t="shared" si="42"/>
        <v>6.2182046017866498E-3</v>
      </c>
      <c r="L101" s="271">
        <f t="shared" si="43"/>
        <v>7.2262292222058672E-3</v>
      </c>
      <c r="M101" s="271">
        <f t="shared" si="44"/>
        <v>7.1796493538595794E-3</v>
      </c>
    </row>
    <row r="102" spans="1:13" x14ac:dyDescent="0.3">
      <c r="A102" s="156" t="s">
        <v>64</v>
      </c>
      <c r="B102" s="170">
        <v>6939</v>
      </c>
      <c r="C102" s="171">
        <v>16324</v>
      </c>
      <c r="D102" s="170">
        <v>1820943</v>
      </c>
      <c r="E102" s="155">
        <f t="shared" si="53"/>
        <v>262.42153047989626</v>
      </c>
      <c r="G102" s="270">
        <f t="shared" si="54"/>
        <v>9.2533571590499936E-2</v>
      </c>
      <c r="H102" s="270">
        <f t="shared" si="55"/>
        <v>9.4440812501084756E-2</v>
      </c>
      <c r="I102" s="270">
        <f t="shared" si="56"/>
        <v>9.3444750742308624E-2</v>
      </c>
      <c r="K102" s="271">
        <f t="shared" si="42"/>
        <v>1.3671774946703918E-2</v>
      </c>
      <c r="L102" s="271">
        <f t="shared" si="43"/>
        <v>1.483226025692048E-2</v>
      </c>
      <c r="M102" s="271">
        <f t="shared" si="44"/>
        <v>1.4578609164355745E-2</v>
      </c>
    </row>
    <row r="103" spans="1:13" x14ac:dyDescent="0.3">
      <c r="A103" s="156" t="s">
        <v>65</v>
      </c>
      <c r="B103" s="170">
        <v>4899</v>
      </c>
      <c r="C103" s="171">
        <v>11700</v>
      </c>
      <c r="D103" s="170">
        <v>1304428</v>
      </c>
      <c r="E103" s="155">
        <f t="shared" si="53"/>
        <v>266.26413553786489</v>
      </c>
      <c r="G103" s="270">
        <f t="shared" si="54"/>
        <v>6.5329581671978554E-2</v>
      </c>
      <c r="H103" s="270">
        <f t="shared" si="55"/>
        <v>6.7689139075146509E-2</v>
      </c>
      <c r="I103" s="270">
        <f t="shared" si="56"/>
        <v>6.6938915342922956E-2</v>
      </c>
      <c r="K103" s="271">
        <f t="shared" si="42"/>
        <v>9.6524031508722439E-3</v>
      </c>
      <c r="L103" s="271">
        <f t="shared" si="43"/>
        <v>1.0630816283139525E-2</v>
      </c>
      <c r="M103" s="271">
        <f t="shared" si="44"/>
        <v>1.0443350503031801E-2</v>
      </c>
    </row>
    <row r="104" spans="1:13" x14ac:dyDescent="0.3">
      <c r="A104" s="156" t="s">
        <v>66</v>
      </c>
      <c r="B104" s="170">
        <v>3998</v>
      </c>
      <c r="C104" s="171">
        <v>9820</v>
      </c>
      <c r="D104" s="170">
        <v>1093580</v>
      </c>
      <c r="E104" s="155">
        <f t="shared" si="53"/>
        <v>273.53176588294144</v>
      </c>
      <c r="G104" s="270">
        <f t="shared" si="54"/>
        <v>5.3314486124631612E-2</v>
      </c>
      <c r="H104" s="270">
        <f t="shared" si="55"/>
        <v>5.6812593651105879E-2</v>
      </c>
      <c r="I104" s="270">
        <f t="shared" si="56"/>
        <v>5.6118895823083895E-2</v>
      </c>
      <c r="K104" s="271">
        <f t="shared" si="42"/>
        <v>7.877180607713254E-3</v>
      </c>
      <c r="L104" s="271">
        <f t="shared" si="43"/>
        <v>8.9226167436265071E-3</v>
      </c>
      <c r="M104" s="271">
        <f t="shared" si="44"/>
        <v>8.7552852615134895E-3</v>
      </c>
    </row>
    <row r="105" spans="1:13" x14ac:dyDescent="0.3">
      <c r="A105" s="156" t="s">
        <v>119</v>
      </c>
      <c r="B105" s="170">
        <f>5679+6775+13324</f>
        <v>25778</v>
      </c>
      <c r="C105" s="171">
        <f>12109+16345+30207</f>
        <v>58661</v>
      </c>
      <c r="D105" s="170">
        <f>1374607+1835709+3441560</f>
        <v>6651876</v>
      </c>
      <c r="E105" s="155">
        <f t="shared" si="53"/>
        <v>258.04468926992007</v>
      </c>
      <c r="G105" s="270">
        <f t="shared" si="54"/>
        <v>0.34375708437237462</v>
      </c>
      <c r="H105" s="270">
        <f t="shared" si="55"/>
        <v>0.33937714421257859</v>
      </c>
      <c r="I105" s="270">
        <f t="shared" si="56"/>
        <v>0.34135219761889574</v>
      </c>
      <c r="K105" s="271">
        <f t="shared" si="42"/>
        <v>5.0789885369092611E-2</v>
      </c>
      <c r="L105" s="271">
        <f t="shared" si="43"/>
        <v>5.3300368716687835E-2</v>
      </c>
      <c r="M105" s="271">
        <f t="shared" si="44"/>
        <v>5.3255428870512718E-2</v>
      </c>
    </row>
    <row r="106" spans="1:13" x14ac:dyDescent="0.3">
      <c r="A106" s="156" t="s">
        <v>67</v>
      </c>
      <c r="B106" s="170">
        <v>4615</v>
      </c>
      <c r="C106" s="171">
        <v>11035</v>
      </c>
      <c r="D106" s="170">
        <v>1243892</v>
      </c>
      <c r="E106" s="155">
        <f t="shared" si="53"/>
        <v>269.5323943661972</v>
      </c>
      <c r="G106" s="270">
        <f t="shared" si="54"/>
        <v>6.1542359546066759E-2</v>
      </c>
      <c r="H106" s="270">
        <f t="shared" si="55"/>
        <v>6.3841850401217246E-2</v>
      </c>
      <c r="I106" s="270">
        <f t="shared" si="56"/>
        <v>6.3832408752142022E-2</v>
      </c>
      <c r="K106" s="271">
        <f t="shared" si="42"/>
        <v>9.0928435479231268E-3</v>
      </c>
      <c r="L106" s="271">
        <f t="shared" si="43"/>
        <v>1.0026586126875613E-2</v>
      </c>
      <c r="M106" s="271">
        <f t="shared" si="44"/>
        <v>9.9586946492387727E-3</v>
      </c>
    </row>
    <row r="107" spans="1:13" ht="19.5" thickBot="1" x14ac:dyDescent="0.35">
      <c r="A107" s="156" t="s">
        <v>68</v>
      </c>
      <c r="B107" s="173">
        <v>6774</v>
      </c>
      <c r="C107" s="171">
        <v>15003</v>
      </c>
      <c r="D107" s="170">
        <v>1682959</v>
      </c>
      <c r="E107" s="155">
        <f t="shared" si="53"/>
        <v>248.44390315913788</v>
      </c>
      <c r="G107" s="270">
        <f t="shared" si="54"/>
        <v>9.033324887650189E-2</v>
      </c>
      <c r="H107" s="270">
        <f t="shared" si="55"/>
        <v>8.6798303721745573E-2</v>
      </c>
      <c r="I107" s="270">
        <f t="shared" si="56"/>
        <v>8.6363869854534148E-2</v>
      </c>
      <c r="K107" s="271">
        <f t="shared" si="42"/>
        <v>1.334667869851165E-2</v>
      </c>
      <c r="L107" s="271">
        <f t="shared" si="43"/>
        <v>1.3631977495379683E-2</v>
      </c>
      <c r="M107" s="271">
        <f t="shared" si="44"/>
        <v>1.3473898689105031E-2</v>
      </c>
    </row>
    <row r="108" spans="1:13" ht="19.5" thickBot="1" x14ac:dyDescent="0.35">
      <c r="A108" s="250" t="s">
        <v>91</v>
      </c>
      <c r="B108" s="251">
        <f>SUM(B97:B107)</f>
        <v>74989</v>
      </c>
      <c r="C108" s="251">
        <f>SUM(C97:C107)</f>
        <v>172849</v>
      </c>
      <c r="D108" s="251">
        <f>SUM(D97:D107)</f>
        <v>19486841</v>
      </c>
      <c r="E108" s="252">
        <f>D108/B108</f>
        <v>259.86265985677898</v>
      </c>
      <c r="G108" s="270">
        <f t="shared" si="54"/>
        <v>1</v>
      </c>
      <c r="H108" s="270">
        <f t="shared" si="55"/>
        <v>1</v>
      </c>
      <c r="I108" s="270">
        <f t="shared" si="56"/>
        <v>1</v>
      </c>
      <c r="K108" s="271">
        <f t="shared" si="42"/>
        <v>0.14774934882236346</v>
      </c>
      <c r="L108" s="271">
        <f t="shared" si="43"/>
        <v>0.15705350117302425</v>
      </c>
      <c r="M108" s="271">
        <f t="shared" si="44"/>
        <v>0.15601314197475885</v>
      </c>
    </row>
    <row r="109" spans="1:13" ht="19.5" thickBot="1" x14ac:dyDescent="0.35">
      <c r="A109" s="147"/>
      <c r="B109" s="148"/>
      <c r="C109" s="148"/>
      <c r="D109" s="148"/>
      <c r="E109" s="149"/>
      <c r="K109" s="271"/>
      <c r="L109" s="271"/>
      <c r="M109" s="271"/>
    </row>
    <row r="110" spans="1:13" ht="19.5" thickBot="1" x14ac:dyDescent="0.35">
      <c r="A110" s="250" t="s">
        <v>9</v>
      </c>
      <c r="B110" s="253"/>
      <c r="C110" s="253"/>
      <c r="D110" s="253"/>
      <c r="E110" s="254"/>
      <c r="K110" s="271"/>
      <c r="L110" s="271"/>
      <c r="M110" s="271"/>
    </row>
    <row r="111" spans="1:13" x14ac:dyDescent="0.3">
      <c r="A111" s="151" t="s">
        <v>99</v>
      </c>
      <c r="B111" s="180">
        <v>1217</v>
      </c>
      <c r="C111" s="181">
        <v>2958</v>
      </c>
      <c r="D111" s="182">
        <v>336246</v>
      </c>
      <c r="E111" s="155">
        <f>D111/B111</f>
        <v>276.29087921117502</v>
      </c>
      <c r="G111" s="270">
        <f>B111/$B$115</f>
        <v>2.5162824356456115E-2</v>
      </c>
      <c r="H111" s="270">
        <f>C111/$C$115</f>
        <v>2.8753061938644582E-2</v>
      </c>
      <c r="I111" s="270">
        <f>D111/$D$115</f>
        <v>2.8523993650928843E-2</v>
      </c>
      <c r="K111" s="271">
        <f t="shared" si="42"/>
        <v>2.3978311154544845E-3</v>
      </c>
      <c r="L111" s="271">
        <f t="shared" si="43"/>
        <v>2.687688424403993E-3</v>
      </c>
      <c r="M111" s="271">
        <f t="shared" si="44"/>
        <v>2.6920112365285253E-3</v>
      </c>
    </row>
    <row r="112" spans="1:13" x14ac:dyDescent="0.3">
      <c r="A112" s="156" t="s">
        <v>100</v>
      </c>
      <c r="B112" s="170">
        <f>3620+1311+3991</f>
        <v>8922</v>
      </c>
      <c r="C112" s="171">
        <f>7743+2796+8095</f>
        <v>18634</v>
      </c>
      <c r="D112" s="170">
        <f>876889+316397+932080</f>
        <v>2125366</v>
      </c>
      <c r="E112" s="155">
        <f>D112/B112</f>
        <v>238.21631921093925</v>
      </c>
      <c r="G112" s="270">
        <f>B112/$B$117</f>
        <v>1.7578840765887355E-2</v>
      </c>
      <c r="H112" s="270">
        <f>C112/$C$115</f>
        <v>0.18113068159726273</v>
      </c>
      <c r="I112" s="270">
        <f>D112/$D$115</f>
        <v>0.1802963493689145</v>
      </c>
      <c r="K112" s="271">
        <f t="shared" si="42"/>
        <v>1.7578840765887355E-2</v>
      </c>
      <c r="L112" s="271">
        <f t="shared" si="43"/>
        <v>1.6931165010258282E-2</v>
      </c>
      <c r="M112" s="271">
        <f t="shared" si="44"/>
        <v>1.7015843024855867E-2</v>
      </c>
    </row>
    <row r="113" spans="1:13" x14ac:dyDescent="0.3">
      <c r="A113" s="156" t="s">
        <v>126</v>
      </c>
      <c r="B113" s="170">
        <f>5598+4889+4690+6567+6103</f>
        <v>27847</v>
      </c>
      <c r="C113" s="171">
        <f>10059+11159+10017+14710+14020</f>
        <v>59965</v>
      </c>
      <c r="D113" s="170">
        <f>1175363+1268397+1155926+1666700+1586460</f>
        <v>6852846</v>
      </c>
      <c r="E113" s="155">
        <f>D113/B113</f>
        <v>246.08920170934033</v>
      </c>
      <c r="G113" s="270">
        <f>B113/$B$117</f>
        <v>5.4866395293394439E-2</v>
      </c>
      <c r="H113" s="270">
        <f>C113/$C$115</f>
        <v>0.58288619308682299</v>
      </c>
      <c r="I113" s="270">
        <f>D113/$D$115</f>
        <v>0.58133192898887454</v>
      </c>
      <c r="K113" s="271">
        <f t="shared" si="42"/>
        <v>5.4866395293394439E-2</v>
      </c>
      <c r="L113" s="271">
        <f t="shared" si="43"/>
        <v>5.448520499303091E-2</v>
      </c>
      <c r="M113" s="271">
        <f t="shared" si="44"/>
        <v>5.4864410087256225E-2</v>
      </c>
    </row>
    <row r="114" spans="1:13" ht="19.5" thickBot="1" x14ac:dyDescent="0.35">
      <c r="A114" s="185" t="s">
        <v>102</v>
      </c>
      <c r="B114" s="173">
        <f>5908+4471</f>
        <v>10379</v>
      </c>
      <c r="C114" s="171">
        <f>13369+7950</f>
        <v>21319</v>
      </c>
      <c r="D114" s="170">
        <f>1549269+924454</f>
        <v>2473723</v>
      </c>
      <c r="E114" s="155">
        <f>D114/B114</f>
        <v>238.33924270160901</v>
      </c>
      <c r="G114" s="270">
        <f>B114/$B$117</f>
        <v>2.0449539151439683E-2</v>
      </c>
      <c r="H114" s="270">
        <f>C114/$C$115</f>
        <v>0.20723006337726974</v>
      </c>
      <c r="I114" s="270">
        <f>D114/$D$115</f>
        <v>0.20984772799128212</v>
      </c>
      <c r="K114" s="271">
        <f t="shared" si="42"/>
        <v>2.0449539151439683E-2</v>
      </c>
      <c r="L114" s="271">
        <f t="shared" si="43"/>
        <v>1.9370801054722355E-2</v>
      </c>
      <c r="M114" s="271">
        <f t="shared" si="44"/>
        <v>1.9804815855234123E-2</v>
      </c>
    </row>
    <row r="115" spans="1:13" ht="19.5" thickBot="1" x14ac:dyDescent="0.35">
      <c r="A115" s="250" t="s">
        <v>91</v>
      </c>
      <c r="B115" s="251">
        <f>SUM(B111:B114)</f>
        <v>48365</v>
      </c>
      <c r="C115" s="251">
        <f>SUM(C111:C114)</f>
        <v>102876</v>
      </c>
      <c r="D115" s="253">
        <f>SUM(D111:D114)</f>
        <v>11788181</v>
      </c>
      <c r="E115" s="258">
        <f>D115/B115</f>
        <v>243.73371239532719</v>
      </c>
      <c r="G115" s="270">
        <f>B115/$B$115</f>
        <v>1</v>
      </c>
      <c r="H115" s="270">
        <f>C115/$C$115</f>
        <v>1</v>
      </c>
      <c r="I115" s="270">
        <f>D115/$D$115</f>
        <v>1</v>
      </c>
      <c r="K115" s="271">
        <f t="shared" si="42"/>
        <v>9.5292606326175963E-2</v>
      </c>
      <c r="L115" s="271">
        <f t="shared" si="43"/>
        <v>9.3474859482415545E-2</v>
      </c>
      <c r="M115" s="271">
        <f t="shared" si="44"/>
        <v>9.4377080203874739E-2</v>
      </c>
    </row>
    <row r="116" spans="1:13" ht="19.5" thickBot="1" x14ac:dyDescent="0.35">
      <c r="A116" s="255"/>
      <c r="B116" s="256"/>
      <c r="C116" s="256"/>
      <c r="D116" s="256"/>
      <c r="E116" s="257"/>
      <c r="K116" s="271"/>
      <c r="L116" s="271"/>
      <c r="M116" s="271"/>
    </row>
    <row r="117" spans="1:13" ht="19.5" thickBot="1" x14ac:dyDescent="0.35">
      <c r="A117" s="248" t="s">
        <v>74</v>
      </c>
      <c r="B117" s="253">
        <f>(B15+B29+B41+B51+B60+B69+B82+B94+B108+B115)</f>
        <v>507542</v>
      </c>
      <c r="C117" s="253">
        <f>C15+C29+C41+C51+C60+C69+C82+C94+C108+C115</f>
        <v>1100574</v>
      </c>
      <c r="D117" s="253">
        <f>D15+D29+D41+D51+D60+D69+D82+D94+D108+D115</f>
        <v>124905125</v>
      </c>
      <c r="E117" s="258">
        <f>D117/B117</f>
        <v>246.09810616658325</v>
      </c>
      <c r="K117" s="271">
        <f t="shared" si="42"/>
        <v>1</v>
      </c>
      <c r="L117" s="271">
        <f t="shared" si="43"/>
        <v>1</v>
      </c>
      <c r="M117" s="271">
        <f t="shared" si="44"/>
        <v>1</v>
      </c>
    </row>
    <row r="118" spans="1:13" x14ac:dyDescent="0.3">
      <c r="B118" s="274"/>
      <c r="C118" s="274"/>
      <c r="D118" s="274"/>
    </row>
    <row r="119" spans="1:13" x14ac:dyDescent="0.3">
      <c r="C119" s="273"/>
    </row>
    <row r="120" spans="1:13" x14ac:dyDescent="0.3">
      <c r="A120" s="150" t="s">
        <v>131</v>
      </c>
    </row>
  </sheetData>
  <mergeCells count="5">
    <mergeCell ref="A5:E5"/>
    <mergeCell ref="A1:E1"/>
    <mergeCell ref="A2:E2"/>
    <mergeCell ref="A3:E3"/>
    <mergeCell ref="A4:E4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7"/>
  <sheetViews>
    <sheetView topLeftCell="A98" zoomScale="80" zoomScaleNormal="80" workbookViewId="0">
      <selection activeCell="P113" sqref="P112:P113"/>
    </sheetView>
  </sheetViews>
  <sheetFormatPr defaultRowHeight="18.75" x14ac:dyDescent="0.3"/>
  <cols>
    <col min="1" max="1" width="24.85546875" style="150" customWidth="1"/>
    <col min="2" max="5" width="15.7109375" style="64" customWidth="1"/>
    <col min="6" max="6" width="10.5703125" style="18" bestFit="1" customWidth="1"/>
    <col min="7" max="14" width="9.140625" style="18"/>
    <col min="15" max="16384" width="9.140625" style="1"/>
  </cols>
  <sheetData>
    <row r="1" spans="1:5" x14ac:dyDescent="0.3">
      <c r="A1" s="354" t="s">
        <v>10</v>
      </c>
      <c r="B1" s="354"/>
      <c r="C1" s="354"/>
      <c r="D1" s="354"/>
      <c r="E1" s="354"/>
    </row>
    <row r="2" spans="1:5" x14ac:dyDescent="0.3">
      <c r="A2" s="354" t="s">
        <v>71</v>
      </c>
      <c r="B2" s="354"/>
      <c r="C2" s="354"/>
      <c r="D2" s="354"/>
      <c r="E2" s="354"/>
    </row>
    <row r="3" spans="1:5" x14ac:dyDescent="0.3">
      <c r="A3" s="357" t="s">
        <v>112</v>
      </c>
      <c r="B3" s="357"/>
      <c r="C3" s="357"/>
      <c r="D3" s="357"/>
      <c r="E3" s="357"/>
    </row>
    <row r="4" spans="1:5" x14ac:dyDescent="0.3">
      <c r="A4" s="354" t="s">
        <v>137</v>
      </c>
      <c r="B4" s="354"/>
      <c r="C4" s="354"/>
      <c r="D4" s="354"/>
      <c r="E4" s="354"/>
    </row>
    <row r="5" spans="1:5" ht="19.5" thickBot="1" x14ac:dyDescent="0.35">
      <c r="A5" s="354"/>
      <c r="B5" s="358"/>
      <c r="C5" s="358"/>
      <c r="D5" s="358"/>
      <c r="E5" s="358"/>
    </row>
    <row r="6" spans="1:5" ht="57" thickBot="1" x14ac:dyDescent="0.35">
      <c r="A6" s="188"/>
      <c r="B6" s="189" t="s">
        <v>75</v>
      </c>
      <c r="C6" s="190" t="s">
        <v>76</v>
      </c>
      <c r="D6" s="190" t="s">
        <v>77</v>
      </c>
      <c r="E6" s="190" t="s">
        <v>78</v>
      </c>
    </row>
    <row r="7" spans="1:5" ht="21.75" customHeight="1" thickBot="1" x14ac:dyDescent="0.35">
      <c r="A7" s="176" t="s">
        <v>0</v>
      </c>
      <c r="B7" s="203"/>
      <c r="C7" s="203"/>
      <c r="D7" s="203"/>
      <c r="E7" s="138"/>
    </row>
    <row r="8" spans="1:5" x14ac:dyDescent="0.3">
      <c r="A8" s="151" t="s">
        <v>11</v>
      </c>
      <c r="B8" s="152">
        <v>5803</v>
      </c>
      <c r="C8" s="153">
        <v>13372</v>
      </c>
      <c r="D8" s="154">
        <v>1494136</v>
      </c>
      <c r="E8" s="155">
        <f>D8/B8</f>
        <v>257.4764776839566</v>
      </c>
    </row>
    <row r="9" spans="1:5" x14ac:dyDescent="0.3">
      <c r="A9" s="156" t="s">
        <v>120</v>
      </c>
      <c r="B9" s="157">
        <v>9769</v>
      </c>
      <c r="C9" s="158">
        <v>20350</v>
      </c>
      <c r="D9" s="157">
        <v>2337318</v>
      </c>
      <c r="E9" s="155">
        <f t="shared" ref="E9:E14" si="0">D9/B9</f>
        <v>239.25867540178115</v>
      </c>
    </row>
    <row r="10" spans="1:5" x14ac:dyDescent="0.3">
      <c r="A10" s="156" t="s">
        <v>12</v>
      </c>
      <c r="B10" s="157">
        <v>6702</v>
      </c>
      <c r="C10" s="158">
        <v>14159</v>
      </c>
      <c r="D10" s="157">
        <v>1601364</v>
      </c>
      <c r="E10" s="155">
        <f t="shared" si="0"/>
        <v>238.93822739480751</v>
      </c>
    </row>
    <row r="11" spans="1:5" x14ac:dyDescent="0.3">
      <c r="A11" s="156" t="s">
        <v>13</v>
      </c>
      <c r="B11" s="157">
        <v>1722</v>
      </c>
      <c r="C11" s="158">
        <v>3818</v>
      </c>
      <c r="D11" s="157">
        <v>435332</v>
      </c>
      <c r="E11" s="155">
        <f t="shared" si="0"/>
        <v>252.80603948896632</v>
      </c>
    </row>
    <row r="12" spans="1:5" x14ac:dyDescent="0.3">
      <c r="A12" s="156" t="s">
        <v>14</v>
      </c>
      <c r="B12" s="157">
        <v>7032</v>
      </c>
      <c r="C12" s="158">
        <v>16081</v>
      </c>
      <c r="D12" s="157">
        <v>1823529</v>
      </c>
      <c r="E12" s="155">
        <f t="shared" si="0"/>
        <v>259.31868600682594</v>
      </c>
    </row>
    <row r="13" spans="1:5" x14ac:dyDescent="0.3">
      <c r="A13" s="156" t="s">
        <v>15</v>
      </c>
      <c r="B13" s="157">
        <v>2456</v>
      </c>
      <c r="C13" s="158">
        <v>5029</v>
      </c>
      <c r="D13" s="157">
        <v>576475</v>
      </c>
      <c r="E13" s="155">
        <f t="shared" si="0"/>
        <v>234.72109120521174</v>
      </c>
    </row>
    <row r="14" spans="1:5" ht="19.5" thickBot="1" x14ac:dyDescent="0.35">
      <c r="A14" s="160" t="s">
        <v>72</v>
      </c>
      <c r="B14" s="161">
        <v>8642</v>
      </c>
      <c r="C14" s="162">
        <v>17894</v>
      </c>
      <c r="D14" s="163">
        <v>2051881</v>
      </c>
      <c r="E14" s="155">
        <f t="shared" si="0"/>
        <v>237.43126591066883</v>
      </c>
    </row>
    <row r="15" spans="1:5" ht="19.5" thickBot="1" x14ac:dyDescent="0.35">
      <c r="A15" s="135" t="s">
        <v>85</v>
      </c>
      <c r="B15" s="192">
        <f>SUM(B8:B14)</f>
        <v>42126</v>
      </c>
      <c r="C15" s="192">
        <f>SUM(C8:C14)</f>
        <v>90703</v>
      </c>
      <c r="D15" s="192">
        <f>SUM(D8:D14)</f>
        <v>10320035</v>
      </c>
      <c r="E15" s="179">
        <f>D15/B15</f>
        <v>244.9801785120828</v>
      </c>
    </row>
    <row r="16" spans="1:5" ht="19.5" thickBot="1" x14ac:dyDescent="0.35">
      <c r="A16" s="144"/>
      <c r="B16" s="145"/>
      <c r="C16" s="145"/>
      <c r="D16" s="145"/>
      <c r="E16" s="145"/>
    </row>
    <row r="17" spans="1:14" x14ac:dyDescent="0.3">
      <c r="A17" s="188" t="s">
        <v>1</v>
      </c>
      <c r="B17" s="204"/>
      <c r="C17" s="204"/>
      <c r="D17" s="204"/>
      <c r="E17" s="208"/>
    </row>
    <row r="18" spans="1:14" s="2" customFormat="1" x14ac:dyDescent="0.3">
      <c r="A18" s="205" t="s">
        <v>127</v>
      </c>
      <c r="B18" s="157">
        <v>17136</v>
      </c>
      <c r="C18" s="158">
        <v>34545</v>
      </c>
      <c r="D18" s="157">
        <v>3998811</v>
      </c>
      <c r="E18" s="155">
        <f>D18/B18</f>
        <v>233.35731792717087</v>
      </c>
      <c r="F18" s="42"/>
      <c r="G18" s="42"/>
      <c r="H18" s="42"/>
      <c r="I18" s="42"/>
      <c r="J18" s="42"/>
      <c r="K18" s="42"/>
      <c r="L18" s="42"/>
      <c r="M18" s="42"/>
      <c r="N18" s="42"/>
    </row>
    <row r="19" spans="1:14" x14ac:dyDescent="0.3">
      <c r="A19" s="151" t="s">
        <v>16</v>
      </c>
      <c r="B19" s="182">
        <v>4808</v>
      </c>
      <c r="C19" s="181">
        <v>10065</v>
      </c>
      <c r="D19" s="182">
        <v>1153575</v>
      </c>
      <c r="E19" s="155">
        <f t="shared" ref="E19:E28" si="1">D19/B19</f>
        <v>239.92824459234609</v>
      </c>
    </row>
    <row r="20" spans="1:14" x14ac:dyDescent="0.3">
      <c r="A20" s="156" t="s">
        <v>17</v>
      </c>
      <c r="B20" s="170">
        <v>6073</v>
      </c>
      <c r="C20" s="171">
        <v>12940</v>
      </c>
      <c r="D20" s="170">
        <v>1459614</v>
      </c>
      <c r="E20" s="155">
        <f t="shared" si="1"/>
        <v>240.3448048740326</v>
      </c>
    </row>
    <row r="21" spans="1:14" x14ac:dyDescent="0.3">
      <c r="A21" s="156" t="s">
        <v>18</v>
      </c>
      <c r="B21" s="170">
        <v>3902</v>
      </c>
      <c r="C21" s="171">
        <v>8763</v>
      </c>
      <c r="D21" s="170">
        <v>989139</v>
      </c>
      <c r="E21" s="155">
        <f t="shared" si="1"/>
        <v>253.49538698103535</v>
      </c>
    </row>
    <row r="22" spans="1:14" x14ac:dyDescent="0.3">
      <c r="A22" s="156" t="s">
        <v>19</v>
      </c>
      <c r="B22" s="170">
        <v>2551</v>
      </c>
      <c r="C22" s="171">
        <v>5644</v>
      </c>
      <c r="D22" s="170">
        <v>638152</v>
      </c>
      <c r="E22" s="155">
        <f t="shared" si="1"/>
        <v>250.15758526068208</v>
      </c>
    </row>
    <row r="23" spans="1:14" x14ac:dyDescent="0.3">
      <c r="A23" s="156" t="s">
        <v>20</v>
      </c>
      <c r="B23" s="170">
        <v>6867</v>
      </c>
      <c r="C23" s="171">
        <v>14749</v>
      </c>
      <c r="D23" s="170">
        <v>1676417</v>
      </c>
      <c r="E23" s="155">
        <f t="shared" si="1"/>
        <v>244.12654725498763</v>
      </c>
    </row>
    <row r="24" spans="1:14" x14ac:dyDescent="0.3">
      <c r="A24" s="156" t="s">
        <v>21</v>
      </c>
      <c r="B24" s="170">
        <v>6220</v>
      </c>
      <c r="C24" s="171">
        <v>14093</v>
      </c>
      <c r="D24" s="170">
        <v>1606991</v>
      </c>
      <c r="E24" s="155">
        <f t="shared" si="1"/>
        <v>258.35868167202574</v>
      </c>
    </row>
    <row r="25" spans="1:14" x14ac:dyDescent="0.3">
      <c r="A25" s="156" t="s">
        <v>69</v>
      </c>
      <c r="B25" s="170">
        <v>8029</v>
      </c>
      <c r="C25" s="171">
        <v>16661</v>
      </c>
      <c r="D25" s="170">
        <v>1908446</v>
      </c>
      <c r="E25" s="155">
        <f t="shared" si="1"/>
        <v>237.69410885539918</v>
      </c>
    </row>
    <row r="26" spans="1:14" x14ac:dyDescent="0.3">
      <c r="A26" s="156" t="s">
        <v>22</v>
      </c>
      <c r="B26" s="170">
        <v>5152</v>
      </c>
      <c r="C26" s="171">
        <v>12464</v>
      </c>
      <c r="D26" s="170">
        <v>1394786</v>
      </c>
      <c r="E26" s="155">
        <f t="shared" si="1"/>
        <v>270.72709627329192</v>
      </c>
    </row>
    <row r="27" spans="1:14" x14ac:dyDescent="0.3">
      <c r="A27" s="156" t="s">
        <v>23</v>
      </c>
      <c r="B27" s="170">
        <v>4425</v>
      </c>
      <c r="C27" s="171">
        <v>9829</v>
      </c>
      <c r="D27" s="170">
        <v>1101637</v>
      </c>
      <c r="E27" s="155">
        <f t="shared" si="1"/>
        <v>248.95751412429379</v>
      </c>
    </row>
    <row r="28" spans="1:14" ht="19.5" thickBot="1" x14ac:dyDescent="0.35">
      <c r="A28" s="172" t="s">
        <v>87</v>
      </c>
      <c r="B28" s="173">
        <v>6379</v>
      </c>
      <c r="C28" s="174">
        <v>14508</v>
      </c>
      <c r="D28" s="175">
        <v>1651839</v>
      </c>
      <c r="E28" s="155">
        <f t="shared" si="1"/>
        <v>258.94952186863145</v>
      </c>
    </row>
    <row r="29" spans="1:14" ht="19.5" thickBot="1" x14ac:dyDescent="0.35">
      <c r="A29" s="135" t="s">
        <v>88</v>
      </c>
      <c r="B29" s="141">
        <f>SUM(B18:B28)</f>
        <v>71542</v>
      </c>
      <c r="C29" s="141">
        <f>SUM(C18:C28)</f>
        <v>154261</v>
      </c>
      <c r="D29" s="141">
        <f>SUM(D18:D28)</f>
        <v>17579407</v>
      </c>
      <c r="E29" s="179">
        <f>D29/B29</f>
        <v>245.72149227027481</v>
      </c>
    </row>
    <row r="30" spans="1:14" ht="19.5" thickBot="1" x14ac:dyDescent="0.35">
      <c r="A30" s="144"/>
      <c r="B30" s="146"/>
      <c r="C30" s="146"/>
      <c r="D30" s="146"/>
      <c r="E30" s="145"/>
    </row>
    <row r="31" spans="1:14" ht="19.5" thickBot="1" x14ac:dyDescent="0.35">
      <c r="A31" s="176" t="s">
        <v>2</v>
      </c>
      <c r="B31" s="177"/>
      <c r="C31" s="177"/>
      <c r="D31" s="177"/>
      <c r="E31" s="178"/>
    </row>
    <row r="32" spans="1:14" x14ac:dyDescent="0.3">
      <c r="A32" s="151" t="s">
        <v>24</v>
      </c>
      <c r="B32" s="180">
        <v>20247</v>
      </c>
      <c r="C32" s="181">
        <v>42991</v>
      </c>
      <c r="D32" s="182">
        <v>4887628</v>
      </c>
      <c r="E32" s="155">
        <f>D32/B32</f>
        <v>241.40010865807281</v>
      </c>
    </row>
    <row r="33" spans="1:5" x14ac:dyDescent="0.3">
      <c r="A33" s="156" t="s">
        <v>25</v>
      </c>
      <c r="B33" s="170">
        <v>3802</v>
      </c>
      <c r="C33" s="171">
        <v>8533</v>
      </c>
      <c r="D33" s="170">
        <v>973772</v>
      </c>
      <c r="E33" s="155">
        <f t="shared" ref="E33:E40" si="2">D33/B33</f>
        <v>256.12098895318252</v>
      </c>
    </row>
    <row r="34" spans="1:5" x14ac:dyDescent="0.3">
      <c r="A34" s="156" t="s">
        <v>26</v>
      </c>
      <c r="B34" s="170">
        <v>6286</v>
      </c>
      <c r="C34" s="171">
        <v>14302</v>
      </c>
      <c r="D34" s="170">
        <v>1605597</v>
      </c>
      <c r="E34" s="155">
        <f t="shared" si="2"/>
        <v>255.42427616926503</v>
      </c>
    </row>
    <row r="35" spans="1:5" x14ac:dyDescent="0.3">
      <c r="A35" s="156" t="s">
        <v>27</v>
      </c>
      <c r="B35" s="170">
        <v>3896</v>
      </c>
      <c r="C35" s="171">
        <v>8449</v>
      </c>
      <c r="D35" s="170">
        <v>949044</v>
      </c>
      <c r="E35" s="155">
        <f t="shared" si="2"/>
        <v>243.59445585215605</v>
      </c>
    </row>
    <row r="36" spans="1:5" x14ac:dyDescent="0.3">
      <c r="A36" s="156" t="s">
        <v>28</v>
      </c>
      <c r="B36" s="170">
        <v>4687</v>
      </c>
      <c r="C36" s="171">
        <v>10346</v>
      </c>
      <c r="D36" s="170">
        <v>1151621</v>
      </c>
      <c r="E36" s="155">
        <f t="shared" si="2"/>
        <v>245.70535523789204</v>
      </c>
    </row>
    <row r="37" spans="1:5" x14ac:dyDescent="0.3">
      <c r="A37" s="156" t="s">
        <v>29</v>
      </c>
      <c r="B37" s="170">
        <v>7474</v>
      </c>
      <c r="C37" s="171">
        <v>17123</v>
      </c>
      <c r="D37" s="170">
        <v>1923963</v>
      </c>
      <c r="E37" s="155">
        <f t="shared" si="2"/>
        <v>257.4207920792079</v>
      </c>
    </row>
    <row r="38" spans="1:5" x14ac:dyDescent="0.3">
      <c r="A38" s="156" t="s">
        <v>89</v>
      </c>
      <c r="B38" s="170">
        <v>9015</v>
      </c>
      <c r="C38" s="171">
        <v>19746</v>
      </c>
      <c r="D38" s="170">
        <v>2224984</v>
      </c>
      <c r="E38" s="155">
        <f t="shared" si="2"/>
        <v>246.80909595119246</v>
      </c>
    </row>
    <row r="39" spans="1:5" x14ac:dyDescent="0.3">
      <c r="A39" s="156" t="s">
        <v>30</v>
      </c>
      <c r="B39" s="170">
        <v>5476</v>
      </c>
      <c r="C39" s="171">
        <v>12295</v>
      </c>
      <c r="D39" s="170">
        <v>1388589</v>
      </c>
      <c r="E39" s="155">
        <f t="shared" si="2"/>
        <v>253.57724616508401</v>
      </c>
    </row>
    <row r="40" spans="1:5" ht="19.5" thickBot="1" x14ac:dyDescent="0.35">
      <c r="A40" s="172" t="s">
        <v>90</v>
      </c>
      <c r="B40" s="173">
        <v>9598</v>
      </c>
      <c r="C40" s="174">
        <v>20443</v>
      </c>
      <c r="D40" s="175">
        <v>2335833</v>
      </c>
      <c r="E40" s="155">
        <f t="shared" si="2"/>
        <v>243.36663888310065</v>
      </c>
    </row>
    <row r="41" spans="1:5" ht="19.5" thickBot="1" x14ac:dyDescent="0.35">
      <c r="A41" s="135" t="s">
        <v>91</v>
      </c>
      <c r="B41" s="141">
        <f>SUM(B32:B40)</f>
        <v>70481</v>
      </c>
      <c r="C41" s="141">
        <f>SUM(C32:C40)</f>
        <v>154228</v>
      </c>
      <c r="D41" s="141">
        <f>SUM(D32:D40)</f>
        <v>17441031</v>
      </c>
      <c r="E41" s="179">
        <f>D41/B41</f>
        <v>247.45720123153757</v>
      </c>
    </row>
    <row r="42" spans="1:5" ht="19.5" thickBot="1" x14ac:dyDescent="0.35">
      <c r="A42" s="147"/>
      <c r="B42" s="148"/>
      <c r="C42" s="148"/>
      <c r="D42" s="148"/>
      <c r="E42" s="149"/>
    </row>
    <row r="43" spans="1:5" ht="19.5" thickBot="1" x14ac:dyDescent="0.35">
      <c r="A43" s="176" t="s">
        <v>3</v>
      </c>
      <c r="B43" s="177"/>
      <c r="C43" s="177"/>
      <c r="D43" s="177"/>
      <c r="E43" s="178"/>
    </row>
    <row r="44" spans="1:5" x14ac:dyDescent="0.3">
      <c r="A44" s="151" t="s">
        <v>31</v>
      </c>
      <c r="B44" s="180">
        <v>3590</v>
      </c>
      <c r="C44" s="181">
        <v>7602</v>
      </c>
      <c r="D44" s="182">
        <v>883115</v>
      </c>
      <c r="E44" s="155">
        <f>D44/B44</f>
        <v>245.99303621169918</v>
      </c>
    </row>
    <row r="45" spans="1:5" x14ac:dyDescent="0.3">
      <c r="A45" s="156" t="s">
        <v>32</v>
      </c>
      <c r="B45" s="170">
        <v>6658</v>
      </c>
      <c r="C45" s="171">
        <v>15700</v>
      </c>
      <c r="D45" s="170">
        <v>1766647</v>
      </c>
      <c r="E45" s="155">
        <f t="shared" ref="E45:E50" si="3">D45/B45</f>
        <v>265.34199459297088</v>
      </c>
    </row>
    <row r="46" spans="1:5" x14ac:dyDescent="0.3">
      <c r="A46" s="156" t="s">
        <v>92</v>
      </c>
      <c r="B46" s="170">
        <v>16370</v>
      </c>
      <c r="C46" s="171">
        <v>33782</v>
      </c>
      <c r="D46" s="170">
        <v>3818952</v>
      </c>
      <c r="E46" s="155">
        <f t="shared" si="3"/>
        <v>233.28967623701894</v>
      </c>
    </row>
    <row r="47" spans="1:5" x14ac:dyDescent="0.3">
      <c r="A47" s="156" t="s">
        <v>33</v>
      </c>
      <c r="B47" s="170">
        <v>5262</v>
      </c>
      <c r="C47" s="171">
        <v>11616</v>
      </c>
      <c r="D47" s="170">
        <v>1306320</v>
      </c>
      <c r="E47" s="155">
        <f t="shared" si="3"/>
        <v>248.25541619156215</v>
      </c>
    </row>
    <row r="48" spans="1:5" x14ac:dyDescent="0.3">
      <c r="A48" s="156" t="s">
        <v>34</v>
      </c>
      <c r="B48" s="170">
        <v>4296</v>
      </c>
      <c r="C48" s="171">
        <v>9093</v>
      </c>
      <c r="D48" s="170">
        <v>1040508</v>
      </c>
      <c r="E48" s="155">
        <f t="shared" si="3"/>
        <v>242.20391061452514</v>
      </c>
    </row>
    <row r="49" spans="1:5" x14ac:dyDescent="0.3">
      <c r="A49" s="156" t="s">
        <v>35</v>
      </c>
      <c r="B49" s="170">
        <v>3976</v>
      </c>
      <c r="C49" s="171">
        <v>8102</v>
      </c>
      <c r="D49" s="170">
        <v>920364</v>
      </c>
      <c r="E49" s="155">
        <f t="shared" si="3"/>
        <v>231.47987927565393</v>
      </c>
    </row>
    <row r="50" spans="1:5" ht="19.5" thickBot="1" x14ac:dyDescent="0.35">
      <c r="A50" s="156" t="s">
        <v>36</v>
      </c>
      <c r="B50" s="173">
        <v>6048</v>
      </c>
      <c r="C50" s="171">
        <v>12632</v>
      </c>
      <c r="D50" s="170">
        <v>1431958</v>
      </c>
      <c r="E50" s="155">
        <f t="shared" si="3"/>
        <v>236.76554232804233</v>
      </c>
    </row>
    <row r="51" spans="1:5" ht="19.5" thickBot="1" x14ac:dyDescent="0.35">
      <c r="A51" s="135" t="s">
        <v>91</v>
      </c>
      <c r="B51" s="141">
        <f>SUM(B44:B50)</f>
        <v>46200</v>
      </c>
      <c r="C51" s="141">
        <f>SUM(C44:C50)</f>
        <v>98527</v>
      </c>
      <c r="D51" s="141">
        <f>SUM(D44:D50)</f>
        <v>11167864</v>
      </c>
      <c r="E51" s="179">
        <f>D51/B51</f>
        <v>241.72865800865802</v>
      </c>
    </row>
    <row r="52" spans="1:5" ht="19.5" thickBot="1" x14ac:dyDescent="0.35">
      <c r="A52" s="147"/>
      <c r="B52" s="148"/>
      <c r="C52" s="148"/>
      <c r="D52" s="148"/>
      <c r="E52" s="149"/>
    </row>
    <row r="53" spans="1:5" ht="19.5" thickBot="1" x14ac:dyDescent="0.35">
      <c r="A53" s="176" t="s">
        <v>4</v>
      </c>
      <c r="B53" s="177"/>
      <c r="C53" s="177"/>
      <c r="D53" s="177"/>
      <c r="E53" s="178"/>
    </row>
    <row r="54" spans="1:5" x14ac:dyDescent="0.3">
      <c r="A54" s="151" t="s">
        <v>37</v>
      </c>
      <c r="B54" s="180">
        <v>6408</v>
      </c>
      <c r="C54" s="181">
        <v>14167</v>
      </c>
      <c r="D54" s="182">
        <v>1589254</v>
      </c>
      <c r="E54" s="155">
        <f t="shared" ref="E54:E60" si="4">D54/B54</f>
        <v>248.0109238451935</v>
      </c>
    </row>
    <row r="55" spans="1:5" x14ac:dyDescent="0.3">
      <c r="A55" s="156" t="s">
        <v>93</v>
      </c>
      <c r="B55" s="170">
        <v>14415</v>
      </c>
      <c r="C55" s="171">
        <v>30608</v>
      </c>
      <c r="D55" s="170">
        <v>3460919</v>
      </c>
      <c r="E55" s="155">
        <f t="shared" si="4"/>
        <v>240.09150190773499</v>
      </c>
    </row>
    <row r="56" spans="1:5" x14ac:dyDescent="0.3">
      <c r="A56" s="156" t="s">
        <v>94</v>
      </c>
      <c r="B56" s="170">
        <v>4236</v>
      </c>
      <c r="C56" s="171">
        <v>9971</v>
      </c>
      <c r="D56" s="170">
        <v>1129436</v>
      </c>
      <c r="E56" s="155">
        <f t="shared" si="4"/>
        <v>266.62795089707271</v>
      </c>
    </row>
    <row r="57" spans="1:5" x14ac:dyDescent="0.3">
      <c r="A57" s="156" t="s">
        <v>38</v>
      </c>
      <c r="B57" s="170">
        <v>2991</v>
      </c>
      <c r="C57" s="171">
        <v>6423</v>
      </c>
      <c r="D57" s="170">
        <v>726226</v>
      </c>
      <c r="E57" s="155">
        <f t="shared" si="4"/>
        <v>242.80374456703444</v>
      </c>
    </row>
    <row r="58" spans="1:5" x14ac:dyDescent="0.3">
      <c r="A58" s="156" t="s">
        <v>95</v>
      </c>
      <c r="B58" s="170">
        <v>7352</v>
      </c>
      <c r="C58" s="171">
        <v>15913</v>
      </c>
      <c r="D58" s="170">
        <v>1793860</v>
      </c>
      <c r="E58" s="155">
        <f t="shared" si="4"/>
        <v>243.9961915125136</v>
      </c>
    </row>
    <row r="59" spans="1:5" ht="19.5" thickBot="1" x14ac:dyDescent="0.35">
      <c r="A59" s="156" t="s">
        <v>96</v>
      </c>
      <c r="B59" s="173">
        <v>6438</v>
      </c>
      <c r="C59" s="171">
        <v>13532</v>
      </c>
      <c r="D59" s="170">
        <v>1539605</v>
      </c>
      <c r="E59" s="155">
        <f t="shared" si="4"/>
        <v>239.14336750543646</v>
      </c>
    </row>
    <row r="60" spans="1:5" ht="19.5" thickBot="1" x14ac:dyDescent="0.35">
      <c r="A60" s="135" t="s">
        <v>91</v>
      </c>
      <c r="B60" s="141">
        <f>SUM(B54:B59)</f>
        <v>41840</v>
      </c>
      <c r="C60" s="141">
        <f>SUM(C54:C59)</f>
        <v>90614</v>
      </c>
      <c r="D60" s="141">
        <f>SUM(D54:D59)</f>
        <v>10239300</v>
      </c>
      <c r="E60" s="179">
        <f t="shared" si="4"/>
        <v>244.72514340344168</v>
      </c>
    </row>
    <row r="61" spans="1:5" ht="19.5" thickBot="1" x14ac:dyDescent="0.35">
      <c r="A61" s="147"/>
      <c r="B61" s="148"/>
      <c r="C61" s="148"/>
      <c r="D61" s="148"/>
      <c r="E61" s="149"/>
    </row>
    <row r="62" spans="1:5" ht="19.5" thickBot="1" x14ac:dyDescent="0.35">
      <c r="A62" s="176" t="s">
        <v>5</v>
      </c>
      <c r="B62" s="177"/>
      <c r="C62" s="177"/>
      <c r="D62" s="177"/>
      <c r="E62" s="178"/>
    </row>
    <row r="63" spans="1:5" x14ac:dyDescent="0.3">
      <c r="A63" s="151" t="s">
        <v>39</v>
      </c>
      <c r="B63" s="180">
        <v>3308</v>
      </c>
      <c r="C63" s="181">
        <v>7216</v>
      </c>
      <c r="D63" s="182">
        <v>814707</v>
      </c>
      <c r="E63" s="155">
        <f t="shared" ref="E63:E69" si="5">D63/B63</f>
        <v>246.28385731559854</v>
      </c>
    </row>
    <row r="64" spans="1:5" x14ac:dyDescent="0.3">
      <c r="A64" s="156" t="s">
        <v>40</v>
      </c>
      <c r="B64" s="170">
        <v>5333</v>
      </c>
      <c r="C64" s="171">
        <v>10504</v>
      </c>
      <c r="D64" s="170">
        <v>1183756</v>
      </c>
      <c r="E64" s="155">
        <f t="shared" si="5"/>
        <v>221.96812300768798</v>
      </c>
    </row>
    <row r="65" spans="1:5" x14ac:dyDescent="0.3">
      <c r="A65" s="156" t="s">
        <v>5</v>
      </c>
      <c r="B65" s="170">
        <v>6465</v>
      </c>
      <c r="C65" s="171">
        <v>13832</v>
      </c>
      <c r="D65" s="170">
        <v>1568022</v>
      </c>
      <c r="E65" s="155">
        <f t="shared" si="5"/>
        <v>242.5401392111369</v>
      </c>
    </row>
    <row r="66" spans="1:5" x14ac:dyDescent="0.3">
      <c r="A66" s="156" t="s">
        <v>41</v>
      </c>
      <c r="B66" s="170">
        <v>3361</v>
      </c>
      <c r="C66" s="171">
        <v>7064</v>
      </c>
      <c r="D66" s="170">
        <v>802840</v>
      </c>
      <c r="E66" s="155">
        <f t="shared" si="5"/>
        <v>238.86938411187145</v>
      </c>
    </row>
    <row r="67" spans="1:5" x14ac:dyDescent="0.3">
      <c r="A67" s="156" t="s">
        <v>42</v>
      </c>
      <c r="B67" s="170">
        <v>4939</v>
      </c>
      <c r="C67" s="171">
        <v>10494</v>
      </c>
      <c r="D67" s="170">
        <v>1192600</v>
      </c>
      <c r="E67" s="155">
        <f t="shared" si="5"/>
        <v>241.46588378214213</v>
      </c>
    </row>
    <row r="68" spans="1:5" ht="19.5" thickBot="1" x14ac:dyDescent="0.35">
      <c r="A68" s="160" t="s">
        <v>43</v>
      </c>
      <c r="B68" s="173">
        <v>3291</v>
      </c>
      <c r="C68" s="184">
        <v>7447</v>
      </c>
      <c r="D68" s="173">
        <v>832283</v>
      </c>
      <c r="E68" s="155">
        <f t="shared" si="5"/>
        <v>252.89668793679732</v>
      </c>
    </row>
    <row r="69" spans="1:5" ht="19.5" thickBot="1" x14ac:dyDescent="0.35">
      <c r="A69" s="135" t="s">
        <v>91</v>
      </c>
      <c r="B69" s="141">
        <f>SUM(B63:B68)</f>
        <v>26697</v>
      </c>
      <c r="C69" s="141">
        <f>SUM(C63:C68)</f>
        <v>56557</v>
      </c>
      <c r="D69" s="141">
        <f>SUM(D63:D68)</f>
        <v>6394208</v>
      </c>
      <c r="E69" s="179">
        <f t="shared" si="5"/>
        <v>239.51035696894783</v>
      </c>
    </row>
    <row r="70" spans="1:5" ht="19.5" thickBot="1" x14ac:dyDescent="0.35">
      <c r="A70" s="147"/>
      <c r="B70" s="148"/>
      <c r="C70" s="148"/>
      <c r="D70" s="148"/>
      <c r="E70" s="149"/>
    </row>
    <row r="71" spans="1:5" ht="19.5" thickBot="1" x14ac:dyDescent="0.35">
      <c r="A71" s="176" t="s">
        <v>6</v>
      </c>
      <c r="B71" s="177"/>
      <c r="C71" s="177"/>
      <c r="D71" s="177"/>
      <c r="E71" s="178"/>
    </row>
    <row r="72" spans="1:5" x14ac:dyDescent="0.3">
      <c r="A72" s="151" t="s">
        <v>44</v>
      </c>
      <c r="B72" s="180">
        <v>1889</v>
      </c>
      <c r="C72" s="181">
        <v>3947</v>
      </c>
      <c r="D72" s="182">
        <v>444296</v>
      </c>
      <c r="E72" s="155">
        <f>D72/B72</f>
        <v>235.20169401799893</v>
      </c>
    </row>
    <row r="73" spans="1:5" x14ac:dyDescent="0.3">
      <c r="A73" s="156" t="s">
        <v>70</v>
      </c>
      <c r="B73" s="170">
        <v>99</v>
      </c>
      <c r="C73" s="171">
        <v>211</v>
      </c>
      <c r="D73" s="170">
        <v>22957</v>
      </c>
      <c r="E73" s="155">
        <f t="shared" ref="E73:E81" si="6">D73/B73</f>
        <v>231.88888888888889</v>
      </c>
    </row>
    <row r="74" spans="1:5" x14ac:dyDescent="0.3">
      <c r="A74" s="156" t="s">
        <v>45</v>
      </c>
      <c r="B74" s="170">
        <v>5550</v>
      </c>
      <c r="C74" s="171">
        <v>11713</v>
      </c>
      <c r="D74" s="170">
        <v>1331497</v>
      </c>
      <c r="E74" s="155">
        <f t="shared" si="6"/>
        <v>239.90936936936936</v>
      </c>
    </row>
    <row r="75" spans="1:5" x14ac:dyDescent="0.3">
      <c r="A75" s="156" t="s">
        <v>6</v>
      </c>
      <c r="B75" s="170">
        <v>8919</v>
      </c>
      <c r="C75" s="171">
        <v>18171</v>
      </c>
      <c r="D75" s="170">
        <v>2068614</v>
      </c>
      <c r="E75" s="155">
        <f t="shared" si="6"/>
        <v>231.93340060544904</v>
      </c>
    </row>
    <row r="76" spans="1:5" x14ac:dyDescent="0.3">
      <c r="A76" s="156" t="s">
        <v>130</v>
      </c>
      <c r="B76" s="170">
        <v>6749</v>
      </c>
      <c r="C76" s="171">
        <v>14501</v>
      </c>
      <c r="D76" s="170">
        <v>1657651</v>
      </c>
      <c r="E76" s="155">
        <f t="shared" si="6"/>
        <v>245.61431323158988</v>
      </c>
    </row>
    <row r="77" spans="1:5" x14ac:dyDescent="0.3">
      <c r="A77" s="156" t="s">
        <v>47</v>
      </c>
      <c r="B77" s="170">
        <v>5612</v>
      </c>
      <c r="C77" s="171">
        <v>11703</v>
      </c>
      <c r="D77" s="170">
        <v>1344045</v>
      </c>
      <c r="E77" s="155">
        <f t="shared" si="6"/>
        <v>239.4948325017819</v>
      </c>
    </row>
    <row r="78" spans="1:5" x14ac:dyDescent="0.3">
      <c r="A78" s="156" t="s">
        <v>48</v>
      </c>
      <c r="B78" s="170">
        <v>2364</v>
      </c>
      <c r="C78" s="171">
        <v>4952</v>
      </c>
      <c r="D78" s="170">
        <v>559713</v>
      </c>
      <c r="E78" s="155">
        <f t="shared" si="6"/>
        <v>236.76522842639594</v>
      </c>
    </row>
    <row r="79" spans="1:5" x14ac:dyDescent="0.3">
      <c r="A79" s="156" t="s">
        <v>49</v>
      </c>
      <c r="B79" s="170">
        <v>4164</v>
      </c>
      <c r="C79" s="171">
        <v>8681</v>
      </c>
      <c r="D79" s="170">
        <v>991545</v>
      </c>
      <c r="E79" s="155">
        <f t="shared" si="6"/>
        <v>238.12319884726224</v>
      </c>
    </row>
    <row r="80" spans="1:5" x14ac:dyDescent="0.3">
      <c r="A80" s="156" t="s">
        <v>50</v>
      </c>
      <c r="B80" s="170">
        <v>1647</v>
      </c>
      <c r="C80" s="171">
        <v>3409</v>
      </c>
      <c r="D80" s="170">
        <v>389826</v>
      </c>
      <c r="E80" s="155">
        <f t="shared" si="6"/>
        <v>236.68852459016392</v>
      </c>
    </row>
    <row r="81" spans="1:5" ht="19.5" thickBot="1" x14ac:dyDescent="0.35">
      <c r="A81" s="160" t="s">
        <v>51</v>
      </c>
      <c r="B81" s="173">
        <v>7487</v>
      </c>
      <c r="C81" s="184">
        <v>15676</v>
      </c>
      <c r="D81" s="173">
        <v>1782329</v>
      </c>
      <c r="E81" s="155">
        <f t="shared" si="6"/>
        <v>238.05649792974489</v>
      </c>
    </row>
    <row r="82" spans="1:5" ht="19.5" thickBot="1" x14ac:dyDescent="0.35">
      <c r="A82" s="135" t="s">
        <v>91</v>
      </c>
      <c r="B82" s="141">
        <f>SUM(B72:B81)</f>
        <v>44480</v>
      </c>
      <c r="C82" s="141">
        <f>SUM(C72:C81)</f>
        <v>92964</v>
      </c>
      <c r="D82" s="141">
        <f>SUM(D72:D81)</f>
        <v>10592473</v>
      </c>
      <c r="E82" s="179">
        <f>D82/B82</f>
        <v>238.14013039568346</v>
      </c>
    </row>
    <row r="83" spans="1:5" ht="19.5" thickBot="1" x14ac:dyDescent="0.35">
      <c r="A83" s="147"/>
      <c r="B83" s="148"/>
      <c r="C83" s="148"/>
      <c r="D83" s="148"/>
      <c r="E83" s="149"/>
    </row>
    <row r="84" spans="1:5" ht="19.5" thickBot="1" x14ac:dyDescent="0.35">
      <c r="A84" s="176" t="s">
        <v>7</v>
      </c>
      <c r="B84" s="177"/>
      <c r="C84" s="177"/>
      <c r="D84" s="177"/>
      <c r="E84" s="178"/>
    </row>
    <row r="85" spans="1:5" x14ac:dyDescent="0.3">
      <c r="A85" s="151" t="s">
        <v>52</v>
      </c>
      <c r="B85" s="180">
        <v>4516</v>
      </c>
      <c r="C85" s="181">
        <v>9413</v>
      </c>
      <c r="D85" s="182">
        <v>1068586</v>
      </c>
      <c r="E85" s="155">
        <f>D85/B85</f>
        <v>236.62223206377325</v>
      </c>
    </row>
    <row r="86" spans="1:5" x14ac:dyDescent="0.3">
      <c r="A86" s="156" t="s">
        <v>53</v>
      </c>
      <c r="B86" s="170">
        <v>6046</v>
      </c>
      <c r="C86" s="171">
        <v>13094</v>
      </c>
      <c r="D86" s="170">
        <v>1477832</v>
      </c>
      <c r="E86" s="155">
        <f t="shared" ref="E86:E93" si="7">D86/B86</f>
        <v>244.43135957657955</v>
      </c>
    </row>
    <row r="87" spans="1:5" x14ac:dyDescent="0.3">
      <c r="A87" s="156" t="s">
        <v>54</v>
      </c>
      <c r="B87" s="170">
        <v>3557</v>
      </c>
      <c r="C87" s="171">
        <v>7961</v>
      </c>
      <c r="D87" s="170">
        <v>897359</v>
      </c>
      <c r="E87" s="155">
        <f t="shared" si="7"/>
        <v>252.27973010964297</v>
      </c>
    </row>
    <row r="88" spans="1:5" x14ac:dyDescent="0.3">
      <c r="A88" s="156" t="s">
        <v>55</v>
      </c>
      <c r="B88" s="170">
        <v>1889</v>
      </c>
      <c r="C88" s="171">
        <v>3579</v>
      </c>
      <c r="D88" s="170">
        <v>405692</v>
      </c>
      <c r="E88" s="155">
        <f t="shared" si="7"/>
        <v>214.76548438327157</v>
      </c>
    </row>
    <row r="89" spans="1:5" x14ac:dyDescent="0.3">
      <c r="A89" s="156" t="s">
        <v>56</v>
      </c>
      <c r="B89" s="170">
        <v>4055</v>
      </c>
      <c r="C89" s="171">
        <v>8786</v>
      </c>
      <c r="D89" s="170">
        <v>992188</v>
      </c>
      <c r="E89" s="155">
        <f t="shared" si="7"/>
        <v>244.6826140567201</v>
      </c>
    </row>
    <row r="90" spans="1:5" x14ac:dyDescent="0.3">
      <c r="A90" s="156" t="s">
        <v>57</v>
      </c>
      <c r="B90" s="170">
        <v>1001</v>
      </c>
      <c r="C90" s="171">
        <v>2447</v>
      </c>
      <c r="D90" s="170">
        <v>273369</v>
      </c>
      <c r="E90" s="155">
        <f t="shared" si="7"/>
        <v>273.09590409590407</v>
      </c>
    </row>
    <row r="91" spans="1:5" x14ac:dyDescent="0.3">
      <c r="A91" s="156" t="s">
        <v>97</v>
      </c>
      <c r="B91" s="170">
        <v>12722</v>
      </c>
      <c r="C91" s="171">
        <v>25792</v>
      </c>
      <c r="D91" s="170">
        <v>2966090</v>
      </c>
      <c r="E91" s="155">
        <f t="shared" si="7"/>
        <v>233.14651784310644</v>
      </c>
    </row>
    <row r="92" spans="1:5" x14ac:dyDescent="0.3">
      <c r="A92" s="185" t="s">
        <v>58</v>
      </c>
      <c r="B92" s="170">
        <v>3520</v>
      </c>
      <c r="C92" s="171">
        <v>7613</v>
      </c>
      <c r="D92" s="170">
        <v>858381</v>
      </c>
      <c r="E92" s="155">
        <f t="shared" si="7"/>
        <v>243.85823863636364</v>
      </c>
    </row>
    <row r="93" spans="1:5" ht="19.5" thickBot="1" x14ac:dyDescent="0.35">
      <c r="A93" s="156" t="s">
        <v>59</v>
      </c>
      <c r="B93" s="173">
        <v>5344</v>
      </c>
      <c r="C93" s="171">
        <v>11213</v>
      </c>
      <c r="D93" s="170">
        <v>1266556</v>
      </c>
      <c r="E93" s="155">
        <f t="shared" si="7"/>
        <v>237.00523952095807</v>
      </c>
    </row>
    <row r="94" spans="1:5" ht="19.5" thickBot="1" x14ac:dyDescent="0.35">
      <c r="A94" s="135" t="s">
        <v>91</v>
      </c>
      <c r="B94" s="141">
        <f>SUM(B85:B93)</f>
        <v>42650</v>
      </c>
      <c r="C94" s="141">
        <f>SUM(C85:C93)</f>
        <v>89898</v>
      </c>
      <c r="D94" s="141">
        <f>SUM(D85:D93)</f>
        <v>10206053</v>
      </c>
      <c r="E94" s="179">
        <f>D94/B94</f>
        <v>239.2978429073857</v>
      </c>
    </row>
    <row r="95" spans="1:5" ht="19.5" thickBot="1" x14ac:dyDescent="0.35">
      <c r="A95" s="147"/>
      <c r="B95" s="148"/>
      <c r="C95" s="148"/>
      <c r="D95" s="148"/>
      <c r="E95" s="149"/>
    </row>
    <row r="96" spans="1:5" ht="19.5" thickBot="1" x14ac:dyDescent="0.35">
      <c r="A96" s="140" t="s">
        <v>8</v>
      </c>
      <c r="B96" s="177"/>
      <c r="C96" s="177"/>
      <c r="D96" s="177"/>
      <c r="E96" s="178"/>
    </row>
    <row r="97" spans="1:5" x14ac:dyDescent="0.3">
      <c r="A97" s="186" t="s">
        <v>73</v>
      </c>
      <c r="B97" s="180">
        <v>4127</v>
      </c>
      <c r="C97" s="181">
        <v>10050</v>
      </c>
      <c r="D97" s="182">
        <v>1138866</v>
      </c>
      <c r="E97" s="155">
        <f>D97/B97</f>
        <v>275.9549309425733</v>
      </c>
    </row>
    <row r="98" spans="1:5" x14ac:dyDescent="0.3">
      <c r="A98" s="187" t="s">
        <v>60</v>
      </c>
      <c r="B98" s="170">
        <v>4621</v>
      </c>
      <c r="C98" s="171">
        <v>9719</v>
      </c>
      <c r="D98" s="170">
        <v>1097095</v>
      </c>
      <c r="E98" s="155">
        <f t="shared" ref="E98:E107" si="8">D98/B98</f>
        <v>237.41506167496212</v>
      </c>
    </row>
    <row r="99" spans="1:5" x14ac:dyDescent="0.3">
      <c r="A99" s="187" t="s">
        <v>61</v>
      </c>
      <c r="B99" s="170">
        <v>6398</v>
      </c>
      <c r="C99" s="171">
        <v>14079</v>
      </c>
      <c r="D99" s="170">
        <v>1594078</v>
      </c>
      <c r="E99" s="155">
        <f t="shared" si="8"/>
        <v>249.15254767114723</v>
      </c>
    </row>
    <row r="100" spans="1:5" x14ac:dyDescent="0.3">
      <c r="A100" s="156" t="s">
        <v>62</v>
      </c>
      <c r="B100" s="170">
        <v>3763</v>
      </c>
      <c r="C100" s="171">
        <v>8650</v>
      </c>
      <c r="D100" s="170">
        <v>974058</v>
      </c>
      <c r="E100" s="155">
        <f t="shared" si="8"/>
        <v>258.8514483125166</v>
      </c>
    </row>
    <row r="101" spans="1:5" x14ac:dyDescent="0.3">
      <c r="A101" s="156" t="s">
        <v>63</v>
      </c>
      <c r="B101" s="170">
        <v>3164</v>
      </c>
      <c r="C101" s="171">
        <v>7968</v>
      </c>
      <c r="D101" s="170">
        <v>901045</v>
      </c>
      <c r="E101" s="155">
        <f t="shared" si="8"/>
        <v>284.78034134007584</v>
      </c>
    </row>
    <row r="102" spans="1:5" x14ac:dyDescent="0.3">
      <c r="A102" s="156" t="s">
        <v>64</v>
      </c>
      <c r="B102" s="170">
        <v>6933</v>
      </c>
      <c r="C102" s="171">
        <v>16301</v>
      </c>
      <c r="D102" s="170">
        <v>1817251</v>
      </c>
      <c r="E102" s="155">
        <f t="shared" si="8"/>
        <v>262.1161113515073</v>
      </c>
    </row>
    <row r="103" spans="1:5" x14ac:dyDescent="0.3">
      <c r="A103" s="156" t="s">
        <v>65</v>
      </c>
      <c r="B103" s="170">
        <v>4909</v>
      </c>
      <c r="C103" s="171">
        <v>11687</v>
      </c>
      <c r="D103" s="170">
        <v>1303154</v>
      </c>
      <c r="E103" s="155">
        <f t="shared" si="8"/>
        <v>265.46221226319005</v>
      </c>
    </row>
    <row r="104" spans="1:5" x14ac:dyDescent="0.3">
      <c r="A104" s="156" t="s">
        <v>66</v>
      </c>
      <c r="B104" s="170">
        <v>4000</v>
      </c>
      <c r="C104" s="171">
        <v>9803</v>
      </c>
      <c r="D104" s="170">
        <v>1089449</v>
      </c>
      <c r="E104" s="155">
        <f t="shared" si="8"/>
        <v>272.36225000000002</v>
      </c>
    </row>
    <row r="105" spans="1:5" x14ac:dyDescent="0.3">
      <c r="A105" s="156" t="s">
        <v>119</v>
      </c>
      <c r="B105" s="170">
        <v>25881</v>
      </c>
      <c r="C105" s="171">
        <v>58869</v>
      </c>
      <c r="D105" s="170">
        <v>6677273</v>
      </c>
      <c r="E105" s="155">
        <f t="shared" si="8"/>
        <v>257.99903404041572</v>
      </c>
    </row>
    <row r="106" spans="1:5" x14ac:dyDescent="0.3">
      <c r="A106" s="156" t="s">
        <v>67</v>
      </c>
      <c r="B106" s="170">
        <v>4647</v>
      </c>
      <c r="C106" s="171">
        <v>11079</v>
      </c>
      <c r="D106" s="170">
        <v>1249247</v>
      </c>
      <c r="E106" s="155">
        <f t="shared" si="8"/>
        <v>268.82870669248979</v>
      </c>
    </row>
    <row r="107" spans="1:5" ht="19.5" thickBot="1" x14ac:dyDescent="0.35">
      <c r="A107" s="156" t="s">
        <v>68</v>
      </c>
      <c r="B107" s="173">
        <v>6808</v>
      </c>
      <c r="C107" s="171">
        <v>15098</v>
      </c>
      <c r="D107" s="170">
        <v>1691650</v>
      </c>
      <c r="E107" s="155">
        <f t="shared" si="8"/>
        <v>248.47972972972974</v>
      </c>
    </row>
    <row r="108" spans="1:5" ht="19.5" thickBot="1" x14ac:dyDescent="0.35">
      <c r="A108" s="135" t="s">
        <v>91</v>
      </c>
      <c r="B108" s="141">
        <f>SUM(B97:B107)</f>
        <v>75251</v>
      </c>
      <c r="C108" s="141">
        <f>SUM(C97:C107)</f>
        <v>173303</v>
      </c>
      <c r="D108" s="141">
        <f>SUM(D97:D107)</f>
        <v>19533166</v>
      </c>
      <c r="E108" s="179">
        <f>D108/B108</f>
        <v>259.57350732880627</v>
      </c>
    </row>
    <row r="109" spans="1:5" ht="19.5" thickBot="1" x14ac:dyDescent="0.35">
      <c r="A109" s="147"/>
      <c r="B109" s="148"/>
      <c r="C109" s="148"/>
      <c r="D109" s="148"/>
      <c r="E109" s="149"/>
    </row>
    <row r="110" spans="1:5" ht="19.5" thickBot="1" x14ac:dyDescent="0.35">
      <c r="A110" s="176" t="s">
        <v>9</v>
      </c>
      <c r="B110" s="177"/>
      <c r="C110" s="177"/>
      <c r="D110" s="177"/>
      <c r="E110" s="178"/>
    </row>
    <row r="111" spans="1:5" x14ac:dyDescent="0.3">
      <c r="A111" s="151" t="s">
        <v>99</v>
      </c>
      <c r="B111" s="180">
        <v>1207</v>
      </c>
      <c r="C111" s="181">
        <v>2935</v>
      </c>
      <c r="D111" s="182">
        <v>334059</v>
      </c>
      <c r="E111" s="155">
        <f>D111/B111</f>
        <v>276.76801988400996</v>
      </c>
    </row>
    <row r="112" spans="1:5" x14ac:dyDescent="0.3">
      <c r="A112" s="156" t="s">
        <v>100</v>
      </c>
      <c r="B112" s="170">
        <v>8971</v>
      </c>
      <c r="C112" s="171">
        <v>18692</v>
      </c>
      <c r="D112" s="170">
        <v>2133055</v>
      </c>
      <c r="E112" s="155">
        <f>D112/B112</f>
        <v>237.77226619106008</v>
      </c>
    </row>
    <row r="113" spans="1:5" x14ac:dyDescent="0.3">
      <c r="A113" s="200" t="s">
        <v>101</v>
      </c>
      <c r="B113" s="170">
        <v>27965</v>
      </c>
      <c r="C113" s="171">
        <v>60094</v>
      </c>
      <c r="D113" s="170">
        <v>6870089</v>
      </c>
      <c r="E113" s="155">
        <f>D113/B113</f>
        <v>245.66740568567852</v>
      </c>
    </row>
    <row r="114" spans="1:5" ht="19.5" thickBot="1" x14ac:dyDescent="0.35">
      <c r="A114" s="185" t="s">
        <v>102</v>
      </c>
      <c r="B114" s="173">
        <v>10403</v>
      </c>
      <c r="C114" s="171">
        <v>21348</v>
      </c>
      <c r="D114" s="170">
        <v>2469238</v>
      </c>
      <c r="E114" s="155">
        <f>D114/B114</f>
        <v>237.35826203979622</v>
      </c>
    </row>
    <row r="115" spans="1:5" ht="19.5" thickBot="1" x14ac:dyDescent="0.35">
      <c r="A115" s="135" t="s">
        <v>91</v>
      </c>
      <c r="B115" s="141">
        <f>SUM(B111:B114)</f>
        <v>48546</v>
      </c>
      <c r="C115" s="141">
        <f>SUM(C111:C114)</f>
        <v>103069</v>
      </c>
      <c r="D115" s="141">
        <f>SUM(D111:D114)</f>
        <v>11806441</v>
      </c>
      <c r="E115" s="179">
        <f>D115/B115</f>
        <v>243.20110822724837</v>
      </c>
    </row>
    <row r="116" spans="1:5" ht="19.5" thickBot="1" x14ac:dyDescent="0.35">
      <c r="A116" s="147"/>
      <c r="B116" s="148"/>
      <c r="C116" s="148"/>
      <c r="D116" s="148"/>
      <c r="E116" s="149"/>
    </row>
    <row r="117" spans="1:5" ht="19.5" thickBot="1" x14ac:dyDescent="0.35">
      <c r="A117" s="134" t="s">
        <v>74</v>
      </c>
      <c r="B117" s="142">
        <f>B15+B29+B41+B51+B60+B69+B82+B94+B108+B115</f>
        <v>509813</v>
      </c>
      <c r="C117" s="142">
        <f>C15+C29+C41+C51+C60+C69+C82+C94+C108+C115</f>
        <v>1104124</v>
      </c>
      <c r="D117" s="142">
        <f>D15+D29+D41+D51+D60+D69+D82+D94+D108+D115</f>
        <v>125279978</v>
      </c>
      <c r="E117" s="178">
        <f>SUM(E8:E114)</f>
        <v>21961.15954931789</v>
      </c>
    </row>
  </sheetData>
  <mergeCells count="5">
    <mergeCell ref="A5:E5"/>
    <mergeCell ref="A1:E1"/>
    <mergeCell ref="A2:E2"/>
    <mergeCell ref="A3:E3"/>
    <mergeCell ref="A4:E4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7"/>
  <sheetViews>
    <sheetView topLeftCell="A109" zoomScale="75" workbookViewId="0">
      <selection activeCell="A33" sqref="A33:XFD35"/>
    </sheetView>
  </sheetViews>
  <sheetFormatPr defaultRowHeight="18.75" x14ac:dyDescent="0.3"/>
  <cols>
    <col min="1" max="1" width="24.140625" style="150" customWidth="1"/>
    <col min="2" max="3" width="15.7109375" style="64" customWidth="1"/>
    <col min="4" max="4" width="16" style="64" bestFit="1" customWidth="1"/>
    <col min="5" max="5" width="17.28515625" style="64" bestFit="1" customWidth="1"/>
    <col min="6" max="6" width="9.140625" style="64"/>
    <col min="7" max="14" width="9.140625" style="18"/>
    <col min="15" max="16384" width="9.140625" style="1"/>
  </cols>
  <sheetData>
    <row r="1" spans="1:5" x14ac:dyDescent="0.3">
      <c r="A1" s="354" t="s">
        <v>10</v>
      </c>
      <c r="B1" s="354"/>
      <c r="C1" s="354"/>
      <c r="D1" s="354"/>
      <c r="E1" s="354"/>
    </row>
    <row r="2" spans="1:5" x14ac:dyDescent="0.3">
      <c r="A2" s="354" t="s">
        <v>71</v>
      </c>
      <c r="B2" s="354"/>
      <c r="C2" s="354"/>
      <c r="D2" s="354"/>
      <c r="E2" s="354"/>
    </row>
    <row r="3" spans="1:5" x14ac:dyDescent="0.3">
      <c r="A3" s="357" t="s">
        <v>112</v>
      </c>
      <c r="B3" s="357"/>
      <c r="C3" s="357"/>
      <c r="D3" s="357"/>
      <c r="E3" s="357"/>
    </row>
    <row r="4" spans="1:5" x14ac:dyDescent="0.3">
      <c r="A4" s="354" t="s">
        <v>138</v>
      </c>
      <c r="B4" s="354"/>
      <c r="C4" s="354"/>
      <c r="D4" s="354"/>
      <c r="E4" s="354"/>
    </row>
    <row r="5" spans="1:5" ht="19.5" thickBot="1" x14ac:dyDescent="0.35">
      <c r="A5" s="354"/>
      <c r="B5" s="358"/>
      <c r="C5" s="358"/>
      <c r="D5" s="358"/>
      <c r="E5" s="358"/>
    </row>
    <row r="6" spans="1:5" ht="57" thickBot="1" x14ac:dyDescent="0.35">
      <c r="A6" s="188"/>
      <c r="B6" s="189" t="s">
        <v>75</v>
      </c>
      <c r="C6" s="190" t="s">
        <v>76</v>
      </c>
      <c r="D6" s="190" t="s">
        <v>77</v>
      </c>
      <c r="E6" s="190" t="s">
        <v>78</v>
      </c>
    </row>
    <row r="7" spans="1:5" ht="21.75" customHeight="1" thickBot="1" x14ac:dyDescent="0.35">
      <c r="A7" s="176" t="s">
        <v>0</v>
      </c>
      <c r="B7" s="203"/>
      <c r="C7" s="203"/>
      <c r="D7" s="203"/>
      <c r="E7" s="138"/>
    </row>
    <row r="8" spans="1:5" x14ac:dyDescent="0.3">
      <c r="A8" s="151" t="s">
        <v>11</v>
      </c>
      <c r="B8" s="152">
        <v>5856</v>
      </c>
      <c r="C8" s="153">
        <v>13445</v>
      </c>
      <c r="D8" s="154">
        <v>1487836</v>
      </c>
      <c r="E8" s="155">
        <f t="shared" ref="E8:E15" si="0">D8/B8</f>
        <v>254.07035519125682</v>
      </c>
    </row>
    <row r="9" spans="1:5" x14ac:dyDescent="0.3">
      <c r="A9" s="156" t="s">
        <v>128</v>
      </c>
      <c r="B9" s="157">
        <v>9858</v>
      </c>
      <c r="C9" s="158">
        <v>20566</v>
      </c>
      <c r="D9" s="157">
        <v>2337981</v>
      </c>
      <c r="E9" s="155">
        <f t="shared" si="0"/>
        <v>237.16585514303105</v>
      </c>
    </row>
    <row r="10" spans="1:5" x14ac:dyDescent="0.3">
      <c r="A10" s="156" t="s">
        <v>12</v>
      </c>
      <c r="B10" s="157">
        <v>6727</v>
      </c>
      <c r="C10" s="158">
        <v>14207</v>
      </c>
      <c r="D10" s="157">
        <v>1586663</v>
      </c>
      <c r="E10" s="155">
        <f t="shared" si="0"/>
        <v>235.86487290025272</v>
      </c>
    </row>
    <row r="11" spans="1:5" x14ac:dyDescent="0.3">
      <c r="A11" s="156" t="s">
        <v>13</v>
      </c>
      <c r="B11" s="157">
        <v>1725</v>
      </c>
      <c r="C11" s="158">
        <v>3829</v>
      </c>
      <c r="D11" s="157">
        <v>431366</v>
      </c>
      <c r="E11" s="155">
        <f t="shared" si="0"/>
        <v>250.0672463768116</v>
      </c>
    </row>
    <row r="12" spans="1:5" x14ac:dyDescent="0.3">
      <c r="A12" s="156" t="s">
        <v>14</v>
      </c>
      <c r="B12" s="157">
        <v>7071</v>
      </c>
      <c r="C12" s="158">
        <v>16106</v>
      </c>
      <c r="D12" s="157">
        <v>1808126</v>
      </c>
      <c r="E12" s="155">
        <f t="shared" si="0"/>
        <v>255.71008343940036</v>
      </c>
    </row>
    <row r="13" spans="1:5" x14ac:dyDescent="0.3">
      <c r="A13" s="156" t="s">
        <v>15</v>
      </c>
      <c r="B13" s="157">
        <v>2471</v>
      </c>
      <c r="C13" s="158">
        <v>5051</v>
      </c>
      <c r="D13" s="157">
        <v>569020</v>
      </c>
      <c r="E13" s="155">
        <f t="shared" si="0"/>
        <v>230.27923917442331</v>
      </c>
    </row>
    <row r="14" spans="1:5" ht="19.5" thickBot="1" x14ac:dyDescent="0.35">
      <c r="A14" s="160" t="s">
        <v>72</v>
      </c>
      <c r="B14" s="161">
        <v>8703</v>
      </c>
      <c r="C14" s="162">
        <v>17977</v>
      </c>
      <c r="D14" s="163">
        <v>2041790</v>
      </c>
      <c r="E14" s="155">
        <f t="shared" si="0"/>
        <v>234.60760657244629</v>
      </c>
    </row>
    <row r="15" spans="1:5" ht="19.5" thickBot="1" x14ac:dyDescent="0.35">
      <c r="A15" s="135" t="s">
        <v>85</v>
      </c>
      <c r="B15" s="192">
        <f>SUM(B8:B14)</f>
        <v>42411</v>
      </c>
      <c r="C15" s="192">
        <f>SUM(C8:C14)</f>
        <v>91181</v>
      </c>
      <c r="D15" s="192">
        <f>SUM(D8:D14)</f>
        <v>10262782</v>
      </c>
      <c r="E15" s="179">
        <f t="shared" si="0"/>
        <v>241.98396642380516</v>
      </c>
    </row>
    <row r="16" spans="1:5" ht="19.5" thickBot="1" x14ac:dyDescent="0.35">
      <c r="A16" s="144"/>
      <c r="B16" s="145"/>
      <c r="C16" s="145"/>
      <c r="D16" s="145"/>
      <c r="E16" s="145"/>
    </row>
    <row r="17" spans="1:14" ht="19.5" thickBot="1" x14ac:dyDescent="0.35">
      <c r="A17" s="188" t="s">
        <v>1</v>
      </c>
      <c r="B17" s="204"/>
      <c r="C17" s="204"/>
      <c r="D17" s="204"/>
      <c r="E17" s="183"/>
    </row>
    <row r="18" spans="1:14" s="2" customFormat="1" x14ac:dyDescent="0.3">
      <c r="A18" s="205" t="s">
        <v>125</v>
      </c>
      <c r="B18" s="157">
        <v>17270</v>
      </c>
      <c r="C18" s="158">
        <v>34786</v>
      </c>
      <c r="D18" s="157">
        <v>3986880</v>
      </c>
      <c r="E18" s="155">
        <f>D18/B18</f>
        <v>230.85581933989576</v>
      </c>
      <c r="F18" s="193"/>
      <c r="G18" s="42"/>
      <c r="H18" s="42"/>
      <c r="I18" s="42"/>
      <c r="J18" s="42"/>
      <c r="K18" s="42"/>
      <c r="L18" s="42"/>
      <c r="M18" s="42"/>
      <c r="N18" s="42"/>
    </row>
    <row r="19" spans="1:14" x14ac:dyDescent="0.3">
      <c r="A19" s="151" t="s">
        <v>16</v>
      </c>
      <c r="B19" s="182">
        <v>4830</v>
      </c>
      <c r="C19" s="181">
        <v>10109</v>
      </c>
      <c r="D19" s="182">
        <v>1147002</v>
      </c>
      <c r="E19" s="155">
        <f t="shared" ref="E19:E28" si="1">D19/B19</f>
        <v>237.47453416149068</v>
      </c>
    </row>
    <row r="20" spans="1:14" x14ac:dyDescent="0.3">
      <c r="A20" s="156" t="s">
        <v>17</v>
      </c>
      <c r="B20" s="170">
        <v>6112</v>
      </c>
      <c r="C20" s="171">
        <v>12975</v>
      </c>
      <c r="D20" s="170">
        <v>1451601</v>
      </c>
      <c r="E20" s="155">
        <f t="shared" si="1"/>
        <v>237.50016361256544</v>
      </c>
    </row>
    <row r="21" spans="1:14" x14ac:dyDescent="0.3">
      <c r="A21" s="156" t="s">
        <v>18</v>
      </c>
      <c r="B21" s="170">
        <v>3931</v>
      </c>
      <c r="C21" s="171">
        <v>8819</v>
      </c>
      <c r="D21" s="170">
        <v>983980</v>
      </c>
      <c r="E21" s="155">
        <f t="shared" si="1"/>
        <v>250.31289748155686</v>
      </c>
    </row>
    <row r="22" spans="1:14" x14ac:dyDescent="0.3">
      <c r="A22" s="156" t="s">
        <v>19</v>
      </c>
      <c r="B22" s="170">
        <v>2540</v>
      </c>
      <c r="C22" s="171">
        <v>5609</v>
      </c>
      <c r="D22" s="170">
        <v>627781</v>
      </c>
      <c r="E22" s="155">
        <f t="shared" si="1"/>
        <v>247.15787401574804</v>
      </c>
    </row>
    <row r="23" spans="1:14" x14ac:dyDescent="0.3">
      <c r="A23" s="156" t="s">
        <v>20</v>
      </c>
      <c r="B23" s="170">
        <v>6891</v>
      </c>
      <c r="C23" s="171">
        <v>14778</v>
      </c>
      <c r="D23" s="170">
        <v>1661915</v>
      </c>
      <c r="E23" s="155">
        <f t="shared" si="1"/>
        <v>241.17181831374256</v>
      </c>
    </row>
    <row r="24" spans="1:14" x14ac:dyDescent="0.3">
      <c r="A24" s="156" t="s">
        <v>21</v>
      </c>
      <c r="B24" s="170">
        <v>6258</v>
      </c>
      <c r="C24" s="171">
        <v>14155</v>
      </c>
      <c r="D24" s="170">
        <v>1595749</v>
      </c>
      <c r="E24" s="155">
        <f t="shared" si="1"/>
        <v>254.99344838606584</v>
      </c>
    </row>
    <row r="25" spans="1:14" x14ac:dyDescent="0.3">
      <c r="A25" s="156" t="s">
        <v>69</v>
      </c>
      <c r="B25" s="170">
        <v>8078</v>
      </c>
      <c r="C25" s="171">
        <v>16728</v>
      </c>
      <c r="D25" s="170">
        <v>1896879</v>
      </c>
      <c r="E25" s="155">
        <f t="shared" si="1"/>
        <v>234.82037633077493</v>
      </c>
    </row>
    <row r="26" spans="1:14" x14ac:dyDescent="0.3">
      <c r="A26" s="156" t="s">
        <v>22</v>
      </c>
      <c r="B26" s="170">
        <v>5200</v>
      </c>
      <c r="C26" s="171">
        <v>12523</v>
      </c>
      <c r="D26" s="170">
        <v>1384086</v>
      </c>
      <c r="E26" s="155">
        <f t="shared" si="1"/>
        <v>266.17038461538459</v>
      </c>
    </row>
    <row r="27" spans="1:14" x14ac:dyDescent="0.3">
      <c r="A27" s="156" t="s">
        <v>23</v>
      </c>
      <c r="B27" s="170">
        <v>4450</v>
      </c>
      <c r="C27" s="171">
        <v>9878</v>
      </c>
      <c r="D27" s="170">
        <v>1095327</v>
      </c>
      <c r="E27" s="155">
        <f t="shared" si="1"/>
        <v>246.14089887640449</v>
      </c>
    </row>
    <row r="28" spans="1:14" ht="19.5" thickBot="1" x14ac:dyDescent="0.35">
      <c r="A28" s="172" t="s">
        <v>87</v>
      </c>
      <c r="B28" s="173">
        <v>6400</v>
      </c>
      <c r="C28" s="174">
        <v>14545</v>
      </c>
      <c r="D28" s="175">
        <v>1640760</v>
      </c>
      <c r="E28" s="155">
        <f t="shared" si="1"/>
        <v>256.36874999999998</v>
      </c>
    </row>
    <row r="29" spans="1:14" ht="19.5" thickBot="1" x14ac:dyDescent="0.35">
      <c r="A29" s="135" t="s">
        <v>88</v>
      </c>
      <c r="B29" s="141">
        <f>SUM(B18:B28)</f>
        <v>71960</v>
      </c>
      <c r="C29" s="141">
        <f>SUM(C18:C28)</f>
        <v>154905</v>
      </c>
      <c r="D29" s="141">
        <f>SUM(D18:D28)</f>
        <v>17471960</v>
      </c>
      <c r="E29" s="179">
        <f>D29/B29</f>
        <v>242.80100055586436</v>
      </c>
    </row>
    <row r="30" spans="1:14" ht="19.5" thickBot="1" x14ac:dyDescent="0.35">
      <c r="A30" s="144"/>
      <c r="B30" s="146"/>
      <c r="C30" s="146"/>
      <c r="D30" s="146"/>
      <c r="E30" s="145"/>
    </row>
    <row r="31" spans="1:14" ht="19.5" thickBot="1" x14ac:dyDescent="0.35">
      <c r="A31" s="176" t="s">
        <v>2</v>
      </c>
      <c r="B31" s="177"/>
      <c r="C31" s="177"/>
      <c r="D31" s="177"/>
      <c r="E31" s="178"/>
    </row>
    <row r="32" spans="1:14" x14ac:dyDescent="0.3">
      <c r="A32" s="151" t="s">
        <v>24</v>
      </c>
      <c r="B32" s="180">
        <v>20448</v>
      </c>
      <c r="C32" s="181">
        <v>43395</v>
      </c>
      <c r="D32" s="182">
        <v>4882866</v>
      </c>
      <c r="E32" s="155">
        <f>D32/B32</f>
        <v>238.79430751173709</v>
      </c>
    </row>
    <row r="33" spans="1:5" x14ac:dyDescent="0.3">
      <c r="A33" s="156" t="s">
        <v>25</v>
      </c>
      <c r="B33" s="170">
        <v>3833</v>
      </c>
      <c r="C33" s="171">
        <v>8568</v>
      </c>
      <c r="D33" s="170">
        <v>968237</v>
      </c>
      <c r="E33" s="155">
        <f t="shared" ref="E33:E40" si="2">D33/B33</f>
        <v>252.6055309157318</v>
      </c>
    </row>
    <row r="34" spans="1:5" x14ac:dyDescent="0.3">
      <c r="A34" s="156" t="s">
        <v>26</v>
      </c>
      <c r="B34" s="170">
        <v>6334</v>
      </c>
      <c r="C34" s="171">
        <v>14390</v>
      </c>
      <c r="D34" s="170">
        <v>1600168</v>
      </c>
      <c r="E34" s="155">
        <f t="shared" si="2"/>
        <v>252.63151247237133</v>
      </c>
    </row>
    <row r="35" spans="1:5" x14ac:dyDescent="0.3">
      <c r="A35" s="156" t="s">
        <v>27</v>
      </c>
      <c r="B35" s="170">
        <v>3923</v>
      </c>
      <c r="C35" s="171">
        <v>8503</v>
      </c>
      <c r="D35" s="170">
        <v>949006</v>
      </c>
      <c r="E35" s="155">
        <f t="shared" si="2"/>
        <v>241.90823349477441</v>
      </c>
    </row>
    <row r="36" spans="1:5" x14ac:dyDescent="0.3">
      <c r="A36" s="156" t="s">
        <v>28</v>
      </c>
      <c r="B36" s="170">
        <v>4757</v>
      </c>
      <c r="C36" s="171">
        <v>10504</v>
      </c>
      <c r="D36" s="170">
        <v>1156075</v>
      </c>
      <c r="E36" s="155">
        <f t="shared" si="2"/>
        <v>243.02606684885433</v>
      </c>
    </row>
    <row r="37" spans="1:5" x14ac:dyDescent="0.3">
      <c r="A37" s="156" t="s">
        <v>29</v>
      </c>
      <c r="B37" s="170">
        <v>7516</v>
      </c>
      <c r="C37" s="171">
        <v>17190</v>
      </c>
      <c r="D37" s="170">
        <v>1911705</v>
      </c>
      <c r="E37" s="155">
        <f t="shared" si="2"/>
        <v>254.35138371474187</v>
      </c>
    </row>
    <row r="38" spans="1:5" x14ac:dyDescent="0.3">
      <c r="A38" s="156" t="s">
        <v>89</v>
      </c>
      <c r="B38" s="170">
        <v>9117</v>
      </c>
      <c r="C38" s="171">
        <v>19933</v>
      </c>
      <c r="D38" s="170">
        <v>2224608</v>
      </c>
      <c r="E38" s="155">
        <f t="shared" si="2"/>
        <v>244.00658111220795</v>
      </c>
    </row>
    <row r="39" spans="1:5" x14ac:dyDescent="0.3">
      <c r="A39" s="156" t="s">
        <v>30</v>
      </c>
      <c r="B39" s="170">
        <v>5498</v>
      </c>
      <c r="C39" s="171">
        <v>12291</v>
      </c>
      <c r="D39" s="170">
        <v>1374725</v>
      </c>
      <c r="E39" s="155">
        <f t="shared" si="2"/>
        <v>250.0409239723536</v>
      </c>
    </row>
    <row r="40" spans="1:5" ht="19.5" thickBot="1" x14ac:dyDescent="0.35">
      <c r="A40" s="172" t="s">
        <v>90</v>
      </c>
      <c r="B40" s="173">
        <v>9735</v>
      </c>
      <c r="C40" s="174">
        <v>20687</v>
      </c>
      <c r="D40" s="175">
        <v>2339780</v>
      </c>
      <c r="E40" s="155">
        <f t="shared" si="2"/>
        <v>240.34720082177708</v>
      </c>
    </row>
    <row r="41" spans="1:5" ht="19.5" thickBot="1" x14ac:dyDescent="0.35">
      <c r="A41" s="135" t="s">
        <v>91</v>
      </c>
      <c r="B41" s="141">
        <f>SUM(B32:B40)</f>
        <v>71161</v>
      </c>
      <c r="C41" s="141">
        <f>SUM(C32:C40)</f>
        <v>155461</v>
      </c>
      <c r="D41" s="141">
        <f>SUM(D32:D40)</f>
        <v>17407170</v>
      </c>
      <c r="E41" s="179">
        <f>D41/B41</f>
        <v>244.61671421143603</v>
      </c>
    </row>
    <row r="42" spans="1:5" ht="19.5" thickBot="1" x14ac:dyDescent="0.35">
      <c r="A42" s="147"/>
      <c r="B42" s="148"/>
      <c r="C42" s="148"/>
      <c r="D42" s="148"/>
      <c r="E42" s="149"/>
    </row>
    <row r="43" spans="1:5" ht="19.5" thickBot="1" x14ac:dyDescent="0.35">
      <c r="A43" s="176" t="s">
        <v>3</v>
      </c>
      <c r="B43" s="177"/>
      <c r="C43" s="177"/>
      <c r="D43" s="177"/>
      <c r="E43" s="178"/>
    </row>
    <row r="44" spans="1:5" x14ac:dyDescent="0.3">
      <c r="A44" s="151" t="s">
        <v>31</v>
      </c>
      <c r="B44" s="180">
        <v>3646</v>
      </c>
      <c r="C44" s="181">
        <v>7719</v>
      </c>
      <c r="D44" s="182">
        <v>876139</v>
      </c>
      <c r="E44" s="155">
        <f>D44/B44</f>
        <v>240.30142622051562</v>
      </c>
    </row>
    <row r="45" spans="1:5" x14ac:dyDescent="0.3">
      <c r="A45" s="156" t="s">
        <v>32</v>
      </c>
      <c r="B45" s="170">
        <v>6705</v>
      </c>
      <c r="C45" s="171">
        <v>15751</v>
      </c>
      <c r="D45" s="170">
        <v>1757125</v>
      </c>
      <c r="E45" s="155">
        <f t="shared" ref="E45:E50" si="3">D45/B45</f>
        <v>262.06189410887396</v>
      </c>
    </row>
    <row r="46" spans="1:5" x14ac:dyDescent="0.3">
      <c r="A46" s="156" t="s">
        <v>92</v>
      </c>
      <c r="B46" s="170">
        <v>16563</v>
      </c>
      <c r="C46" s="171">
        <v>34129</v>
      </c>
      <c r="D46" s="170">
        <v>3817847</v>
      </c>
      <c r="E46" s="155">
        <f t="shared" si="3"/>
        <v>230.50455835295537</v>
      </c>
    </row>
    <row r="47" spans="1:5" x14ac:dyDescent="0.3">
      <c r="A47" s="156" t="s">
        <v>33</v>
      </c>
      <c r="B47" s="170">
        <v>5255</v>
      </c>
      <c r="C47" s="171">
        <v>11591</v>
      </c>
      <c r="D47" s="170">
        <v>1287697</v>
      </c>
      <c r="E47" s="155">
        <f t="shared" si="3"/>
        <v>245.04224548049476</v>
      </c>
    </row>
    <row r="48" spans="1:5" x14ac:dyDescent="0.3">
      <c r="A48" s="156" t="s">
        <v>34</v>
      </c>
      <c r="B48" s="170">
        <v>4303</v>
      </c>
      <c r="C48" s="171">
        <v>9113</v>
      </c>
      <c r="D48" s="170">
        <v>1032804</v>
      </c>
      <c r="E48" s="155">
        <f t="shared" si="3"/>
        <v>240.01952126423424</v>
      </c>
    </row>
    <row r="49" spans="1:5" x14ac:dyDescent="0.3">
      <c r="A49" s="156" t="s">
        <v>35</v>
      </c>
      <c r="B49" s="170">
        <v>3989</v>
      </c>
      <c r="C49" s="171">
        <v>8104</v>
      </c>
      <c r="D49" s="170">
        <v>913904</v>
      </c>
      <c r="E49" s="155">
        <f t="shared" si="3"/>
        <v>229.1060416144397</v>
      </c>
    </row>
    <row r="50" spans="1:5" ht="19.5" thickBot="1" x14ac:dyDescent="0.35">
      <c r="A50" s="156" t="s">
        <v>36</v>
      </c>
      <c r="B50" s="173">
        <v>6081</v>
      </c>
      <c r="C50" s="171">
        <v>12701</v>
      </c>
      <c r="D50" s="170">
        <v>1423656</v>
      </c>
      <c r="E50" s="155">
        <f t="shared" si="3"/>
        <v>234.11544153922051</v>
      </c>
    </row>
    <row r="51" spans="1:5" ht="19.5" thickBot="1" x14ac:dyDescent="0.35">
      <c r="A51" s="135" t="s">
        <v>91</v>
      </c>
      <c r="B51" s="141">
        <f>SUM(B44:B50)</f>
        <v>46542</v>
      </c>
      <c r="C51" s="141">
        <f>SUM(C44:C50)</f>
        <v>99108</v>
      </c>
      <c r="D51" s="141">
        <f>SUM(D44:D50)</f>
        <v>11109172</v>
      </c>
      <c r="E51" s="179">
        <f>D51/B51</f>
        <v>238.69133255983843</v>
      </c>
    </row>
    <row r="52" spans="1:5" ht="19.5" thickBot="1" x14ac:dyDescent="0.35">
      <c r="A52" s="147"/>
      <c r="B52" s="148"/>
      <c r="C52" s="148"/>
      <c r="D52" s="148"/>
      <c r="E52" s="149"/>
    </row>
    <row r="53" spans="1:5" ht="19.5" thickBot="1" x14ac:dyDescent="0.35">
      <c r="A53" s="176" t="s">
        <v>4</v>
      </c>
      <c r="B53" s="177"/>
      <c r="C53" s="177"/>
      <c r="D53" s="177"/>
      <c r="E53" s="178"/>
    </row>
    <row r="54" spans="1:5" x14ac:dyDescent="0.3">
      <c r="A54" s="151" t="s">
        <v>37</v>
      </c>
      <c r="B54" s="180">
        <v>6475</v>
      </c>
      <c r="C54" s="181">
        <v>14306</v>
      </c>
      <c r="D54" s="182">
        <v>1589894</v>
      </c>
      <c r="E54" s="155">
        <f t="shared" ref="E54:E60" si="4">D54/B54</f>
        <v>245.5434749034749</v>
      </c>
    </row>
    <row r="55" spans="1:5" x14ac:dyDescent="0.3">
      <c r="A55" s="156" t="s">
        <v>93</v>
      </c>
      <c r="B55" s="170">
        <v>14570</v>
      </c>
      <c r="C55" s="171">
        <v>30859</v>
      </c>
      <c r="D55" s="170">
        <v>3451948</v>
      </c>
      <c r="E55" s="155">
        <f t="shared" si="4"/>
        <v>236.9216197666438</v>
      </c>
    </row>
    <row r="56" spans="1:5" x14ac:dyDescent="0.3">
      <c r="A56" s="156" t="s">
        <v>94</v>
      </c>
      <c r="B56" s="170">
        <v>4272</v>
      </c>
      <c r="C56" s="171">
        <v>10038</v>
      </c>
      <c r="D56" s="170">
        <v>1125708</v>
      </c>
      <c r="E56" s="155">
        <f t="shared" si="4"/>
        <v>263.50842696629212</v>
      </c>
    </row>
    <row r="57" spans="1:5" x14ac:dyDescent="0.3">
      <c r="A57" s="156" t="s">
        <v>38</v>
      </c>
      <c r="B57" s="170">
        <v>2994</v>
      </c>
      <c r="C57" s="171">
        <v>6416</v>
      </c>
      <c r="D57" s="170">
        <v>718073</v>
      </c>
      <c r="E57" s="155">
        <f t="shared" si="4"/>
        <v>239.8373413493654</v>
      </c>
    </row>
    <row r="58" spans="1:5" x14ac:dyDescent="0.3">
      <c r="A58" s="156" t="s">
        <v>95</v>
      </c>
      <c r="B58" s="170">
        <v>7401</v>
      </c>
      <c r="C58" s="171">
        <v>16023</v>
      </c>
      <c r="D58" s="170">
        <v>1789323</v>
      </c>
      <c r="E58" s="155">
        <f t="shared" si="4"/>
        <v>241.76773408998784</v>
      </c>
    </row>
    <row r="59" spans="1:5" ht="19.5" thickBot="1" x14ac:dyDescent="0.35">
      <c r="A59" s="156" t="s">
        <v>96</v>
      </c>
      <c r="B59" s="173">
        <v>6489</v>
      </c>
      <c r="C59" s="171">
        <v>13588</v>
      </c>
      <c r="D59" s="170">
        <v>1530899</v>
      </c>
      <c r="E59" s="155">
        <f t="shared" si="4"/>
        <v>235.92217599013716</v>
      </c>
    </row>
    <row r="60" spans="1:5" ht="19.5" thickBot="1" x14ac:dyDescent="0.35">
      <c r="A60" s="135" t="s">
        <v>91</v>
      </c>
      <c r="B60" s="141">
        <f>SUM(B54:B59)</f>
        <v>42201</v>
      </c>
      <c r="C60" s="141">
        <f>SUM(C54:C59)</f>
        <v>91230</v>
      </c>
      <c r="D60" s="141">
        <f>SUM(D54:D59)</f>
        <v>10205845</v>
      </c>
      <c r="E60" s="179">
        <f t="shared" si="4"/>
        <v>241.83893746593682</v>
      </c>
    </row>
    <row r="61" spans="1:5" ht="19.5" thickBot="1" x14ac:dyDescent="0.35">
      <c r="A61" s="147"/>
      <c r="B61" s="148"/>
      <c r="C61" s="148"/>
      <c r="D61" s="148"/>
      <c r="E61" s="149"/>
    </row>
    <row r="62" spans="1:5" ht="19.5" thickBot="1" x14ac:dyDescent="0.35">
      <c r="A62" s="176" t="s">
        <v>5</v>
      </c>
      <c r="B62" s="177"/>
      <c r="C62" s="177"/>
      <c r="D62" s="177"/>
      <c r="E62" s="178"/>
    </row>
    <row r="63" spans="1:5" x14ac:dyDescent="0.3">
      <c r="A63" s="151" t="s">
        <v>39</v>
      </c>
      <c r="B63" s="180">
        <v>3308</v>
      </c>
      <c r="C63" s="181">
        <v>7234</v>
      </c>
      <c r="D63" s="182">
        <v>808747</v>
      </c>
      <c r="E63" s="155">
        <f t="shared" ref="E63:E69" si="5">D63/B63</f>
        <v>244.48216444981861</v>
      </c>
    </row>
    <row r="64" spans="1:5" x14ac:dyDescent="0.3">
      <c r="A64" s="156" t="s">
        <v>40</v>
      </c>
      <c r="B64" s="170">
        <v>5363</v>
      </c>
      <c r="C64" s="171">
        <v>10568</v>
      </c>
      <c r="D64" s="170">
        <v>1177925</v>
      </c>
      <c r="E64" s="155">
        <f t="shared" si="5"/>
        <v>219.63919448070109</v>
      </c>
    </row>
    <row r="65" spans="1:5" x14ac:dyDescent="0.3">
      <c r="A65" s="156" t="s">
        <v>5</v>
      </c>
      <c r="B65" s="170">
        <v>6509</v>
      </c>
      <c r="C65" s="171">
        <v>13913</v>
      </c>
      <c r="D65" s="170">
        <v>1559960</v>
      </c>
      <c r="E65" s="155">
        <f t="shared" si="5"/>
        <v>239.66200645260409</v>
      </c>
    </row>
    <row r="66" spans="1:5" x14ac:dyDescent="0.3">
      <c r="A66" s="156" t="s">
        <v>41</v>
      </c>
      <c r="B66" s="170">
        <v>3356</v>
      </c>
      <c r="C66" s="171">
        <v>7041</v>
      </c>
      <c r="D66" s="170">
        <v>792238</v>
      </c>
      <c r="E66" s="155">
        <f t="shared" si="5"/>
        <v>236.06615017878426</v>
      </c>
    </row>
    <row r="67" spans="1:5" x14ac:dyDescent="0.3">
      <c r="A67" s="156" t="s">
        <v>42</v>
      </c>
      <c r="B67" s="170">
        <v>4951</v>
      </c>
      <c r="C67" s="171">
        <v>10485</v>
      </c>
      <c r="D67" s="170">
        <v>1179134</v>
      </c>
      <c r="E67" s="155">
        <f t="shared" si="5"/>
        <v>238.16077560088871</v>
      </c>
    </row>
    <row r="68" spans="1:5" ht="19.5" thickBot="1" x14ac:dyDescent="0.35">
      <c r="A68" s="160" t="s">
        <v>43</v>
      </c>
      <c r="B68" s="173">
        <v>3250</v>
      </c>
      <c r="C68" s="184">
        <v>7400</v>
      </c>
      <c r="D68" s="173">
        <v>817269</v>
      </c>
      <c r="E68" s="155">
        <f t="shared" si="5"/>
        <v>251.46738461538462</v>
      </c>
    </row>
    <row r="69" spans="1:5" ht="19.5" thickBot="1" x14ac:dyDescent="0.35">
      <c r="A69" s="135" t="s">
        <v>91</v>
      </c>
      <c r="B69" s="141">
        <f>SUM(B63:B68)</f>
        <v>26737</v>
      </c>
      <c r="C69" s="141">
        <f>SUM(C63:C68)</f>
        <v>56641</v>
      </c>
      <c r="D69" s="141">
        <f>SUM(D63:D68)</f>
        <v>6335273</v>
      </c>
      <c r="E69" s="179">
        <f t="shared" si="5"/>
        <v>236.9477877099151</v>
      </c>
    </row>
    <row r="70" spans="1:5" ht="19.5" thickBot="1" x14ac:dyDescent="0.35">
      <c r="A70" s="147"/>
      <c r="B70" s="148"/>
      <c r="C70" s="148"/>
      <c r="D70" s="148"/>
      <c r="E70" s="149"/>
    </row>
    <row r="71" spans="1:5" ht="19.5" thickBot="1" x14ac:dyDescent="0.35">
      <c r="A71" s="176" t="s">
        <v>6</v>
      </c>
      <c r="B71" s="177"/>
      <c r="C71" s="177"/>
      <c r="D71" s="177"/>
      <c r="E71" s="178"/>
    </row>
    <row r="72" spans="1:5" x14ac:dyDescent="0.3">
      <c r="A72" s="151" t="s">
        <v>44</v>
      </c>
      <c r="B72" s="180">
        <v>1896</v>
      </c>
      <c r="C72" s="181">
        <v>3947</v>
      </c>
      <c r="D72" s="182">
        <v>439853</v>
      </c>
      <c r="E72" s="155">
        <f>D72/B72</f>
        <v>231.9899789029536</v>
      </c>
    </row>
    <row r="73" spans="1:5" x14ac:dyDescent="0.3">
      <c r="A73" s="156" t="s">
        <v>70</v>
      </c>
      <c r="B73" s="170">
        <v>99</v>
      </c>
      <c r="C73" s="171">
        <v>207</v>
      </c>
      <c r="D73" s="170">
        <v>22630</v>
      </c>
      <c r="E73" s="155">
        <f t="shared" ref="E73:E81" si="6">D73/B73</f>
        <v>228.58585858585857</v>
      </c>
    </row>
    <row r="74" spans="1:5" x14ac:dyDescent="0.3">
      <c r="A74" s="156" t="s">
        <v>45</v>
      </c>
      <c r="B74" s="170">
        <v>5566</v>
      </c>
      <c r="C74" s="171">
        <v>11741</v>
      </c>
      <c r="D74" s="170">
        <v>1322223</v>
      </c>
      <c r="E74" s="155">
        <f t="shared" si="6"/>
        <v>237.55353934602945</v>
      </c>
    </row>
    <row r="75" spans="1:5" x14ac:dyDescent="0.3">
      <c r="A75" s="156" t="s">
        <v>6</v>
      </c>
      <c r="B75" s="170">
        <v>8979</v>
      </c>
      <c r="C75" s="171">
        <v>18255</v>
      </c>
      <c r="D75" s="170">
        <v>2058787</v>
      </c>
      <c r="E75" s="155">
        <f t="shared" si="6"/>
        <v>229.2891190555741</v>
      </c>
    </row>
    <row r="76" spans="1:5" x14ac:dyDescent="0.3">
      <c r="A76" s="156" t="s">
        <v>46</v>
      </c>
      <c r="B76" s="170">
        <v>6786</v>
      </c>
      <c r="C76" s="171">
        <v>14571</v>
      </c>
      <c r="D76" s="170">
        <v>1647578</v>
      </c>
      <c r="E76" s="155">
        <f t="shared" si="6"/>
        <v>242.79074565281462</v>
      </c>
    </row>
    <row r="77" spans="1:5" x14ac:dyDescent="0.3">
      <c r="A77" s="156" t="s">
        <v>47</v>
      </c>
      <c r="B77" s="170">
        <v>5650</v>
      </c>
      <c r="C77" s="171">
        <v>11795</v>
      </c>
      <c r="D77" s="170">
        <v>1341702</v>
      </c>
      <c r="E77" s="155">
        <f t="shared" si="6"/>
        <v>237.46938053097344</v>
      </c>
    </row>
    <row r="78" spans="1:5" x14ac:dyDescent="0.3">
      <c r="A78" s="156" t="s">
        <v>48</v>
      </c>
      <c r="B78" s="170">
        <v>2384</v>
      </c>
      <c r="C78" s="171">
        <v>4980</v>
      </c>
      <c r="D78" s="170">
        <v>558485</v>
      </c>
      <c r="E78" s="155">
        <f t="shared" si="6"/>
        <v>234.26384228187919</v>
      </c>
    </row>
    <row r="79" spans="1:5" x14ac:dyDescent="0.3">
      <c r="A79" s="156" t="s">
        <v>49</v>
      </c>
      <c r="B79" s="170">
        <v>4207</v>
      </c>
      <c r="C79" s="171">
        <v>8771</v>
      </c>
      <c r="D79" s="170">
        <v>992691</v>
      </c>
      <c r="E79" s="155">
        <f t="shared" si="6"/>
        <v>235.96173044925123</v>
      </c>
    </row>
    <row r="80" spans="1:5" x14ac:dyDescent="0.3">
      <c r="A80" s="156" t="s">
        <v>50</v>
      </c>
      <c r="B80" s="170">
        <v>1660</v>
      </c>
      <c r="C80" s="171">
        <v>3434</v>
      </c>
      <c r="D80" s="170">
        <v>388882</v>
      </c>
      <c r="E80" s="155">
        <f t="shared" si="6"/>
        <v>234.26626506024095</v>
      </c>
    </row>
    <row r="81" spans="1:5" ht="19.5" thickBot="1" x14ac:dyDescent="0.35">
      <c r="A81" s="160" t="s">
        <v>51</v>
      </c>
      <c r="B81" s="173">
        <v>7557</v>
      </c>
      <c r="C81" s="184">
        <v>15808</v>
      </c>
      <c r="D81" s="173">
        <v>1776643</v>
      </c>
      <c r="E81" s="155">
        <f t="shared" si="6"/>
        <v>235.09898107714702</v>
      </c>
    </row>
    <row r="82" spans="1:5" ht="19.5" thickBot="1" x14ac:dyDescent="0.35">
      <c r="A82" s="135" t="s">
        <v>91</v>
      </c>
      <c r="B82" s="141">
        <f>SUM(B72:B81)</f>
        <v>44784</v>
      </c>
      <c r="C82" s="141">
        <f>SUM(C72:C81)</f>
        <v>93509</v>
      </c>
      <c r="D82" s="141">
        <f>SUM(D72:D81)</f>
        <v>10549474</v>
      </c>
      <c r="E82" s="179">
        <f>D82/B82</f>
        <v>235.56346016434441</v>
      </c>
    </row>
    <row r="83" spans="1:5" ht="19.5" thickBot="1" x14ac:dyDescent="0.35">
      <c r="A83" s="147"/>
      <c r="B83" s="148"/>
      <c r="C83" s="148"/>
      <c r="D83" s="148"/>
      <c r="E83" s="149"/>
    </row>
    <row r="84" spans="1:5" ht="19.5" thickBot="1" x14ac:dyDescent="0.35">
      <c r="A84" s="176" t="s">
        <v>7</v>
      </c>
      <c r="B84" s="177"/>
      <c r="C84" s="177"/>
      <c r="D84" s="177"/>
      <c r="E84" s="178"/>
    </row>
    <row r="85" spans="1:5" x14ac:dyDescent="0.3">
      <c r="A85" s="151" t="s">
        <v>52</v>
      </c>
      <c r="B85" s="180">
        <v>4551</v>
      </c>
      <c r="C85" s="181">
        <v>9500</v>
      </c>
      <c r="D85" s="182">
        <v>1064596</v>
      </c>
      <c r="E85" s="155">
        <f>D85/B85</f>
        <v>233.92573060865743</v>
      </c>
    </row>
    <row r="86" spans="1:5" x14ac:dyDescent="0.3">
      <c r="A86" s="156" t="s">
        <v>53</v>
      </c>
      <c r="B86" s="170">
        <v>6059</v>
      </c>
      <c r="C86" s="171">
        <v>13104</v>
      </c>
      <c r="D86" s="170">
        <v>1463959</v>
      </c>
      <c r="E86" s="155">
        <f t="shared" ref="E86:E93" si="7">D86/B86</f>
        <v>241.61726357484733</v>
      </c>
    </row>
    <row r="87" spans="1:5" x14ac:dyDescent="0.3">
      <c r="A87" s="156" t="s">
        <v>54</v>
      </c>
      <c r="B87" s="170">
        <v>3559</v>
      </c>
      <c r="C87" s="171">
        <v>7958</v>
      </c>
      <c r="D87" s="170">
        <v>888091</v>
      </c>
      <c r="E87" s="155">
        <f t="shared" si="7"/>
        <v>249.53385782523182</v>
      </c>
    </row>
    <row r="88" spans="1:5" x14ac:dyDescent="0.3">
      <c r="A88" s="156" t="s">
        <v>55</v>
      </c>
      <c r="B88" s="170">
        <v>1886</v>
      </c>
      <c r="C88" s="171">
        <v>3564</v>
      </c>
      <c r="D88" s="170">
        <v>400600</v>
      </c>
      <c r="E88" s="155">
        <f t="shared" si="7"/>
        <v>212.40721102863202</v>
      </c>
    </row>
    <row r="89" spans="1:5" x14ac:dyDescent="0.3">
      <c r="A89" s="156" t="s">
        <v>56</v>
      </c>
      <c r="B89" s="170">
        <v>4075</v>
      </c>
      <c r="C89" s="171">
        <v>8848</v>
      </c>
      <c r="D89" s="170">
        <v>986602</v>
      </c>
      <c r="E89" s="155">
        <f t="shared" si="7"/>
        <v>242.11092024539877</v>
      </c>
    </row>
    <row r="90" spans="1:5" x14ac:dyDescent="0.3">
      <c r="A90" s="156" t="s">
        <v>57</v>
      </c>
      <c r="B90" s="170">
        <v>1017</v>
      </c>
      <c r="C90" s="171">
        <v>2461</v>
      </c>
      <c r="D90" s="170">
        <v>273198</v>
      </c>
      <c r="E90" s="155">
        <f t="shared" si="7"/>
        <v>268.63126843657818</v>
      </c>
    </row>
    <row r="91" spans="1:5" x14ac:dyDescent="0.3">
      <c r="A91" s="156" t="s">
        <v>97</v>
      </c>
      <c r="B91" s="170">
        <f>6749+6093</f>
        <v>12842</v>
      </c>
      <c r="C91" s="171">
        <f>14137+11845</f>
        <v>25982</v>
      </c>
      <c r="D91" s="170">
        <f>1591893+1367675</f>
        <v>2959568</v>
      </c>
      <c r="E91" s="155">
        <f t="shared" si="7"/>
        <v>230.46005295125369</v>
      </c>
    </row>
    <row r="92" spans="1:5" x14ac:dyDescent="0.3">
      <c r="A92" s="185" t="s">
        <v>58</v>
      </c>
      <c r="B92" s="170">
        <v>3521</v>
      </c>
      <c r="C92" s="171">
        <v>7629</v>
      </c>
      <c r="D92" s="170">
        <v>850082</v>
      </c>
      <c r="E92" s="155">
        <f t="shared" si="7"/>
        <v>241.43197955126385</v>
      </c>
    </row>
    <row r="93" spans="1:5" ht="19.5" thickBot="1" x14ac:dyDescent="0.35">
      <c r="A93" s="156" t="s">
        <v>59</v>
      </c>
      <c r="B93" s="173">
        <v>5345</v>
      </c>
      <c r="C93" s="171">
        <v>11225</v>
      </c>
      <c r="D93" s="170">
        <v>1253648</v>
      </c>
      <c r="E93" s="155">
        <f t="shared" si="7"/>
        <v>234.54593077642656</v>
      </c>
    </row>
    <row r="94" spans="1:5" ht="19.5" thickBot="1" x14ac:dyDescent="0.35">
      <c r="A94" s="135" t="s">
        <v>91</v>
      </c>
      <c r="B94" s="141">
        <f>SUM(B85:B93)</f>
        <v>42855</v>
      </c>
      <c r="C94" s="141">
        <f>SUM(C85:C93)</f>
        <v>90271</v>
      </c>
      <c r="D94" s="141">
        <f>SUM(D85:D93)</f>
        <v>10140344</v>
      </c>
      <c r="E94" s="179">
        <f>D94/B94</f>
        <v>236.61985765954964</v>
      </c>
    </row>
    <row r="95" spans="1:5" ht="19.5" thickBot="1" x14ac:dyDescent="0.35">
      <c r="A95" s="147"/>
      <c r="B95" s="148"/>
      <c r="C95" s="148"/>
      <c r="D95" s="148"/>
      <c r="E95" s="149"/>
    </row>
    <row r="96" spans="1:5" ht="19.5" thickBot="1" x14ac:dyDescent="0.35">
      <c r="A96" s="140" t="s">
        <v>8</v>
      </c>
      <c r="B96" s="177"/>
      <c r="C96" s="177"/>
      <c r="D96" s="177"/>
      <c r="E96" s="178"/>
    </row>
    <row r="97" spans="1:5" x14ac:dyDescent="0.3">
      <c r="A97" s="186" t="s">
        <v>73</v>
      </c>
      <c r="B97" s="180">
        <f>3374+766</f>
        <v>4140</v>
      </c>
      <c r="C97" s="181">
        <f>8265+1801</f>
        <v>10066</v>
      </c>
      <c r="D97" s="182">
        <f>923613+205257</f>
        <v>1128870</v>
      </c>
      <c r="E97" s="155">
        <f>D97/B97</f>
        <v>272.67391304347825</v>
      </c>
    </row>
    <row r="98" spans="1:5" x14ac:dyDescent="0.3">
      <c r="A98" s="187" t="s">
        <v>60</v>
      </c>
      <c r="B98" s="170">
        <v>4609</v>
      </c>
      <c r="C98" s="171">
        <v>9702</v>
      </c>
      <c r="D98" s="170">
        <v>1083563</v>
      </c>
      <c r="E98" s="155">
        <f t="shared" ref="E98:E107" si="8">D98/B98</f>
        <v>235.09720112822737</v>
      </c>
    </row>
    <row r="99" spans="1:5" x14ac:dyDescent="0.3">
      <c r="A99" s="187" t="s">
        <v>61</v>
      </c>
      <c r="B99" s="170">
        <v>6445</v>
      </c>
      <c r="C99" s="171">
        <v>14199</v>
      </c>
      <c r="D99" s="170">
        <v>1591871</v>
      </c>
      <c r="E99" s="155">
        <f t="shared" si="8"/>
        <v>246.99317300232738</v>
      </c>
    </row>
    <row r="100" spans="1:5" x14ac:dyDescent="0.3">
      <c r="A100" s="156" t="s">
        <v>62</v>
      </c>
      <c r="B100" s="170">
        <v>3758</v>
      </c>
      <c r="C100" s="171">
        <v>8611</v>
      </c>
      <c r="D100" s="170">
        <v>962084</v>
      </c>
      <c r="E100" s="155">
        <f t="shared" si="8"/>
        <v>256.00957956359764</v>
      </c>
    </row>
    <row r="101" spans="1:5" x14ac:dyDescent="0.3">
      <c r="A101" s="156" t="s">
        <v>63</v>
      </c>
      <c r="B101" s="170">
        <v>3173</v>
      </c>
      <c r="C101" s="171">
        <v>7964</v>
      </c>
      <c r="D101" s="170">
        <v>890528</v>
      </c>
      <c r="E101" s="155">
        <f t="shared" si="8"/>
        <v>280.6580523164198</v>
      </c>
    </row>
    <row r="102" spans="1:5" x14ac:dyDescent="0.3">
      <c r="A102" s="156" t="s">
        <v>64</v>
      </c>
      <c r="B102" s="170">
        <v>6989</v>
      </c>
      <c r="C102" s="171">
        <v>16370</v>
      </c>
      <c r="D102" s="170">
        <v>1807230</v>
      </c>
      <c r="E102" s="155">
        <f t="shared" si="8"/>
        <v>258.58205751895838</v>
      </c>
    </row>
    <row r="103" spans="1:5" x14ac:dyDescent="0.3">
      <c r="A103" s="156" t="s">
        <v>65</v>
      </c>
      <c r="B103" s="170">
        <v>4883</v>
      </c>
      <c r="C103" s="171">
        <v>11601</v>
      </c>
      <c r="D103" s="170">
        <v>1280374</v>
      </c>
      <c r="E103" s="155">
        <f t="shared" si="8"/>
        <v>262.21052631578948</v>
      </c>
    </row>
    <row r="104" spans="1:5" x14ac:dyDescent="0.3">
      <c r="A104" s="156" t="s">
        <v>66</v>
      </c>
      <c r="B104" s="170">
        <v>4023</v>
      </c>
      <c r="C104" s="171">
        <v>9822</v>
      </c>
      <c r="D104" s="170">
        <v>1082152</v>
      </c>
      <c r="E104" s="155">
        <f t="shared" si="8"/>
        <v>268.99130002485708</v>
      </c>
    </row>
    <row r="105" spans="1:5" x14ac:dyDescent="0.3">
      <c r="A105" s="156" t="s">
        <v>119</v>
      </c>
      <c r="B105" s="170">
        <f>5749+6825+13473</f>
        <v>26047</v>
      </c>
      <c r="C105" s="171">
        <f>12202+16461+30612</f>
        <v>59275</v>
      </c>
      <c r="D105" s="170">
        <f>1371933+1829910+3456459</f>
        <v>6658302</v>
      </c>
      <c r="E105" s="155">
        <f t="shared" si="8"/>
        <v>255.62644450416553</v>
      </c>
    </row>
    <row r="106" spans="1:5" x14ac:dyDescent="0.3">
      <c r="A106" s="156" t="s">
        <v>67</v>
      </c>
      <c r="B106" s="170">
        <v>4639</v>
      </c>
      <c r="C106" s="171">
        <v>11022</v>
      </c>
      <c r="D106" s="170">
        <v>1230727</v>
      </c>
      <c r="E106" s="155">
        <f t="shared" si="8"/>
        <v>265.3000646691097</v>
      </c>
    </row>
    <row r="107" spans="1:5" ht="19.5" thickBot="1" x14ac:dyDescent="0.35">
      <c r="A107" s="156" t="s">
        <v>68</v>
      </c>
      <c r="B107" s="173">
        <v>6850</v>
      </c>
      <c r="C107" s="171">
        <v>15204</v>
      </c>
      <c r="D107" s="170">
        <v>1683174</v>
      </c>
      <c r="E107" s="155">
        <f t="shared" si="8"/>
        <v>245.71883211678832</v>
      </c>
    </row>
    <row r="108" spans="1:5" ht="19.5" thickBot="1" x14ac:dyDescent="0.35">
      <c r="A108" s="135" t="s">
        <v>91</v>
      </c>
      <c r="B108" s="141">
        <f>SUM(B97:B107)</f>
        <v>75556</v>
      </c>
      <c r="C108" s="141">
        <f>SUM(C97:C107)</f>
        <v>173836</v>
      </c>
      <c r="D108" s="141">
        <f>SUM(D97:D107)</f>
        <v>19398875</v>
      </c>
      <c r="E108" s="179">
        <f>D108/B108</f>
        <v>256.74830589231829</v>
      </c>
    </row>
    <row r="109" spans="1:5" ht="19.5" thickBot="1" x14ac:dyDescent="0.35">
      <c r="A109" s="147"/>
      <c r="B109" s="148"/>
      <c r="C109" s="148"/>
      <c r="D109" s="148"/>
      <c r="E109" s="149"/>
    </row>
    <row r="110" spans="1:5" ht="19.5" thickBot="1" x14ac:dyDescent="0.35">
      <c r="A110" s="176" t="s">
        <v>9</v>
      </c>
      <c r="B110" s="177"/>
      <c r="C110" s="177"/>
      <c r="D110" s="177"/>
      <c r="E110" s="178"/>
    </row>
    <row r="111" spans="1:5" x14ac:dyDescent="0.3">
      <c r="A111" s="151" t="s">
        <v>99</v>
      </c>
      <c r="B111" s="180">
        <v>1197</v>
      </c>
      <c r="C111" s="181">
        <v>2935</v>
      </c>
      <c r="D111" s="182">
        <v>330545</v>
      </c>
      <c r="E111" s="155">
        <f>D111/B111</f>
        <v>276.14452798663325</v>
      </c>
    </row>
    <row r="112" spans="1:5" x14ac:dyDescent="0.3">
      <c r="A112" s="156" t="s">
        <v>100</v>
      </c>
      <c r="B112" s="170">
        <f>3666+1325+4037</f>
        <v>9028</v>
      </c>
      <c r="C112" s="171">
        <f>7820+2830+8140</f>
        <v>18790</v>
      </c>
      <c r="D112" s="170">
        <f>876629+316061+928984</f>
        <v>2121674</v>
      </c>
      <c r="E112" s="155">
        <f>D112/B112</f>
        <v>235.01041205139566</v>
      </c>
    </row>
    <row r="113" spans="1:5" x14ac:dyDescent="0.3">
      <c r="A113" s="156" t="s">
        <v>101</v>
      </c>
      <c r="B113" s="170">
        <f>5626+4970+4747+6707+6109</f>
        <v>28159</v>
      </c>
      <c r="C113" s="171">
        <f>10048+11327+10136+14920+13988</f>
        <v>60419</v>
      </c>
      <c r="D113" s="170">
        <f>1161328+1274580+1160965+1676892+1566015</f>
        <v>6839780</v>
      </c>
      <c r="E113" s="155">
        <f>D113/B113</f>
        <v>242.89854043112325</v>
      </c>
    </row>
    <row r="114" spans="1:5" ht="19.5" thickBot="1" x14ac:dyDescent="0.35">
      <c r="A114" s="185" t="s">
        <v>102</v>
      </c>
      <c r="B114" s="173">
        <f>5980+4452</f>
        <v>10432</v>
      </c>
      <c r="C114" s="171">
        <f>13490+7901</f>
        <v>21391</v>
      </c>
      <c r="D114" s="170">
        <f>1533670+908498</f>
        <v>2442168</v>
      </c>
      <c r="E114" s="155">
        <f>D114/B114</f>
        <v>234.10352760736197</v>
      </c>
    </row>
    <row r="115" spans="1:5" ht="19.5" thickBot="1" x14ac:dyDescent="0.35">
      <c r="A115" s="135" t="s">
        <v>91</v>
      </c>
      <c r="B115" s="141">
        <f>SUM(B111:B114)</f>
        <v>48816</v>
      </c>
      <c r="C115" s="141">
        <f>SUM(C111:C114)</f>
        <v>103535</v>
      </c>
      <c r="D115" s="141">
        <f>SUM(D111:D114)</f>
        <v>11734167</v>
      </c>
      <c r="E115" s="179">
        <f>D115/B115</f>
        <v>240.37543018682399</v>
      </c>
    </row>
    <row r="116" spans="1:5" ht="19.5" thickBot="1" x14ac:dyDescent="0.35">
      <c r="A116" s="147"/>
      <c r="B116" s="148"/>
      <c r="C116" s="148"/>
      <c r="D116" s="148"/>
      <c r="E116" s="149"/>
    </row>
    <row r="117" spans="1:5" ht="19.5" thickBot="1" x14ac:dyDescent="0.35">
      <c r="A117" s="134" t="s">
        <v>74</v>
      </c>
      <c r="B117" s="142">
        <f>B15+B29+B41+B51+B60+B69+B82+B94+B108+B115</f>
        <v>513023</v>
      </c>
      <c r="C117" s="142">
        <f>C15+C29+C41+C51+C60+C69+C82+C94+C108+C115</f>
        <v>1109677</v>
      </c>
      <c r="D117" s="142">
        <f>D15+D29+D41+D51+D60+D69+D82+D94+D108+D115</f>
        <v>124615062</v>
      </c>
      <c r="E117" s="178">
        <f>SUM(E8:E114)</f>
        <v>21706.336713084875</v>
      </c>
    </row>
  </sheetData>
  <mergeCells count="5">
    <mergeCell ref="A5:E5"/>
    <mergeCell ref="A1:E1"/>
    <mergeCell ref="A2:E2"/>
    <mergeCell ref="A3:E3"/>
    <mergeCell ref="A4:E4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7"/>
  <sheetViews>
    <sheetView topLeftCell="A100" zoomScale="83" zoomScaleNormal="83" workbookViewId="0">
      <selection activeCell="A44" sqref="A44"/>
    </sheetView>
  </sheetViews>
  <sheetFormatPr defaultRowHeight="18.75" x14ac:dyDescent="0.3"/>
  <cols>
    <col min="1" max="1" width="24.5703125" style="150" customWidth="1"/>
    <col min="2" max="5" width="15.7109375" style="64" customWidth="1"/>
    <col min="6" max="6" width="9.140625" style="64"/>
    <col min="7" max="7" width="13.7109375" style="275" hidden="1" customWidth="1"/>
    <col min="8" max="8" width="13.140625" style="275" hidden="1" customWidth="1"/>
    <col min="9" max="16" width="9.140625" style="18"/>
    <col min="17" max="16384" width="9.140625" style="1"/>
  </cols>
  <sheetData>
    <row r="1" spans="1:8" x14ac:dyDescent="0.3">
      <c r="A1" s="354" t="s">
        <v>10</v>
      </c>
      <c r="B1" s="354"/>
      <c r="C1" s="354"/>
      <c r="D1" s="354"/>
      <c r="E1" s="354"/>
      <c r="G1" s="283"/>
      <c r="H1" s="283"/>
    </row>
    <row r="2" spans="1:8" x14ac:dyDescent="0.3">
      <c r="A2" s="354" t="s">
        <v>71</v>
      </c>
      <c r="B2" s="354"/>
      <c r="C2" s="354"/>
      <c r="D2" s="354"/>
      <c r="E2" s="354"/>
      <c r="G2" s="283"/>
      <c r="H2" s="283"/>
    </row>
    <row r="3" spans="1:8" x14ac:dyDescent="0.3">
      <c r="A3" s="357" t="s">
        <v>112</v>
      </c>
      <c r="B3" s="357"/>
      <c r="C3" s="357"/>
      <c r="D3" s="357"/>
      <c r="E3" s="357"/>
      <c r="G3" s="283"/>
      <c r="H3" s="283"/>
    </row>
    <row r="4" spans="1:8" x14ac:dyDescent="0.3">
      <c r="A4" s="354" t="s">
        <v>129</v>
      </c>
      <c r="B4" s="354"/>
      <c r="C4" s="354"/>
      <c r="D4" s="354"/>
      <c r="E4" s="354"/>
      <c r="G4" s="283"/>
      <c r="H4" s="283"/>
    </row>
    <row r="5" spans="1:8" ht="19.5" thickBot="1" x14ac:dyDescent="0.35">
      <c r="A5" s="354"/>
      <c r="B5" s="358"/>
      <c r="C5" s="358"/>
      <c r="D5" s="358"/>
      <c r="E5" s="358"/>
      <c r="G5" s="283"/>
      <c r="H5" s="283"/>
    </row>
    <row r="6" spans="1:8" ht="57" thickBot="1" x14ac:dyDescent="0.35">
      <c r="A6" s="188"/>
      <c r="B6" s="189" t="s">
        <v>75</v>
      </c>
      <c r="C6" s="190" t="s">
        <v>76</v>
      </c>
      <c r="D6" s="190" t="s">
        <v>77</v>
      </c>
      <c r="E6" s="190" t="s">
        <v>78</v>
      </c>
      <c r="G6" s="362" t="s">
        <v>153</v>
      </c>
      <c r="H6" s="362"/>
    </row>
    <row r="7" spans="1:8" ht="21.75" customHeight="1" thickBot="1" x14ac:dyDescent="0.35">
      <c r="A7" s="176" t="s">
        <v>0</v>
      </c>
      <c r="B7" s="203"/>
      <c r="C7" s="203"/>
      <c r="D7" s="203"/>
      <c r="E7" s="138"/>
      <c r="G7" s="276" t="s">
        <v>154</v>
      </c>
      <c r="H7" s="276" t="s">
        <v>155</v>
      </c>
    </row>
    <row r="8" spans="1:8" x14ac:dyDescent="0.3">
      <c r="A8" s="151" t="s">
        <v>11</v>
      </c>
      <c r="B8" s="152">
        <v>5910</v>
      </c>
      <c r="C8" s="153">
        <f>G8+H8</f>
        <v>13536</v>
      </c>
      <c r="D8" s="154">
        <v>1493107</v>
      </c>
      <c r="E8" s="155">
        <f>D8/B8</f>
        <v>252.64077834179358</v>
      </c>
      <c r="G8" s="277">
        <v>5952</v>
      </c>
      <c r="H8" s="277">
        <v>7584</v>
      </c>
    </row>
    <row r="9" spans="1:8" x14ac:dyDescent="0.3">
      <c r="A9" s="156" t="s">
        <v>124</v>
      </c>
      <c r="B9" s="157">
        <v>9966</v>
      </c>
      <c r="C9" s="153">
        <f t="shared" ref="C9:C14" si="0">G9+H9</f>
        <v>16637</v>
      </c>
      <c r="D9" s="157">
        <v>2354996</v>
      </c>
      <c r="E9" s="155">
        <f t="shared" ref="E9:E14" si="1">D9/B9</f>
        <v>236.30303030303031</v>
      </c>
      <c r="G9" s="277">
        <v>9053</v>
      </c>
      <c r="H9" s="277">
        <f>SUM(H8)</f>
        <v>7584</v>
      </c>
    </row>
    <row r="10" spans="1:8" x14ac:dyDescent="0.3">
      <c r="A10" s="156" t="s">
        <v>12</v>
      </c>
      <c r="B10" s="157">
        <v>6778</v>
      </c>
      <c r="C10" s="153">
        <f t="shared" si="0"/>
        <v>14363</v>
      </c>
      <c r="D10" s="157">
        <v>1597794</v>
      </c>
      <c r="E10" s="155">
        <f t="shared" si="1"/>
        <v>235.73236943051049</v>
      </c>
      <c r="G10" s="277">
        <v>6313</v>
      </c>
      <c r="H10" s="277">
        <v>8050</v>
      </c>
    </row>
    <row r="11" spans="1:8" x14ac:dyDescent="0.3">
      <c r="A11" s="156" t="s">
        <v>13</v>
      </c>
      <c r="B11" s="157">
        <v>1726</v>
      </c>
      <c r="C11" s="153">
        <f t="shared" si="0"/>
        <v>3816</v>
      </c>
      <c r="D11" s="157">
        <v>431495</v>
      </c>
      <c r="E11" s="155">
        <f t="shared" si="1"/>
        <v>249.99710312862109</v>
      </c>
      <c r="G11" s="277">
        <v>1824</v>
      </c>
      <c r="H11" s="277">
        <v>1992</v>
      </c>
    </row>
    <row r="12" spans="1:8" x14ac:dyDescent="0.3">
      <c r="A12" s="156" t="s">
        <v>14</v>
      </c>
      <c r="B12" s="157">
        <v>7089</v>
      </c>
      <c r="C12" s="153">
        <f t="shared" si="0"/>
        <v>16135</v>
      </c>
      <c r="D12" s="157">
        <v>1808175</v>
      </c>
      <c r="E12" s="155">
        <f t="shared" si="1"/>
        <v>255.0677105374524</v>
      </c>
      <c r="G12" s="277">
        <v>7403</v>
      </c>
      <c r="H12" s="277">
        <v>8732</v>
      </c>
    </row>
    <row r="13" spans="1:8" x14ac:dyDescent="0.3">
      <c r="A13" s="156" t="s">
        <v>15</v>
      </c>
      <c r="B13" s="157">
        <v>2493</v>
      </c>
      <c r="C13" s="153">
        <f t="shared" si="0"/>
        <v>5071</v>
      </c>
      <c r="D13" s="157">
        <v>569761</v>
      </c>
      <c r="E13" s="155">
        <f t="shared" si="1"/>
        <v>228.54432410750101</v>
      </c>
      <c r="G13" s="277">
        <v>2262</v>
      </c>
      <c r="H13" s="277">
        <v>2809</v>
      </c>
    </row>
    <row r="14" spans="1:8" ht="19.5" thickBot="1" x14ac:dyDescent="0.35">
      <c r="A14" s="160" t="s">
        <v>72</v>
      </c>
      <c r="B14" s="161">
        <v>8745</v>
      </c>
      <c r="C14" s="153">
        <f t="shared" si="0"/>
        <v>18058</v>
      </c>
      <c r="D14" s="163">
        <v>2045554</v>
      </c>
      <c r="E14" s="155">
        <f t="shared" si="1"/>
        <v>233.9112635791881</v>
      </c>
      <c r="G14" s="277">
        <v>8094</v>
      </c>
      <c r="H14" s="277">
        <v>9964</v>
      </c>
    </row>
    <row r="15" spans="1:8" ht="19.5" thickBot="1" x14ac:dyDescent="0.35">
      <c r="A15" s="135" t="s">
        <v>85</v>
      </c>
      <c r="B15" s="192">
        <f>SUM(B8:B14)</f>
        <v>42707</v>
      </c>
      <c r="C15" s="192">
        <f>SUM(C8:C14)</f>
        <v>87616</v>
      </c>
      <c r="D15" s="192">
        <f>SUM(D8:D14)</f>
        <v>10300882</v>
      </c>
      <c r="E15" s="179">
        <f>D15/B15</f>
        <v>241.19891352705645</v>
      </c>
      <c r="G15" s="277"/>
      <c r="H15" s="277"/>
    </row>
    <row r="16" spans="1:8" ht="19.5" thickBot="1" x14ac:dyDescent="0.35">
      <c r="A16" s="144"/>
      <c r="B16" s="145"/>
      <c r="C16" s="145"/>
      <c r="D16" s="145"/>
      <c r="E16" s="145"/>
      <c r="G16" s="277"/>
      <c r="H16" s="277"/>
    </row>
    <row r="17" spans="1:16" ht="19.5" thickBot="1" x14ac:dyDescent="0.35">
      <c r="A17" s="188" t="s">
        <v>1</v>
      </c>
      <c r="B17" s="204"/>
      <c r="C17" s="204"/>
      <c r="D17" s="204"/>
      <c r="E17" s="183"/>
      <c r="G17" s="277"/>
      <c r="H17" s="277"/>
    </row>
    <row r="18" spans="1:16" s="2" customFormat="1" x14ac:dyDescent="0.3">
      <c r="A18" s="205" t="s">
        <v>125</v>
      </c>
      <c r="B18" s="157">
        <v>17363</v>
      </c>
      <c r="C18" s="158">
        <f>G18+H18</f>
        <v>34889</v>
      </c>
      <c r="D18" s="157">
        <v>3992256</v>
      </c>
      <c r="E18" s="155">
        <f>D18/B18</f>
        <v>229.92892933248862</v>
      </c>
      <c r="F18" s="193"/>
      <c r="G18" s="277">
        <v>15102</v>
      </c>
      <c r="H18" s="277">
        <v>19787</v>
      </c>
      <c r="I18" s="42"/>
      <c r="J18" s="42"/>
      <c r="K18" s="42"/>
      <c r="L18" s="42"/>
      <c r="M18" s="42"/>
      <c r="N18" s="42"/>
      <c r="O18" s="42"/>
      <c r="P18" s="42"/>
    </row>
    <row r="19" spans="1:16" x14ac:dyDescent="0.3">
      <c r="A19" s="151" t="s">
        <v>16</v>
      </c>
      <c r="B19" s="182">
        <v>4836</v>
      </c>
      <c r="C19" s="158">
        <f>SUM(G19+H19)</f>
        <v>10113</v>
      </c>
      <c r="D19" s="182">
        <v>1146503</v>
      </c>
      <c r="E19" s="155">
        <f t="shared" ref="E19:E28" si="2">D19/B19</f>
        <v>237.07671629445824</v>
      </c>
      <c r="G19" s="277">
        <v>4330</v>
      </c>
      <c r="H19" s="277">
        <v>5783</v>
      </c>
    </row>
    <row r="20" spans="1:16" x14ac:dyDescent="0.3">
      <c r="A20" s="156" t="s">
        <v>17</v>
      </c>
      <c r="B20" s="170">
        <v>6127</v>
      </c>
      <c r="C20" s="158">
        <f t="shared" ref="C20:C28" si="3">G20+H20</f>
        <v>12988</v>
      </c>
      <c r="D20" s="170">
        <v>1452358</v>
      </c>
      <c r="E20" s="155">
        <f t="shared" si="2"/>
        <v>237.04227191121265</v>
      </c>
      <c r="G20" s="277">
        <v>5799</v>
      </c>
      <c r="H20" s="277">
        <v>7189</v>
      </c>
    </row>
    <row r="21" spans="1:16" x14ac:dyDescent="0.3">
      <c r="A21" s="156" t="s">
        <v>18</v>
      </c>
      <c r="B21" s="170">
        <v>3940</v>
      </c>
      <c r="C21" s="158">
        <f t="shared" si="3"/>
        <v>8800</v>
      </c>
      <c r="D21" s="170">
        <v>980807</v>
      </c>
      <c r="E21" s="155">
        <f t="shared" si="2"/>
        <v>248.93578680203046</v>
      </c>
      <c r="G21" s="277">
        <v>3979</v>
      </c>
      <c r="H21" s="277">
        <v>4821</v>
      </c>
    </row>
    <row r="22" spans="1:16" x14ac:dyDescent="0.3">
      <c r="A22" s="156" t="s">
        <v>19</v>
      </c>
      <c r="B22" s="170">
        <v>2548</v>
      </c>
      <c r="C22" s="158">
        <f t="shared" si="3"/>
        <v>5643</v>
      </c>
      <c r="D22" s="170">
        <v>630296</v>
      </c>
      <c r="E22" s="155">
        <f t="shared" si="2"/>
        <v>247.36891679748823</v>
      </c>
      <c r="G22" s="277">
        <v>2488</v>
      </c>
      <c r="H22" s="277">
        <v>3155</v>
      </c>
    </row>
    <row r="23" spans="1:16" x14ac:dyDescent="0.3">
      <c r="A23" s="156" t="s">
        <v>20</v>
      </c>
      <c r="B23" s="170">
        <v>6914</v>
      </c>
      <c r="C23" s="158">
        <f t="shared" si="3"/>
        <v>14810</v>
      </c>
      <c r="D23" s="170">
        <v>1663317</v>
      </c>
      <c r="E23" s="155">
        <f t="shared" si="2"/>
        <v>240.57231703789412</v>
      </c>
      <c r="G23" s="277">
        <v>6507</v>
      </c>
      <c r="H23" s="277">
        <v>8303</v>
      </c>
    </row>
    <row r="24" spans="1:16" x14ac:dyDescent="0.3">
      <c r="A24" s="156" t="s">
        <v>21</v>
      </c>
      <c r="B24" s="170">
        <v>6259</v>
      </c>
      <c r="C24" s="158">
        <f t="shared" si="3"/>
        <v>14186</v>
      </c>
      <c r="D24" s="170">
        <v>1595572</v>
      </c>
      <c r="E24" s="155">
        <f t="shared" si="2"/>
        <v>254.9244288224956</v>
      </c>
      <c r="G24" s="277">
        <v>6644</v>
      </c>
      <c r="H24" s="277">
        <v>7542</v>
      </c>
    </row>
    <row r="25" spans="1:16" x14ac:dyDescent="0.3">
      <c r="A25" s="156" t="s">
        <v>69</v>
      </c>
      <c r="B25" s="170">
        <v>8162</v>
      </c>
      <c r="C25" s="158">
        <f t="shared" si="3"/>
        <v>16791</v>
      </c>
      <c r="D25" s="170">
        <v>1903035</v>
      </c>
      <c r="E25" s="155">
        <f t="shared" si="2"/>
        <v>233.1579269786817</v>
      </c>
      <c r="G25" s="277">
        <v>7085</v>
      </c>
      <c r="H25" s="277">
        <v>9706</v>
      </c>
    </row>
    <row r="26" spans="1:16" x14ac:dyDescent="0.3">
      <c r="A26" s="156" t="s">
        <v>22</v>
      </c>
      <c r="B26" s="170">
        <v>5273</v>
      </c>
      <c r="C26" s="158">
        <f t="shared" si="3"/>
        <v>12679</v>
      </c>
      <c r="D26" s="170">
        <v>1399831</v>
      </c>
      <c r="E26" s="155">
        <f t="shared" si="2"/>
        <v>265.47145837284279</v>
      </c>
      <c r="G26" s="277">
        <v>5741</v>
      </c>
      <c r="H26" s="277">
        <v>6938</v>
      </c>
    </row>
    <row r="27" spans="1:16" x14ac:dyDescent="0.3">
      <c r="A27" s="156" t="s">
        <v>23</v>
      </c>
      <c r="B27" s="170">
        <v>4477</v>
      </c>
      <c r="C27" s="158">
        <f t="shared" si="3"/>
        <v>9905</v>
      </c>
      <c r="D27" s="170">
        <v>1094525</v>
      </c>
      <c r="E27" s="155">
        <f t="shared" si="2"/>
        <v>244.47732856823765</v>
      </c>
      <c r="G27" s="277">
        <v>4415</v>
      </c>
      <c r="H27" s="277">
        <v>5490</v>
      </c>
    </row>
    <row r="28" spans="1:16" ht="19.5" thickBot="1" x14ac:dyDescent="0.35">
      <c r="A28" s="172" t="s">
        <v>87</v>
      </c>
      <c r="B28" s="173">
        <v>6422</v>
      </c>
      <c r="C28" s="158">
        <f t="shared" si="3"/>
        <v>14588</v>
      </c>
      <c r="D28" s="175">
        <v>1643941</v>
      </c>
      <c r="E28" s="155">
        <f t="shared" si="2"/>
        <v>255.98582995951418</v>
      </c>
      <c r="G28" s="277">
        <v>6778</v>
      </c>
      <c r="H28" s="277">
        <v>7810</v>
      </c>
    </row>
    <row r="29" spans="1:16" ht="19.5" thickBot="1" x14ac:dyDescent="0.35">
      <c r="A29" s="135" t="s">
        <v>88</v>
      </c>
      <c r="B29" s="141">
        <f>SUM(B18:B28)</f>
        <v>72321</v>
      </c>
      <c r="C29" s="141">
        <f>SUM(C18:C28)</f>
        <v>155392</v>
      </c>
      <c r="D29" s="141">
        <f>SUM(D18:D28)</f>
        <v>17502441</v>
      </c>
      <c r="E29" s="179">
        <f>D29/B29</f>
        <v>242.01049487700669</v>
      </c>
      <c r="G29" s="277"/>
      <c r="H29" s="277"/>
    </row>
    <row r="30" spans="1:16" ht="19.5" thickBot="1" x14ac:dyDescent="0.35">
      <c r="A30" s="144"/>
      <c r="B30" s="146"/>
      <c r="C30" s="146"/>
      <c r="D30" s="146"/>
      <c r="E30" s="145"/>
      <c r="G30" s="277"/>
      <c r="H30" s="277"/>
    </row>
    <row r="31" spans="1:16" ht="19.5" thickBot="1" x14ac:dyDescent="0.35">
      <c r="A31" s="176" t="s">
        <v>2</v>
      </c>
      <c r="B31" s="177"/>
      <c r="C31" s="177"/>
      <c r="D31" s="177"/>
      <c r="E31" s="178"/>
      <c r="G31" s="277"/>
      <c r="H31" s="277"/>
    </row>
    <row r="32" spans="1:16" x14ac:dyDescent="0.3">
      <c r="A32" s="151" t="s">
        <v>24</v>
      </c>
      <c r="B32" s="180">
        <v>20678</v>
      </c>
      <c r="C32" s="181">
        <v>43792</v>
      </c>
      <c r="D32" s="182">
        <v>4910769</v>
      </c>
      <c r="E32" s="155">
        <f>D32/B32</f>
        <v>237.48761969242673</v>
      </c>
      <c r="G32" s="277">
        <v>5693</v>
      </c>
      <c r="H32" s="277">
        <v>8851</v>
      </c>
    </row>
    <row r="33" spans="1:8" x14ac:dyDescent="0.3">
      <c r="A33" s="156" t="s">
        <v>25</v>
      </c>
      <c r="B33" s="170">
        <v>3838</v>
      </c>
      <c r="C33" s="181">
        <f t="shared" ref="C33:C40" si="4">G33+H33</f>
        <v>8591</v>
      </c>
      <c r="D33" s="170">
        <v>969227</v>
      </c>
      <c r="E33" s="155">
        <f t="shared" ref="E33:E40" si="5">D33/B33</f>
        <v>252.53439291297551</v>
      </c>
      <c r="G33" s="277">
        <v>3300</v>
      </c>
      <c r="H33" s="277">
        <v>5291</v>
      </c>
    </row>
    <row r="34" spans="1:8" x14ac:dyDescent="0.3">
      <c r="A34" s="156" t="s">
        <v>26</v>
      </c>
      <c r="B34" s="170">
        <v>6351</v>
      </c>
      <c r="C34" s="181">
        <f t="shared" si="4"/>
        <v>14406</v>
      </c>
      <c r="D34" s="170">
        <v>1601096</v>
      </c>
      <c r="E34" s="155">
        <f t="shared" si="5"/>
        <v>252.10140135411746</v>
      </c>
      <c r="G34" s="277">
        <v>6441</v>
      </c>
      <c r="H34" s="277">
        <v>7965</v>
      </c>
    </row>
    <row r="35" spans="1:8" x14ac:dyDescent="0.3">
      <c r="A35" s="156" t="s">
        <v>27</v>
      </c>
      <c r="B35" s="170">
        <v>3964</v>
      </c>
      <c r="C35" s="181">
        <f t="shared" si="4"/>
        <v>8621</v>
      </c>
      <c r="D35" s="170">
        <v>956218</v>
      </c>
      <c r="E35" s="155">
        <f t="shared" si="5"/>
        <v>241.22552976791121</v>
      </c>
      <c r="G35" s="277">
        <v>3451</v>
      </c>
      <c r="H35" s="277">
        <v>5170</v>
      </c>
    </row>
    <row r="36" spans="1:8" x14ac:dyDescent="0.3">
      <c r="A36" s="156" t="s">
        <v>28</v>
      </c>
      <c r="B36" s="170">
        <v>4763</v>
      </c>
      <c r="C36" s="181">
        <f t="shared" si="4"/>
        <v>10470</v>
      </c>
      <c r="D36" s="170">
        <v>1148832</v>
      </c>
      <c r="E36" s="155">
        <f t="shared" si="5"/>
        <v>241.19924417384001</v>
      </c>
      <c r="G36" s="277">
        <v>4634</v>
      </c>
      <c r="H36" s="277">
        <v>5836</v>
      </c>
    </row>
    <row r="37" spans="1:8" x14ac:dyDescent="0.3">
      <c r="A37" s="156" t="s">
        <v>29</v>
      </c>
      <c r="B37" s="170">
        <v>7565</v>
      </c>
      <c r="C37" s="181">
        <f t="shared" si="4"/>
        <v>17281</v>
      </c>
      <c r="D37" s="170">
        <v>1916728</v>
      </c>
      <c r="E37" s="155">
        <f t="shared" si="5"/>
        <v>253.36787838730999</v>
      </c>
      <c r="G37" s="277">
        <v>7186</v>
      </c>
      <c r="H37" s="277">
        <v>10095</v>
      </c>
    </row>
    <row r="38" spans="1:8" x14ac:dyDescent="0.3">
      <c r="A38" s="156" t="s">
        <v>89</v>
      </c>
      <c r="B38" s="170">
        <v>9228</v>
      </c>
      <c r="C38" s="181">
        <f t="shared" si="4"/>
        <v>20186</v>
      </c>
      <c r="D38" s="170">
        <v>2249972</v>
      </c>
      <c r="E38" s="155">
        <f t="shared" si="5"/>
        <v>243.82011270047681</v>
      </c>
      <c r="G38" s="277">
        <v>7857</v>
      </c>
      <c r="H38" s="277">
        <v>12329</v>
      </c>
    </row>
    <row r="39" spans="1:8" x14ac:dyDescent="0.3">
      <c r="A39" s="156" t="s">
        <v>30</v>
      </c>
      <c r="B39" s="170">
        <v>5564</v>
      </c>
      <c r="C39" s="181">
        <f t="shared" si="4"/>
        <v>12398</v>
      </c>
      <c r="D39" s="170">
        <v>1382948</v>
      </c>
      <c r="E39" s="155">
        <f t="shared" si="5"/>
        <v>248.55283968368082</v>
      </c>
      <c r="G39" s="277">
        <v>5096</v>
      </c>
      <c r="H39" s="277">
        <v>7302</v>
      </c>
    </row>
    <row r="40" spans="1:8" ht="19.5" thickBot="1" x14ac:dyDescent="0.35">
      <c r="A40" s="172" t="s">
        <v>90</v>
      </c>
      <c r="B40" s="173">
        <v>9815</v>
      </c>
      <c r="C40" s="181">
        <f t="shared" si="4"/>
        <v>20823</v>
      </c>
      <c r="D40" s="175">
        <v>2351426</v>
      </c>
      <c r="E40" s="155">
        <f t="shared" si="5"/>
        <v>239.57473255221601</v>
      </c>
      <c r="G40" s="277">
        <v>8647</v>
      </c>
      <c r="H40" s="277">
        <v>12176</v>
      </c>
    </row>
    <row r="41" spans="1:8" ht="19.5" thickBot="1" x14ac:dyDescent="0.35">
      <c r="A41" s="135" t="s">
        <v>91</v>
      </c>
      <c r="B41" s="141">
        <f>SUM(B32:B40)</f>
        <v>71766</v>
      </c>
      <c r="C41" s="141">
        <f>SUM(C32:C40)</f>
        <v>156568</v>
      </c>
      <c r="D41" s="141">
        <f>SUM(D32:D40)</f>
        <v>17487216</v>
      </c>
      <c r="E41" s="179">
        <f>D41/B41</f>
        <v>243.66992726360672</v>
      </c>
      <c r="G41" s="277"/>
      <c r="H41" s="277"/>
    </row>
    <row r="42" spans="1:8" ht="19.5" thickBot="1" x14ac:dyDescent="0.35">
      <c r="A42" s="147"/>
      <c r="B42" s="148"/>
      <c r="C42" s="148"/>
      <c r="D42" s="148"/>
      <c r="E42" s="149"/>
      <c r="G42" s="277"/>
      <c r="H42" s="277"/>
    </row>
    <row r="43" spans="1:8" ht="19.5" thickBot="1" x14ac:dyDescent="0.35">
      <c r="A43" s="176" t="s">
        <v>3</v>
      </c>
      <c r="B43" s="177"/>
      <c r="C43" s="177"/>
      <c r="D43" s="177"/>
      <c r="E43" s="178"/>
      <c r="G43" s="277"/>
      <c r="H43" s="277"/>
    </row>
    <row r="44" spans="1:8" x14ac:dyDescent="0.3">
      <c r="A44" s="151" t="s">
        <v>31</v>
      </c>
      <c r="B44" s="180">
        <v>3697</v>
      </c>
      <c r="C44" s="181">
        <f>G44+H44</f>
        <v>7753</v>
      </c>
      <c r="D44" s="182">
        <v>873445</v>
      </c>
      <c r="E44" s="155">
        <f>D44/B44</f>
        <v>236.25777657560184</v>
      </c>
      <c r="G44" s="277">
        <v>3152</v>
      </c>
      <c r="H44" s="277">
        <v>4601</v>
      </c>
    </row>
    <row r="45" spans="1:8" x14ac:dyDescent="0.3">
      <c r="A45" s="156" t="s">
        <v>32</v>
      </c>
      <c r="B45" s="170">
        <v>6721</v>
      </c>
      <c r="C45" s="181">
        <f t="shared" ref="C45:C50" si="6">G45+H45</f>
        <v>15780</v>
      </c>
      <c r="D45" s="170">
        <v>1757194</v>
      </c>
      <c r="E45" s="155">
        <f t="shared" ref="E45:E50" si="7">D45/B45</f>
        <v>261.44829638446657</v>
      </c>
      <c r="G45" s="277">
        <v>7170</v>
      </c>
      <c r="H45" s="277">
        <v>8610</v>
      </c>
    </row>
    <row r="46" spans="1:8" x14ac:dyDescent="0.3">
      <c r="A46" s="156" t="s">
        <v>92</v>
      </c>
      <c r="B46" s="170">
        <v>16790</v>
      </c>
      <c r="C46" s="181">
        <f t="shared" si="6"/>
        <v>34591</v>
      </c>
      <c r="D46" s="170">
        <v>3858290</v>
      </c>
      <c r="E46" s="155">
        <f t="shared" si="7"/>
        <v>229.79690291840382</v>
      </c>
      <c r="G46" s="277">
        <v>13808</v>
      </c>
      <c r="H46" s="277">
        <v>20783</v>
      </c>
    </row>
    <row r="47" spans="1:8" x14ac:dyDescent="0.3">
      <c r="A47" s="156" t="s">
        <v>33</v>
      </c>
      <c r="B47" s="170">
        <v>5300</v>
      </c>
      <c r="C47" s="181">
        <f t="shared" si="6"/>
        <v>11682</v>
      </c>
      <c r="D47" s="170">
        <v>1296644</v>
      </c>
      <c r="E47" s="155">
        <f t="shared" si="7"/>
        <v>244.64981132075471</v>
      </c>
      <c r="G47" s="277">
        <v>5044</v>
      </c>
      <c r="H47" s="277">
        <v>6638</v>
      </c>
    </row>
    <row r="48" spans="1:8" x14ac:dyDescent="0.3">
      <c r="A48" s="156" t="s">
        <v>34</v>
      </c>
      <c r="B48" s="170">
        <v>4324</v>
      </c>
      <c r="C48" s="181">
        <f t="shared" si="6"/>
        <v>9150</v>
      </c>
      <c r="D48" s="170">
        <v>1033095</v>
      </c>
      <c r="E48" s="155">
        <f t="shared" si="7"/>
        <v>238.92113783533765</v>
      </c>
      <c r="G48" s="277">
        <v>4094</v>
      </c>
      <c r="H48" s="277">
        <v>5056</v>
      </c>
    </row>
    <row r="49" spans="1:8" x14ac:dyDescent="0.3">
      <c r="A49" s="156" t="s">
        <v>35</v>
      </c>
      <c r="B49" s="170">
        <v>4057</v>
      </c>
      <c r="C49" s="181">
        <f t="shared" si="6"/>
        <v>8227</v>
      </c>
      <c r="D49" s="170">
        <v>926724</v>
      </c>
      <c r="E49" s="155">
        <f t="shared" si="7"/>
        <v>228.42593049051024</v>
      </c>
      <c r="G49" s="277">
        <v>3456</v>
      </c>
      <c r="H49" s="277">
        <v>4771</v>
      </c>
    </row>
    <row r="50" spans="1:8" ht="19.5" thickBot="1" x14ac:dyDescent="0.35">
      <c r="A50" s="156" t="s">
        <v>36</v>
      </c>
      <c r="B50" s="173">
        <v>6135</v>
      </c>
      <c r="C50" s="181">
        <f t="shared" si="6"/>
        <v>12809</v>
      </c>
      <c r="D50" s="170">
        <v>1431418</v>
      </c>
      <c r="E50" s="155">
        <f t="shared" si="7"/>
        <v>233.31996740016299</v>
      </c>
      <c r="G50" s="277">
        <v>5656</v>
      </c>
      <c r="H50" s="277">
        <v>7153</v>
      </c>
    </row>
    <row r="51" spans="1:8" ht="19.5" thickBot="1" x14ac:dyDescent="0.35">
      <c r="A51" s="135" t="s">
        <v>91</v>
      </c>
      <c r="B51" s="141">
        <f>SUM(B44:B50)</f>
        <v>47024</v>
      </c>
      <c r="C51" s="141">
        <f>SUM(C44:C50)</f>
        <v>99992</v>
      </c>
      <c r="D51" s="141">
        <f>SUM(D44:D50)</f>
        <v>11176810</v>
      </c>
      <c r="E51" s="179">
        <f>D51/B51</f>
        <v>237.68309799251446</v>
      </c>
      <c r="G51" s="277"/>
      <c r="H51" s="277"/>
    </row>
    <row r="52" spans="1:8" ht="19.5" thickBot="1" x14ac:dyDescent="0.35">
      <c r="A52" s="147"/>
      <c r="B52" s="148"/>
      <c r="C52" s="148"/>
      <c r="D52" s="148"/>
      <c r="E52" s="149"/>
      <c r="G52" s="277"/>
      <c r="H52" s="277"/>
    </row>
    <row r="53" spans="1:8" ht="19.5" thickBot="1" x14ac:dyDescent="0.35">
      <c r="A53" s="176" t="s">
        <v>4</v>
      </c>
      <c r="B53" s="177"/>
      <c r="C53" s="177"/>
      <c r="D53" s="177"/>
      <c r="E53" s="178"/>
      <c r="G53" s="277"/>
      <c r="H53" s="277"/>
    </row>
    <row r="54" spans="1:8" x14ac:dyDescent="0.3">
      <c r="A54" s="151" t="s">
        <v>37</v>
      </c>
      <c r="B54" s="180">
        <v>6501</v>
      </c>
      <c r="C54" s="181">
        <f t="shared" ref="C54:C59" si="8">G54+H54</f>
        <v>14349</v>
      </c>
      <c r="D54" s="182">
        <v>1593566</v>
      </c>
      <c r="E54" s="155">
        <f t="shared" ref="E54:E60" si="9">D54/B54</f>
        <v>245.12628826334409</v>
      </c>
      <c r="G54" s="277">
        <v>5915</v>
      </c>
      <c r="H54" s="277">
        <v>8434</v>
      </c>
    </row>
    <row r="55" spans="1:8" x14ac:dyDescent="0.3">
      <c r="A55" s="156" t="s">
        <v>93</v>
      </c>
      <c r="B55" s="170">
        <v>14717</v>
      </c>
      <c r="C55" s="181">
        <f t="shared" si="8"/>
        <v>31079</v>
      </c>
      <c r="D55" s="170">
        <v>3472539</v>
      </c>
      <c r="E55" s="155">
        <f t="shared" si="9"/>
        <v>235.95427057144798</v>
      </c>
      <c r="G55" s="277">
        <v>11734</v>
      </c>
      <c r="H55" s="277">
        <v>19345</v>
      </c>
    </row>
    <row r="56" spans="1:8" x14ac:dyDescent="0.3">
      <c r="A56" s="156" t="s">
        <v>94</v>
      </c>
      <c r="B56" s="170">
        <v>4263</v>
      </c>
      <c r="C56" s="181">
        <f t="shared" si="8"/>
        <v>10053</v>
      </c>
      <c r="D56" s="170">
        <v>1125061</v>
      </c>
      <c r="E56" s="155">
        <f t="shared" si="9"/>
        <v>263.91297208538589</v>
      </c>
      <c r="G56" s="277">
        <v>3989</v>
      </c>
      <c r="H56" s="277">
        <v>6064</v>
      </c>
    </row>
    <row r="57" spans="1:8" x14ac:dyDescent="0.3">
      <c r="A57" s="156" t="s">
        <v>38</v>
      </c>
      <c r="B57" s="170">
        <v>3042</v>
      </c>
      <c r="C57" s="181">
        <f t="shared" si="8"/>
        <v>6520</v>
      </c>
      <c r="D57" s="170">
        <v>728582</v>
      </c>
      <c r="E57" s="155">
        <f t="shared" si="9"/>
        <v>239.50756081525313</v>
      </c>
      <c r="G57" s="277">
        <v>2694</v>
      </c>
      <c r="H57" s="277">
        <v>3826</v>
      </c>
    </row>
    <row r="58" spans="1:8" x14ac:dyDescent="0.3">
      <c r="A58" s="156" t="s">
        <v>95</v>
      </c>
      <c r="B58" s="170">
        <v>7393</v>
      </c>
      <c r="C58" s="181">
        <f t="shared" si="8"/>
        <v>15971</v>
      </c>
      <c r="D58" s="170">
        <v>1780015</v>
      </c>
      <c r="E58" s="155">
        <f t="shared" si="9"/>
        <v>240.77032327877723</v>
      </c>
      <c r="G58" s="277">
        <v>6651</v>
      </c>
      <c r="H58" s="277">
        <v>9320</v>
      </c>
    </row>
    <row r="59" spans="1:8" ht="19.5" thickBot="1" x14ac:dyDescent="0.35">
      <c r="A59" s="156" t="s">
        <v>96</v>
      </c>
      <c r="B59" s="173">
        <v>6547</v>
      </c>
      <c r="C59" s="181">
        <f t="shared" si="8"/>
        <v>13724</v>
      </c>
      <c r="D59" s="170">
        <v>1544680</v>
      </c>
      <c r="E59" s="155">
        <f t="shared" si="9"/>
        <v>235.93707041393003</v>
      </c>
      <c r="G59" s="277">
        <v>5600</v>
      </c>
      <c r="H59" s="277">
        <v>8124</v>
      </c>
    </row>
    <row r="60" spans="1:8" ht="19.5" thickBot="1" x14ac:dyDescent="0.35">
      <c r="A60" s="135" t="s">
        <v>91</v>
      </c>
      <c r="B60" s="141">
        <f>SUM(B54:B59)</f>
        <v>42463</v>
      </c>
      <c r="C60" s="141">
        <f>SUM(C54:C59)</f>
        <v>91696</v>
      </c>
      <c r="D60" s="141">
        <f>SUM(D54:D59)</f>
        <v>10244443</v>
      </c>
      <c r="E60" s="179">
        <f t="shared" si="9"/>
        <v>241.25575206650495</v>
      </c>
      <c r="G60" s="277"/>
      <c r="H60" s="277"/>
    </row>
    <row r="61" spans="1:8" ht="19.5" thickBot="1" x14ac:dyDescent="0.35">
      <c r="A61" s="147"/>
      <c r="B61" s="148"/>
      <c r="C61" s="148"/>
      <c r="D61" s="148"/>
      <c r="E61" s="149"/>
      <c r="G61" s="277"/>
      <c r="H61" s="277"/>
    </row>
    <row r="62" spans="1:8" ht="19.5" thickBot="1" x14ac:dyDescent="0.35">
      <c r="A62" s="176" t="s">
        <v>5</v>
      </c>
      <c r="B62" s="177"/>
      <c r="C62" s="177"/>
      <c r="D62" s="177"/>
      <c r="E62" s="178"/>
      <c r="G62" s="277"/>
      <c r="H62" s="277"/>
    </row>
    <row r="63" spans="1:8" x14ac:dyDescent="0.3">
      <c r="A63" s="151" t="s">
        <v>39</v>
      </c>
      <c r="B63" s="180">
        <v>3323</v>
      </c>
      <c r="C63" s="181">
        <f t="shared" ref="C63:C68" si="10">G63+H63</f>
        <v>7305</v>
      </c>
      <c r="D63" s="182">
        <v>813872</v>
      </c>
      <c r="E63" s="155">
        <f t="shared" ref="E63:E69" si="11">D63/B63</f>
        <v>244.92085464941317</v>
      </c>
      <c r="G63" s="277">
        <v>3165</v>
      </c>
      <c r="H63" s="277">
        <v>4140</v>
      </c>
    </row>
    <row r="64" spans="1:8" x14ac:dyDescent="0.3">
      <c r="A64" s="156" t="s">
        <v>40</v>
      </c>
      <c r="B64" s="170">
        <v>5388</v>
      </c>
      <c r="C64" s="181">
        <f t="shared" si="10"/>
        <v>10653</v>
      </c>
      <c r="D64" s="170">
        <v>1182658</v>
      </c>
      <c r="E64" s="155">
        <f t="shared" si="11"/>
        <v>219.49851521900518</v>
      </c>
      <c r="G64" s="277">
        <v>4574</v>
      </c>
      <c r="H64" s="277">
        <v>6079</v>
      </c>
    </row>
    <row r="65" spans="1:8" x14ac:dyDescent="0.3">
      <c r="A65" s="156" t="s">
        <v>5</v>
      </c>
      <c r="B65" s="170">
        <v>6608</v>
      </c>
      <c r="C65" s="181">
        <f t="shared" si="10"/>
        <v>14120</v>
      </c>
      <c r="D65" s="170">
        <v>1581024</v>
      </c>
      <c r="E65" s="155">
        <f t="shared" si="11"/>
        <v>239.25907990314769</v>
      </c>
      <c r="G65" s="277">
        <v>5975</v>
      </c>
      <c r="H65" s="277">
        <v>8145</v>
      </c>
    </row>
    <row r="66" spans="1:8" x14ac:dyDescent="0.3">
      <c r="A66" s="156" t="s">
        <v>41</v>
      </c>
      <c r="B66" s="170">
        <v>3368</v>
      </c>
      <c r="C66" s="181">
        <f t="shared" si="10"/>
        <v>7084</v>
      </c>
      <c r="D66" s="170">
        <v>796161</v>
      </c>
      <c r="E66" s="155">
        <f t="shared" si="11"/>
        <v>236.38984560570071</v>
      </c>
      <c r="G66" s="277">
        <v>3232</v>
      </c>
      <c r="H66" s="277">
        <v>3852</v>
      </c>
    </row>
    <row r="67" spans="1:8" x14ac:dyDescent="0.3">
      <c r="A67" s="156" t="s">
        <v>42</v>
      </c>
      <c r="B67" s="170">
        <v>4982</v>
      </c>
      <c r="C67" s="181">
        <f t="shared" si="10"/>
        <v>10577</v>
      </c>
      <c r="D67" s="170">
        <v>1187166</v>
      </c>
      <c r="E67" s="155">
        <f t="shared" si="11"/>
        <v>238.29104777197912</v>
      </c>
      <c r="G67" s="277">
        <v>4546</v>
      </c>
      <c r="H67" s="277">
        <v>6031</v>
      </c>
    </row>
    <row r="68" spans="1:8" ht="19.5" thickBot="1" x14ac:dyDescent="0.35">
      <c r="A68" s="160" t="s">
        <v>43</v>
      </c>
      <c r="B68" s="173">
        <v>3241</v>
      </c>
      <c r="C68" s="181">
        <f t="shared" si="10"/>
        <v>7372</v>
      </c>
      <c r="D68" s="173">
        <v>809263</v>
      </c>
      <c r="E68" s="155">
        <f t="shared" si="11"/>
        <v>249.69546436285097</v>
      </c>
      <c r="G68" s="277">
        <v>3227</v>
      </c>
      <c r="H68" s="277">
        <v>4145</v>
      </c>
    </row>
    <row r="69" spans="1:8" ht="19.5" thickBot="1" x14ac:dyDescent="0.35">
      <c r="A69" s="135" t="s">
        <v>91</v>
      </c>
      <c r="B69" s="141">
        <f>SUM(B63:B68)</f>
        <v>26910</v>
      </c>
      <c r="C69" s="141">
        <f>SUM(C63:C68)</f>
        <v>57111</v>
      </c>
      <c r="D69" s="141">
        <f>SUM(D63:D68)</f>
        <v>6370144</v>
      </c>
      <c r="E69" s="179">
        <f t="shared" si="11"/>
        <v>236.72032701597919</v>
      </c>
      <c r="G69" s="277"/>
      <c r="H69" s="277"/>
    </row>
    <row r="70" spans="1:8" ht="19.5" thickBot="1" x14ac:dyDescent="0.35">
      <c r="A70" s="147"/>
      <c r="B70" s="148"/>
      <c r="C70" s="148"/>
      <c r="D70" s="148"/>
      <c r="E70" s="149"/>
      <c r="G70" s="277"/>
      <c r="H70" s="277"/>
    </row>
    <row r="71" spans="1:8" ht="19.5" thickBot="1" x14ac:dyDescent="0.35">
      <c r="A71" s="176" t="s">
        <v>6</v>
      </c>
      <c r="B71" s="177"/>
      <c r="C71" s="177"/>
      <c r="D71" s="177"/>
      <c r="E71" s="178"/>
      <c r="G71" s="277"/>
      <c r="H71" s="277"/>
    </row>
    <row r="72" spans="1:8" x14ac:dyDescent="0.3">
      <c r="A72" s="151" t="s">
        <v>44</v>
      </c>
      <c r="B72" s="180">
        <v>1869</v>
      </c>
      <c r="C72" s="181">
        <f>G72+H72</f>
        <v>3899</v>
      </c>
      <c r="D72" s="182">
        <v>432035</v>
      </c>
      <c r="E72" s="155">
        <f>D72/B72</f>
        <v>231.15837346174425</v>
      </c>
      <c r="G72" s="277">
        <v>1553</v>
      </c>
      <c r="H72" s="277">
        <v>2346</v>
      </c>
    </row>
    <row r="73" spans="1:8" x14ac:dyDescent="0.3">
      <c r="A73" s="156" t="s">
        <v>70</v>
      </c>
      <c r="B73" s="170">
        <v>101</v>
      </c>
      <c r="C73" s="181">
        <f t="shared" ref="C73:C81" si="12">G73+H73</f>
        <v>212</v>
      </c>
      <c r="D73" s="170">
        <v>22953</v>
      </c>
      <c r="E73" s="155">
        <f t="shared" ref="E73:E81" si="13">D73/B73</f>
        <v>227.25742574257427</v>
      </c>
      <c r="G73" s="277">
        <v>99</v>
      </c>
      <c r="H73" s="277">
        <v>113</v>
      </c>
    </row>
    <row r="74" spans="1:8" x14ac:dyDescent="0.3">
      <c r="A74" s="156" t="s">
        <v>45</v>
      </c>
      <c r="B74" s="170">
        <v>5567</v>
      </c>
      <c r="C74" s="181">
        <f t="shared" si="12"/>
        <v>11743</v>
      </c>
      <c r="D74" s="170">
        <v>1322089</v>
      </c>
      <c r="E74" s="155">
        <f t="shared" si="13"/>
        <v>237.48679719777257</v>
      </c>
      <c r="G74" s="277">
        <v>4615</v>
      </c>
      <c r="H74" s="277">
        <v>7128</v>
      </c>
    </row>
    <row r="75" spans="1:8" x14ac:dyDescent="0.3">
      <c r="A75" s="156" t="s">
        <v>6</v>
      </c>
      <c r="B75" s="170">
        <v>9041</v>
      </c>
      <c r="C75" s="181">
        <f t="shared" si="12"/>
        <v>18344</v>
      </c>
      <c r="D75" s="170">
        <v>2066854</v>
      </c>
      <c r="E75" s="155">
        <f t="shared" si="13"/>
        <v>228.60900342882425</v>
      </c>
      <c r="G75" s="277">
        <v>7591</v>
      </c>
      <c r="H75" s="277">
        <v>10753</v>
      </c>
    </row>
    <row r="76" spans="1:8" x14ac:dyDescent="0.3">
      <c r="A76" s="156" t="s">
        <v>46</v>
      </c>
      <c r="B76" s="170">
        <v>6883</v>
      </c>
      <c r="C76" s="181">
        <f t="shared" si="12"/>
        <v>14746</v>
      </c>
      <c r="D76" s="170">
        <v>1665180</v>
      </c>
      <c r="E76" s="155">
        <f t="shared" si="13"/>
        <v>241.92648554409413</v>
      </c>
      <c r="G76" s="277">
        <v>6316</v>
      </c>
      <c r="H76" s="277">
        <v>8430</v>
      </c>
    </row>
    <row r="77" spans="1:8" x14ac:dyDescent="0.3">
      <c r="A77" s="156" t="s">
        <v>47</v>
      </c>
      <c r="B77" s="170">
        <v>5680</v>
      </c>
      <c r="C77" s="181">
        <f t="shared" si="12"/>
        <v>11827</v>
      </c>
      <c r="D77" s="170">
        <v>1337905</v>
      </c>
      <c r="E77" s="155">
        <f t="shared" si="13"/>
        <v>235.54665492957747</v>
      </c>
      <c r="G77" s="277">
        <v>5019</v>
      </c>
      <c r="H77" s="277">
        <v>6808</v>
      </c>
    </row>
    <row r="78" spans="1:8" x14ac:dyDescent="0.3">
      <c r="A78" s="156" t="s">
        <v>48</v>
      </c>
      <c r="B78" s="170">
        <v>2391</v>
      </c>
      <c r="C78" s="181">
        <f t="shared" si="12"/>
        <v>4995</v>
      </c>
      <c r="D78" s="170">
        <v>558197</v>
      </c>
      <c r="E78" s="155">
        <f t="shared" si="13"/>
        <v>233.45754914261815</v>
      </c>
      <c r="G78" s="277">
        <v>2225</v>
      </c>
      <c r="H78" s="277">
        <v>2770</v>
      </c>
    </row>
    <row r="79" spans="1:8" x14ac:dyDescent="0.3">
      <c r="A79" s="156" t="s">
        <v>49</v>
      </c>
      <c r="B79" s="170">
        <v>4226</v>
      </c>
      <c r="C79" s="181">
        <f t="shared" si="12"/>
        <v>8786</v>
      </c>
      <c r="D79" s="170">
        <v>991115</v>
      </c>
      <c r="E79" s="155">
        <f t="shared" si="13"/>
        <v>234.52792238523426</v>
      </c>
      <c r="G79" s="277">
        <v>3715</v>
      </c>
      <c r="H79" s="277">
        <v>5071</v>
      </c>
    </row>
    <row r="80" spans="1:8" x14ac:dyDescent="0.3">
      <c r="A80" s="156" t="s">
        <v>50</v>
      </c>
      <c r="B80" s="170">
        <v>1686</v>
      </c>
      <c r="C80" s="181">
        <f t="shared" si="12"/>
        <v>3498</v>
      </c>
      <c r="D80" s="170">
        <v>395263</v>
      </c>
      <c r="E80" s="155">
        <f t="shared" si="13"/>
        <v>234.43831553973902</v>
      </c>
      <c r="G80" s="277">
        <v>1552</v>
      </c>
      <c r="H80" s="277">
        <v>1946</v>
      </c>
    </row>
    <row r="81" spans="1:8" ht="19.5" thickBot="1" x14ac:dyDescent="0.35">
      <c r="A81" s="160" t="s">
        <v>51</v>
      </c>
      <c r="B81" s="173">
        <v>7597</v>
      </c>
      <c r="C81" s="181">
        <f t="shared" si="12"/>
        <v>15877</v>
      </c>
      <c r="D81" s="173">
        <v>1782905</v>
      </c>
      <c r="E81" s="155">
        <f t="shared" si="13"/>
        <v>234.68540213242071</v>
      </c>
      <c r="G81" s="277">
        <v>7066</v>
      </c>
      <c r="H81" s="277">
        <v>8811</v>
      </c>
    </row>
    <row r="82" spans="1:8" ht="19.5" thickBot="1" x14ac:dyDescent="0.35">
      <c r="A82" s="135" t="s">
        <v>91</v>
      </c>
      <c r="B82" s="141">
        <f>SUM(B72:B81)</f>
        <v>45041</v>
      </c>
      <c r="C82" s="141">
        <f>SUM(C72:C81)</f>
        <v>93927</v>
      </c>
      <c r="D82" s="141">
        <f>SUM(D72:D81)</f>
        <v>10574496</v>
      </c>
      <c r="E82" s="179">
        <f>D82/B82</f>
        <v>234.77489398547991</v>
      </c>
      <c r="G82" s="277"/>
      <c r="H82" s="277"/>
    </row>
    <row r="83" spans="1:8" ht="19.5" thickBot="1" x14ac:dyDescent="0.35">
      <c r="A83" s="147"/>
      <c r="B83" s="148"/>
      <c r="C83" s="148"/>
      <c r="D83" s="148"/>
      <c r="E83" s="149"/>
      <c r="G83" s="277"/>
      <c r="H83" s="277"/>
    </row>
    <row r="84" spans="1:8" ht="19.5" thickBot="1" x14ac:dyDescent="0.35">
      <c r="A84" s="176" t="s">
        <v>7</v>
      </c>
      <c r="B84" s="177"/>
      <c r="C84" s="177"/>
      <c r="D84" s="177"/>
      <c r="E84" s="178"/>
      <c r="G84" s="277"/>
      <c r="H84" s="277"/>
    </row>
    <row r="85" spans="1:8" x14ac:dyDescent="0.3">
      <c r="A85" s="151" t="s">
        <v>52</v>
      </c>
      <c r="B85" s="180">
        <v>4591</v>
      </c>
      <c r="C85" s="181">
        <f>G85+H85</f>
        <v>9558</v>
      </c>
      <c r="D85" s="182">
        <v>1069140</v>
      </c>
      <c r="E85" s="155">
        <f>D85/B85</f>
        <v>232.87736876497496</v>
      </c>
      <c r="G85" s="277">
        <v>4351</v>
      </c>
      <c r="H85" s="277">
        <v>5207</v>
      </c>
    </row>
    <row r="86" spans="1:8" x14ac:dyDescent="0.3">
      <c r="A86" s="156" t="s">
        <v>53</v>
      </c>
      <c r="B86" s="170">
        <v>6067</v>
      </c>
      <c r="C86" s="181">
        <f t="shared" ref="C86:C93" si="14">G86+H86</f>
        <v>13098</v>
      </c>
      <c r="D86" s="170">
        <v>1456947</v>
      </c>
      <c r="E86" s="155">
        <f t="shared" ref="E86:E93" si="15">D86/B86</f>
        <v>240.142904236031</v>
      </c>
      <c r="G86" s="277">
        <v>5589</v>
      </c>
      <c r="H86" s="277">
        <v>7509</v>
      </c>
    </row>
    <row r="87" spans="1:8" x14ac:dyDescent="0.3">
      <c r="A87" s="156" t="s">
        <v>54</v>
      </c>
      <c r="B87" s="170">
        <v>3606</v>
      </c>
      <c r="C87" s="181">
        <f t="shared" si="14"/>
        <v>8044</v>
      </c>
      <c r="D87" s="170">
        <v>895529</v>
      </c>
      <c r="E87" s="155">
        <f t="shared" si="15"/>
        <v>248.34414864115362</v>
      </c>
      <c r="G87" s="277">
        <v>3507</v>
      </c>
      <c r="H87" s="277">
        <v>4537</v>
      </c>
    </row>
    <row r="88" spans="1:8" x14ac:dyDescent="0.3">
      <c r="A88" s="156" t="s">
        <v>55</v>
      </c>
      <c r="B88" s="170">
        <v>1897</v>
      </c>
      <c r="C88" s="181">
        <f t="shared" si="14"/>
        <v>3608</v>
      </c>
      <c r="D88" s="170">
        <v>403474</v>
      </c>
      <c r="E88" s="155">
        <f t="shared" si="15"/>
        <v>212.69056404849763</v>
      </c>
      <c r="G88" s="277">
        <v>1474</v>
      </c>
      <c r="H88" s="277">
        <v>2134</v>
      </c>
    </row>
    <row r="89" spans="1:8" x14ac:dyDescent="0.3">
      <c r="A89" s="156" t="s">
        <v>56</v>
      </c>
      <c r="B89" s="170">
        <v>4095</v>
      </c>
      <c r="C89" s="181">
        <f t="shared" si="14"/>
        <v>8887</v>
      </c>
      <c r="D89" s="170">
        <v>987869</v>
      </c>
      <c r="E89" s="155">
        <f t="shared" si="15"/>
        <v>241.23785103785104</v>
      </c>
      <c r="G89" s="277">
        <v>3932</v>
      </c>
      <c r="H89" s="277">
        <v>4955</v>
      </c>
    </row>
    <row r="90" spans="1:8" x14ac:dyDescent="0.3">
      <c r="A90" s="156" t="s">
        <v>57</v>
      </c>
      <c r="B90" s="170">
        <v>993</v>
      </c>
      <c r="C90" s="181">
        <f t="shared" si="14"/>
        <v>2433</v>
      </c>
      <c r="D90" s="170">
        <v>270808</v>
      </c>
      <c r="E90" s="155">
        <f t="shared" si="15"/>
        <v>272.71701913393758</v>
      </c>
      <c r="G90" s="277">
        <v>1182</v>
      </c>
      <c r="H90" s="277">
        <v>1251</v>
      </c>
    </row>
    <row r="91" spans="1:8" x14ac:dyDescent="0.3">
      <c r="A91" s="156" t="s">
        <v>97</v>
      </c>
      <c r="B91" s="170">
        <v>12948</v>
      </c>
      <c r="C91" s="181">
        <f t="shared" si="14"/>
        <v>26202</v>
      </c>
      <c r="D91" s="170">
        <v>2973244</v>
      </c>
      <c r="E91" s="155">
        <f t="shared" si="15"/>
        <v>229.6295953042941</v>
      </c>
      <c r="G91" s="277">
        <v>10771</v>
      </c>
      <c r="H91" s="277">
        <v>15431</v>
      </c>
    </row>
    <row r="92" spans="1:8" x14ac:dyDescent="0.3">
      <c r="A92" s="185" t="s">
        <v>58</v>
      </c>
      <c r="B92" s="170">
        <v>3517</v>
      </c>
      <c r="C92" s="181">
        <f t="shared" si="14"/>
        <v>7637</v>
      </c>
      <c r="D92" s="170">
        <v>847305</v>
      </c>
      <c r="E92" s="155">
        <f t="shared" si="15"/>
        <v>240.91697469434177</v>
      </c>
      <c r="G92" s="277">
        <v>3424</v>
      </c>
      <c r="H92" s="277">
        <v>4213</v>
      </c>
    </row>
    <row r="93" spans="1:8" ht="19.5" thickBot="1" x14ac:dyDescent="0.35">
      <c r="A93" s="156" t="s">
        <v>59</v>
      </c>
      <c r="B93" s="173">
        <v>5368</v>
      </c>
      <c r="C93" s="181">
        <f t="shared" si="14"/>
        <v>11251</v>
      </c>
      <c r="D93" s="170">
        <v>1255680</v>
      </c>
      <c r="E93" s="155">
        <f t="shared" si="15"/>
        <v>233.91952309985098</v>
      </c>
      <c r="G93" s="277">
        <v>4918</v>
      </c>
      <c r="H93" s="277">
        <v>6333</v>
      </c>
    </row>
    <row r="94" spans="1:8" ht="19.5" thickBot="1" x14ac:dyDescent="0.35">
      <c r="A94" s="135" t="s">
        <v>91</v>
      </c>
      <c r="B94" s="141">
        <f>SUM(B85:B93)</f>
        <v>43082</v>
      </c>
      <c r="C94" s="141">
        <f>SUM(C85:C93)</f>
        <v>90718</v>
      </c>
      <c r="D94" s="141">
        <f>SUM(D85:D93)</f>
        <v>10159996</v>
      </c>
      <c r="E94" s="179">
        <f>D94/B94</f>
        <v>235.82925583770484</v>
      </c>
      <c r="G94" s="277"/>
      <c r="H94" s="277"/>
    </row>
    <row r="95" spans="1:8" ht="19.5" thickBot="1" x14ac:dyDescent="0.35">
      <c r="A95" s="147"/>
      <c r="B95" s="148"/>
      <c r="C95" s="148"/>
      <c r="D95" s="148"/>
      <c r="E95" s="149"/>
      <c r="G95" s="277"/>
      <c r="H95" s="277"/>
    </row>
    <row r="96" spans="1:8" ht="19.5" thickBot="1" x14ac:dyDescent="0.35">
      <c r="A96" s="140" t="s">
        <v>8</v>
      </c>
      <c r="B96" s="177"/>
      <c r="C96" s="177"/>
      <c r="D96" s="177"/>
      <c r="E96" s="178"/>
      <c r="G96" s="277"/>
      <c r="H96" s="277"/>
    </row>
    <row r="97" spans="1:8" x14ac:dyDescent="0.3">
      <c r="A97" s="186" t="s">
        <v>73</v>
      </c>
      <c r="B97" s="180">
        <v>4155</v>
      </c>
      <c r="C97" s="181">
        <v>10108</v>
      </c>
      <c r="D97" s="182">
        <v>1130202</v>
      </c>
      <c r="E97" s="155">
        <f>D97/B97</f>
        <v>272.01010830324907</v>
      </c>
      <c r="G97" s="277">
        <v>4734</v>
      </c>
      <c r="H97" s="277">
        <v>5374</v>
      </c>
    </row>
    <row r="98" spans="1:8" x14ac:dyDescent="0.3">
      <c r="A98" s="187" t="s">
        <v>60</v>
      </c>
      <c r="B98" s="170">
        <v>4651</v>
      </c>
      <c r="C98" s="181">
        <f t="shared" ref="C98:C107" si="16">G98+H98</f>
        <v>9773</v>
      </c>
      <c r="D98" s="170">
        <v>1089396</v>
      </c>
      <c r="E98" s="155">
        <f t="shared" ref="E98:E107" si="17">D98/B98</f>
        <v>234.2283379918297</v>
      </c>
      <c r="G98" s="277">
        <v>4310</v>
      </c>
      <c r="H98" s="277">
        <v>5463</v>
      </c>
    </row>
    <row r="99" spans="1:8" x14ac:dyDescent="0.3">
      <c r="A99" s="187" t="s">
        <v>61</v>
      </c>
      <c r="B99" s="170">
        <v>6465</v>
      </c>
      <c r="C99" s="181">
        <f t="shared" si="16"/>
        <v>14216</v>
      </c>
      <c r="D99" s="170">
        <v>1591345</v>
      </c>
      <c r="E99" s="155">
        <f t="shared" si="17"/>
        <v>246.1477184841454</v>
      </c>
      <c r="G99" s="277">
        <v>6288</v>
      </c>
      <c r="H99" s="277">
        <v>7928</v>
      </c>
    </row>
    <row r="100" spans="1:8" x14ac:dyDescent="0.3">
      <c r="A100" s="156" t="s">
        <v>62</v>
      </c>
      <c r="B100" s="170">
        <v>3776</v>
      </c>
      <c r="C100" s="181">
        <f t="shared" si="16"/>
        <v>8627</v>
      </c>
      <c r="D100" s="170">
        <v>962006</v>
      </c>
      <c r="E100" s="155">
        <f t="shared" si="17"/>
        <v>254.76853813559322</v>
      </c>
      <c r="G100" s="277">
        <v>3843</v>
      </c>
      <c r="H100" s="277">
        <v>4784</v>
      </c>
    </row>
    <row r="101" spans="1:8" x14ac:dyDescent="0.3">
      <c r="A101" s="156" t="s">
        <v>63</v>
      </c>
      <c r="B101" s="170">
        <v>3176</v>
      </c>
      <c r="C101" s="181">
        <f t="shared" si="16"/>
        <v>7947</v>
      </c>
      <c r="D101" s="170">
        <v>888061</v>
      </c>
      <c r="E101" s="155">
        <f t="shared" si="17"/>
        <v>279.61618387909317</v>
      </c>
      <c r="G101" s="277">
        <v>3780</v>
      </c>
      <c r="H101" s="277">
        <v>4167</v>
      </c>
    </row>
    <row r="102" spans="1:8" x14ac:dyDescent="0.3">
      <c r="A102" s="156" t="s">
        <v>64</v>
      </c>
      <c r="B102" s="170">
        <v>7025</v>
      </c>
      <c r="C102" s="181">
        <f t="shared" si="16"/>
        <v>16422</v>
      </c>
      <c r="D102" s="170">
        <v>1810656</v>
      </c>
      <c r="E102" s="155">
        <f t="shared" si="17"/>
        <v>257.74462633451958</v>
      </c>
      <c r="G102" s="277">
        <v>7053</v>
      </c>
      <c r="H102" s="277">
        <v>9369</v>
      </c>
    </row>
    <row r="103" spans="1:8" x14ac:dyDescent="0.3">
      <c r="A103" s="156" t="s">
        <v>65</v>
      </c>
      <c r="B103" s="170">
        <v>4913</v>
      </c>
      <c r="C103" s="181">
        <f t="shared" si="16"/>
        <v>11690</v>
      </c>
      <c r="D103" s="170">
        <v>1285308</v>
      </c>
      <c r="E103" s="155">
        <f t="shared" si="17"/>
        <v>261.61367799715043</v>
      </c>
      <c r="G103" s="277">
        <v>5623</v>
      </c>
      <c r="H103" s="277">
        <v>6067</v>
      </c>
    </row>
    <row r="104" spans="1:8" x14ac:dyDescent="0.3">
      <c r="A104" s="156" t="s">
        <v>66</v>
      </c>
      <c r="B104" s="170">
        <v>4026</v>
      </c>
      <c r="C104" s="181">
        <f t="shared" si="16"/>
        <v>9853</v>
      </c>
      <c r="D104" s="170">
        <v>1079685</v>
      </c>
      <c r="E104" s="155">
        <f t="shared" si="17"/>
        <v>268.17809239940385</v>
      </c>
      <c r="G104" s="277">
        <v>4447</v>
      </c>
      <c r="H104" s="277">
        <v>5406</v>
      </c>
    </row>
    <row r="105" spans="1:8" x14ac:dyDescent="0.3">
      <c r="A105" s="156" t="s">
        <v>119</v>
      </c>
      <c r="B105" s="170">
        <v>26185</v>
      </c>
      <c r="C105" s="181">
        <f t="shared" si="16"/>
        <v>59478</v>
      </c>
      <c r="D105" s="170">
        <v>6666856</v>
      </c>
      <c r="E105" s="155">
        <f t="shared" si="17"/>
        <v>254.60591941951498</v>
      </c>
      <c r="G105" s="277">
        <v>24872</v>
      </c>
      <c r="H105" s="277">
        <v>34606</v>
      </c>
    </row>
    <row r="106" spans="1:8" x14ac:dyDescent="0.3">
      <c r="A106" s="156" t="s">
        <v>67</v>
      </c>
      <c r="B106" s="170">
        <v>4642</v>
      </c>
      <c r="C106" s="181">
        <f t="shared" si="16"/>
        <v>11014</v>
      </c>
      <c r="D106" s="170">
        <v>1225129</v>
      </c>
      <c r="E106" s="155">
        <f t="shared" si="17"/>
        <v>263.92266264541144</v>
      </c>
      <c r="G106" s="277">
        <v>5026</v>
      </c>
      <c r="H106" s="277">
        <v>5988</v>
      </c>
    </row>
    <row r="107" spans="1:8" ht="19.5" thickBot="1" x14ac:dyDescent="0.35">
      <c r="A107" s="156" t="s">
        <v>68</v>
      </c>
      <c r="B107" s="173">
        <v>6859</v>
      </c>
      <c r="C107" s="181">
        <f t="shared" si="16"/>
        <v>15203</v>
      </c>
      <c r="D107" s="170">
        <v>1680871</v>
      </c>
      <c r="E107" s="155">
        <f t="shared" si="17"/>
        <v>245.06065024055985</v>
      </c>
      <c r="G107" s="277">
        <v>6749</v>
      </c>
      <c r="H107" s="277">
        <v>8454</v>
      </c>
    </row>
    <row r="108" spans="1:8" ht="19.5" thickBot="1" x14ac:dyDescent="0.35">
      <c r="A108" s="135" t="s">
        <v>91</v>
      </c>
      <c r="B108" s="141">
        <f>SUM(B97:B107)</f>
        <v>75873</v>
      </c>
      <c r="C108" s="141">
        <f>SUM(C97:C107)</f>
        <v>174331</v>
      </c>
      <c r="D108" s="141">
        <f>SUM(D97:D107)</f>
        <v>19409515</v>
      </c>
      <c r="E108" s="179">
        <f>D108/B108</f>
        <v>255.81583699076089</v>
      </c>
      <c r="G108" s="277"/>
      <c r="H108" s="277"/>
    </row>
    <row r="109" spans="1:8" ht="19.5" thickBot="1" x14ac:dyDescent="0.35">
      <c r="A109" s="147"/>
      <c r="B109" s="148"/>
      <c r="C109" s="148"/>
      <c r="D109" s="148"/>
      <c r="E109" s="149"/>
      <c r="G109" s="277"/>
      <c r="H109" s="277"/>
    </row>
    <row r="110" spans="1:8" ht="19.5" thickBot="1" x14ac:dyDescent="0.35">
      <c r="A110" s="176" t="s">
        <v>9</v>
      </c>
      <c r="B110" s="177"/>
      <c r="C110" s="177"/>
      <c r="D110" s="177"/>
      <c r="E110" s="178"/>
      <c r="G110" s="277"/>
      <c r="H110" s="277"/>
    </row>
    <row r="111" spans="1:8" x14ac:dyDescent="0.3">
      <c r="A111" s="151" t="s">
        <v>99</v>
      </c>
      <c r="B111" s="180">
        <v>1202</v>
      </c>
      <c r="C111" s="181">
        <f>G111+H111</f>
        <v>2923</v>
      </c>
      <c r="D111" s="182">
        <v>329639</v>
      </c>
      <c r="E111" s="155">
        <f>D111/B111</f>
        <v>274.24209650582361</v>
      </c>
      <c r="G111" s="277">
        <v>1157</v>
      </c>
      <c r="H111" s="277">
        <v>1766</v>
      </c>
    </row>
    <row r="112" spans="1:8" x14ac:dyDescent="0.3">
      <c r="A112" s="156" t="s">
        <v>100</v>
      </c>
      <c r="B112" s="170">
        <v>9045</v>
      </c>
      <c r="C112" s="181">
        <f>G112+H112</f>
        <v>18800</v>
      </c>
      <c r="D112" s="170">
        <v>2120746</v>
      </c>
      <c r="E112" s="155">
        <f>D112/B112</f>
        <v>234.46611387506911</v>
      </c>
      <c r="G112" s="277">
        <v>7542</v>
      </c>
      <c r="H112" s="277">
        <v>11258</v>
      </c>
    </row>
    <row r="113" spans="1:8" x14ac:dyDescent="0.3">
      <c r="A113" s="156" t="s">
        <v>101</v>
      </c>
      <c r="B113" s="170">
        <v>28292</v>
      </c>
      <c r="C113" s="181">
        <f>G113+H113</f>
        <v>60620</v>
      </c>
      <c r="D113" s="170">
        <v>6848726</v>
      </c>
      <c r="E113" s="155">
        <f>D113/B113</f>
        <v>242.07288279372261</v>
      </c>
      <c r="G113" s="277">
        <v>22975</v>
      </c>
      <c r="H113" s="277">
        <v>37645</v>
      </c>
    </row>
    <row r="114" spans="1:8" ht="19.5" thickBot="1" x14ac:dyDescent="0.35">
      <c r="A114" s="185" t="s">
        <v>102</v>
      </c>
      <c r="B114" s="173">
        <v>10520</v>
      </c>
      <c r="C114" s="181">
        <f>G114+H114</f>
        <v>21495</v>
      </c>
      <c r="D114" s="170">
        <v>2444352</v>
      </c>
      <c r="E114" s="155">
        <f>D114/B114</f>
        <v>232.3528517110266</v>
      </c>
      <c r="G114" s="277">
        <v>8210</v>
      </c>
      <c r="H114" s="277">
        <v>13285</v>
      </c>
    </row>
    <row r="115" spans="1:8" ht="19.5" thickBot="1" x14ac:dyDescent="0.35">
      <c r="A115" s="135" t="s">
        <v>91</v>
      </c>
      <c r="B115" s="141">
        <f>SUM(B111:B114)</f>
        <v>49059</v>
      </c>
      <c r="C115" s="141">
        <f>SUM(C111:C114)</f>
        <v>103838</v>
      </c>
      <c r="D115" s="141">
        <f>SUM(D111:D114)</f>
        <v>11743463</v>
      </c>
      <c r="E115" s="179">
        <f>D115/B115</f>
        <v>239.37428402535721</v>
      </c>
      <c r="G115" s="277"/>
      <c r="H115" s="277"/>
    </row>
    <row r="116" spans="1:8" ht="19.5" thickBot="1" x14ac:dyDescent="0.35">
      <c r="A116" s="147"/>
      <c r="B116" s="148"/>
      <c r="C116" s="148"/>
      <c r="D116" s="148"/>
      <c r="E116" s="149"/>
      <c r="G116" s="277"/>
      <c r="H116" s="277"/>
    </row>
    <row r="117" spans="1:8" ht="19.5" thickBot="1" x14ac:dyDescent="0.35">
      <c r="A117" s="134" t="s">
        <v>74</v>
      </c>
      <c r="B117" s="142">
        <f>B15+B29+B41+B51+B60+B69+B82+B94+B108+B115</f>
        <v>516246</v>
      </c>
      <c r="C117" s="142">
        <f>C15+C29+C41+C51+C60+C69+C82+C94+C108+C115</f>
        <v>1111189</v>
      </c>
      <c r="D117" s="142">
        <f>D15+D29+D41+D51+D60+D69+D82+D94+D108+D115</f>
        <v>124969406</v>
      </c>
      <c r="E117" s="178">
        <f>SUM(E8:E114)</f>
        <v>21640.644196134137</v>
      </c>
      <c r="G117" s="277">
        <f>SUM(G8:G116)</f>
        <v>461264</v>
      </c>
      <c r="H117" s="277">
        <f>SUM(H8:H116)</f>
        <v>620677</v>
      </c>
    </row>
  </sheetData>
  <mergeCells count="6">
    <mergeCell ref="G6:H6"/>
    <mergeCell ref="A5:E5"/>
    <mergeCell ref="A1:E1"/>
    <mergeCell ref="A2:E2"/>
    <mergeCell ref="A3:E3"/>
    <mergeCell ref="A4:E4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9"/>
  <sheetViews>
    <sheetView topLeftCell="A106" zoomScale="75" workbookViewId="0">
      <selection activeCell="E122" sqref="E122"/>
    </sheetView>
  </sheetViews>
  <sheetFormatPr defaultRowHeight="18.75" x14ac:dyDescent="0.3"/>
  <cols>
    <col min="1" max="1" width="24.7109375" style="150" customWidth="1"/>
    <col min="2" max="4" width="15.7109375" style="64" customWidth="1"/>
    <col min="5" max="5" width="19.42578125" style="64" customWidth="1"/>
    <col min="6" max="6" width="9.140625" style="64"/>
    <col min="7" max="7" width="23.5703125" style="18" customWidth="1"/>
    <col min="8" max="8" width="13.7109375" style="275" hidden="1" customWidth="1"/>
    <col min="9" max="9" width="13.140625" style="275" hidden="1" customWidth="1"/>
    <col min="10" max="16" width="9.140625" style="18"/>
    <col min="17" max="16384" width="9.140625" style="1"/>
  </cols>
  <sheetData>
    <row r="1" spans="1:9" x14ac:dyDescent="0.3">
      <c r="A1" s="354" t="s">
        <v>10</v>
      </c>
      <c r="B1" s="354"/>
      <c r="C1" s="354"/>
      <c r="D1" s="354"/>
      <c r="E1" s="354"/>
    </row>
    <row r="2" spans="1:9" x14ac:dyDescent="0.3">
      <c r="A2" s="354" t="s">
        <v>71</v>
      </c>
      <c r="B2" s="354"/>
      <c r="C2" s="354"/>
      <c r="D2" s="354"/>
      <c r="E2" s="354"/>
    </row>
    <row r="3" spans="1:9" x14ac:dyDescent="0.3">
      <c r="A3" s="357" t="s">
        <v>112</v>
      </c>
      <c r="B3" s="357"/>
      <c r="C3" s="357"/>
      <c r="D3" s="357"/>
      <c r="E3" s="357"/>
    </row>
    <row r="4" spans="1:9" x14ac:dyDescent="0.3">
      <c r="A4" s="354" t="s">
        <v>133</v>
      </c>
      <c r="B4" s="354"/>
      <c r="C4" s="354"/>
      <c r="D4" s="354"/>
      <c r="E4" s="354"/>
    </row>
    <row r="5" spans="1:9" ht="19.5" thickBot="1" x14ac:dyDescent="0.35">
      <c r="A5" s="354"/>
      <c r="B5" s="358"/>
      <c r="C5" s="358"/>
      <c r="D5" s="358"/>
      <c r="E5" s="358"/>
      <c r="G5" s="64"/>
    </row>
    <row r="6" spans="1:9" ht="57" thickBot="1" x14ac:dyDescent="0.35">
      <c r="A6" s="188"/>
      <c r="B6" s="189" t="s">
        <v>75</v>
      </c>
      <c r="C6" s="190" t="s">
        <v>76</v>
      </c>
      <c r="D6" s="190" t="s">
        <v>77</v>
      </c>
      <c r="E6" s="190" t="s">
        <v>78</v>
      </c>
      <c r="G6" s="64"/>
      <c r="H6" s="362" t="s">
        <v>153</v>
      </c>
      <c r="I6" s="362"/>
    </row>
    <row r="7" spans="1:9" ht="21.75" customHeight="1" thickBot="1" x14ac:dyDescent="0.35">
      <c r="A7" s="176" t="s">
        <v>0</v>
      </c>
      <c r="B7" s="203"/>
      <c r="C7" s="203"/>
      <c r="D7" s="203"/>
      <c r="E7" s="138"/>
      <c r="G7" s="64"/>
      <c r="H7" s="276" t="s">
        <v>154</v>
      </c>
      <c r="I7" s="276" t="s">
        <v>155</v>
      </c>
    </row>
    <row r="8" spans="1:9" x14ac:dyDescent="0.3">
      <c r="A8" s="151" t="s">
        <v>11</v>
      </c>
      <c r="B8" s="152">
        <v>5970</v>
      </c>
      <c r="C8" s="153">
        <f>+H8+I8</f>
        <v>13651</v>
      </c>
      <c r="D8" s="154">
        <v>1493536</v>
      </c>
      <c r="E8" s="155">
        <f>D8/B8</f>
        <v>250.17353433835845</v>
      </c>
      <c r="G8" s="64"/>
      <c r="H8" s="277">
        <v>6000</v>
      </c>
      <c r="I8" s="277">
        <v>7651</v>
      </c>
    </row>
    <row r="9" spans="1:9" x14ac:dyDescent="0.3">
      <c r="A9" s="156" t="s">
        <v>124</v>
      </c>
      <c r="B9" s="157">
        <v>10036</v>
      </c>
      <c r="C9" s="153">
        <f t="shared" ref="C9:C14" si="0">+H9+I9</f>
        <v>20916</v>
      </c>
      <c r="D9" s="157">
        <v>2351377</v>
      </c>
      <c r="E9" s="159">
        <f t="shared" ref="E9:E15" si="1">D9/B9</f>
        <v>234.29424073335991</v>
      </c>
      <c r="G9" s="64"/>
      <c r="H9" s="277">
        <v>9112</v>
      </c>
      <c r="I9" s="277">
        <v>11804</v>
      </c>
    </row>
    <row r="10" spans="1:9" x14ac:dyDescent="0.3">
      <c r="A10" s="156" t="s">
        <v>12</v>
      </c>
      <c r="B10" s="157">
        <v>6803</v>
      </c>
      <c r="C10" s="153">
        <f t="shared" si="0"/>
        <v>14397</v>
      </c>
      <c r="D10" s="157">
        <v>1588298</v>
      </c>
      <c r="E10" s="159">
        <f t="shared" si="1"/>
        <v>233.47023372041747</v>
      </c>
      <c r="G10" s="64"/>
      <c r="H10" s="277">
        <v>6342</v>
      </c>
      <c r="I10" s="277">
        <v>8055</v>
      </c>
    </row>
    <row r="11" spans="1:9" x14ac:dyDescent="0.3">
      <c r="A11" s="156" t="s">
        <v>13</v>
      </c>
      <c r="B11" s="157">
        <v>1734</v>
      </c>
      <c r="C11" s="153">
        <f t="shared" si="0"/>
        <v>3848</v>
      </c>
      <c r="D11" s="157">
        <v>431080</v>
      </c>
      <c r="E11" s="159">
        <f t="shared" si="1"/>
        <v>248.60438292964244</v>
      </c>
      <c r="G11" s="64"/>
      <c r="H11" s="277">
        <v>1838</v>
      </c>
      <c r="I11" s="277">
        <v>2010</v>
      </c>
    </row>
    <row r="12" spans="1:9" x14ac:dyDescent="0.3">
      <c r="A12" s="156" t="s">
        <v>14</v>
      </c>
      <c r="B12" s="157">
        <v>7115</v>
      </c>
      <c r="C12" s="153">
        <f t="shared" si="0"/>
        <v>16110</v>
      </c>
      <c r="D12" s="157">
        <v>1791793</v>
      </c>
      <c r="E12" s="159">
        <f>D12/B12</f>
        <v>251.83316936050596</v>
      </c>
      <c r="G12" s="64"/>
      <c r="H12" s="277">
        <v>7400</v>
      </c>
      <c r="I12" s="277">
        <v>8710</v>
      </c>
    </row>
    <row r="13" spans="1:9" x14ac:dyDescent="0.3">
      <c r="A13" s="156" t="s">
        <v>15</v>
      </c>
      <c r="B13" s="157">
        <v>2508</v>
      </c>
      <c r="C13" s="153">
        <f t="shared" si="0"/>
        <v>5106</v>
      </c>
      <c r="D13" s="157">
        <v>567950</v>
      </c>
      <c r="E13" s="159">
        <f t="shared" si="1"/>
        <v>226.45534290271132</v>
      </c>
      <c r="G13" s="64"/>
      <c r="H13" s="277">
        <v>2281</v>
      </c>
      <c r="I13" s="277">
        <v>2825</v>
      </c>
    </row>
    <row r="14" spans="1:9" ht="19.5" thickBot="1" x14ac:dyDescent="0.35">
      <c r="A14" s="160" t="s">
        <v>72</v>
      </c>
      <c r="B14" s="161">
        <v>8738</v>
      </c>
      <c r="C14" s="153">
        <f t="shared" si="0"/>
        <v>18012</v>
      </c>
      <c r="D14" s="163">
        <v>2023624</v>
      </c>
      <c r="E14" s="164">
        <f t="shared" si="1"/>
        <v>231.58892195010299</v>
      </c>
      <c r="G14" s="64"/>
      <c r="H14" s="277">
        <v>8053</v>
      </c>
      <c r="I14" s="277">
        <v>9959</v>
      </c>
    </row>
    <row r="15" spans="1:9" ht="19.5" thickBot="1" x14ac:dyDescent="0.35">
      <c r="A15" s="135" t="s">
        <v>85</v>
      </c>
      <c r="B15" s="192">
        <f>SUM(B8:B14)</f>
        <v>42904</v>
      </c>
      <c r="C15" s="192">
        <f>SUM(C8:C14)</f>
        <v>92040</v>
      </c>
      <c r="D15" s="192">
        <f>SUM(D8:D14)</f>
        <v>10247658</v>
      </c>
      <c r="E15" s="179">
        <f t="shared" si="1"/>
        <v>238.85087637516315</v>
      </c>
      <c r="G15" s="64"/>
      <c r="H15" s="277"/>
      <c r="I15" s="277"/>
    </row>
    <row r="16" spans="1:9" ht="19.5" thickBot="1" x14ac:dyDescent="0.35">
      <c r="A16" s="144"/>
      <c r="B16" s="145"/>
      <c r="C16" s="145"/>
      <c r="D16" s="145"/>
      <c r="E16" s="145"/>
      <c r="G16" s="64"/>
      <c r="H16" s="277"/>
      <c r="I16" s="277"/>
    </row>
    <row r="17" spans="1:16" ht="19.5" thickBot="1" x14ac:dyDescent="0.35">
      <c r="A17" s="140" t="s">
        <v>1</v>
      </c>
      <c r="B17" s="202"/>
      <c r="C17" s="202"/>
      <c r="D17" s="202"/>
      <c r="E17" s="183"/>
      <c r="G17" s="64"/>
      <c r="H17" s="277"/>
      <c r="I17" s="277"/>
    </row>
    <row r="18" spans="1:16" s="2" customFormat="1" ht="19.5" thickBot="1" x14ac:dyDescent="0.35">
      <c r="A18" s="209" t="s">
        <v>125</v>
      </c>
      <c r="B18" s="152">
        <v>17452</v>
      </c>
      <c r="C18" s="195">
        <f>H18+I18</f>
        <v>34961</v>
      </c>
      <c r="D18" s="152">
        <v>3969660</v>
      </c>
      <c r="E18" s="210">
        <f t="shared" ref="E18:E29" si="2">D18/B18</f>
        <v>227.46160898464359</v>
      </c>
      <c r="F18" s="193"/>
      <c r="G18" s="193"/>
      <c r="H18" s="277">
        <v>15154</v>
      </c>
      <c r="I18" s="277">
        <v>19807</v>
      </c>
      <c r="J18" s="42"/>
      <c r="K18" s="42"/>
      <c r="L18" s="42"/>
      <c r="M18" s="42"/>
      <c r="N18" s="42"/>
      <c r="O18" s="42"/>
      <c r="P18" s="42"/>
    </row>
    <row r="19" spans="1:16" ht="19.5" thickBot="1" x14ac:dyDescent="0.35">
      <c r="A19" s="151" t="s">
        <v>16</v>
      </c>
      <c r="B19" s="182">
        <v>4859</v>
      </c>
      <c r="C19" s="195">
        <f t="shared" ref="C19:C28" si="3">H19+I19</f>
        <v>10172</v>
      </c>
      <c r="D19" s="182">
        <v>1143066</v>
      </c>
      <c r="E19" s="155">
        <f t="shared" si="2"/>
        <v>235.24717019962955</v>
      </c>
      <c r="G19" s="64"/>
      <c r="H19" s="277">
        <v>4357</v>
      </c>
      <c r="I19" s="277">
        <v>5815</v>
      </c>
    </row>
    <row r="20" spans="1:16" ht="19.5" thickBot="1" x14ac:dyDescent="0.35">
      <c r="A20" s="156" t="s">
        <v>17</v>
      </c>
      <c r="B20" s="170">
        <v>6148</v>
      </c>
      <c r="C20" s="195">
        <f t="shared" si="3"/>
        <v>13053</v>
      </c>
      <c r="D20" s="170">
        <v>1446302</v>
      </c>
      <c r="E20" s="159">
        <f t="shared" si="2"/>
        <v>235.24756018217306</v>
      </c>
      <c r="G20" s="64"/>
      <c r="H20" s="277">
        <v>5831</v>
      </c>
      <c r="I20" s="277">
        <v>7222</v>
      </c>
    </row>
    <row r="21" spans="1:16" ht="19.5" thickBot="1" x14ac:dyDescent="0.35">
      <c r="A21" s="156" t="s">
        <v>18</v>
      </c>
      <c r="B21" s="170">
        <v>3964</v>
      </c>
      <c r="C21" s="195">
        <f t="shared" si="3"/>
        <v>8799</v>
      </c>
      <c r="D21" s="170">
        <v>974820</v>
      </c>
      <c r="E21" s="159">
        <f t="shared" si="2"/>
        <v>245.91826437941472</v>
      </c>
      <c r="G21" s="64"/>
      <c r="H21" s="277">
        <v>3959</v>
      </c>
      <c r="I21" s="277">
        <v>4840</v>
      </c>
    </row>
    <row r="22" spans="1:16" ht="19.5" thickBot="1" x14ac:dyDescent="0.35">
      <c r="A22" s="156" t="s">
        <v>19</v>
      </c>
      <c r="B22" s="170">
        <v>2555</v>
      </c>
      <c r="C22" s="195">
        <f t="shared" si="3"/>
        <v>5650</v>
      </c>
      <c r="D22" s="170">
        <v>626790</v>
      </c>
      <c r="E22" s="159">
        <f t="shared" si="2"/>
        <v>245.31898238747553</v>
      </c>
      <c r="G22" s="64"/>
      <c r="H22" s="277">
        <v>2484</v>
      </c>
      <c r="I22" s="277">
        <v>3166</v>
      </c>
    </row>
    <row r="23" spans="1:16" ht="19.5" thickBot="1" x14ac:dyDescent="0.35">
      <c r="A23" s="156" t="s">
        <v>20</v>
      </c>
      <c r="B23" s="170">
        <v>6906</v>
      </c>
      <c r="C23" s="195">
        <f t="shared" si="3"/>
        <v>14765</v>
      </c>
      <c r="D23" s="170">
        <v>1646082</v>
      </c>
      <c r="E23" s="159">
        <f t="shared" si="2"/>
        <v>238.3553431798436</v>
      </c>
      <c r="G23" s="64"/>
      <c r="H23" s="277">
        <v>6481</v>
      </c>
      <c r="I23" s="277">
        <v>8284</v>
      </c>
    </row>
    <row r="24" spans="1:16" ht="19.5" thickBot="1" x14ac:dyDescent="0.35">
      <c r="A24" s="156" t="s">
        <v>21</v>
      </c>
      <c r="B24" s="170">
        <v>6296</v>
      </c>
      <c r="C24" s="195">
        <f t="shared" si="3"/>
        <v>14247</v>
      </c>
      <c r="D24" s="170">
        <v>1592959</v>
      </c>
      <c r="E24" s="159">
        <f t="shared" si="2"/>
        <v>253.01127700127066</v>
      </c>
      <c r="G24" s="64"/>
      <c r="H24" s="277">
        <v>6680</v>
      </c>
      <c r="I24" s="277">
        <v>7567</v>
      </c>
    </row>
    <row r="25" spans="1:16" ht="19.5" thickBot="1" x14ac:dyDescent="0.35">
      <c r="A25" s="156" t="s">
        <v>69</v>
      </c>
      <c r="B25" s="170">
        <v>8179</v>
      </c>
      <c r="C25" s="195">
        <f t="shared" si="3"/>
        <v>16793</v>
      </c>
      <c r="D25" s="170">
        <v>1887560</v>
      </c>
      <c r="E25" s="159">
        <f t="shared" si="2"/>
        <v>230.78126910380243</v>
      </c>
      <c r="G25" s="64"/>
      <c r="H25" s="277">
        <v>7092</v>
      </c>
      <c r="I25" s="277">
        <v>9701</v>
      </c>
    </row>
    <row r="26" spans="1:16" ht="19.5" thickBot="1" x14ac:dyDescent="0.35">
      <c r="A26" s="156" t="s">
        <v>22</v>
      </c>
      <c r="B26" s="170">
        <v>5292</v>
      </c>
      <c r="C26" s="195">
        <f t="shared" si="3"/>
        <v>12729</v>
      </c>
      <c r="D26" s="170">
        <v>1393777</v>
      </c>
      <c r="E26" s="159">
        <f t="shared" si="2"/>
        <v>263.37433862433863</v>
      </c>
      <c r="G26" s="64"/>
      <c r="H26" s="277">
        <v>5769</v>
      </c>
      <c r="I26" s="277">
        <v>6960</v>
      </c>
    </row>
    <row r="27" spans="1:16" ht="19.5" thickBot="1" x14ac:dyDescent="0.35">
      <c r="A27" s="156" t="s">
        <v>23</v>
      </c>
      <c r="B27" s="170">
        <v>4517</v>
      </c>
      <c r="C27" s="195">
        <f t="shared" si="3"/>
        <v>9999</v>
      </c>
      <c r="D27" s="170">
        <v>1095779</v>
      </c>
      <c r="E27" s="159">
        <f t="shared" si="2"/>
        <v>242.58999335842373</v>
      </c>
      <c r="G27" s="64"/>
      <c r="H27" s="277">
        <v>4454</v>
      </c>
      <c r="I27" s="277">
        <v>5545</v>
      </c>
    </row>
    <row r="28" spans="1:16" ht="19.5" thickBot="1" x14ac:dyDescent="0.35">
      <c r="A28" s="172" t="s">
        <v>87</v>
      </c>
      <c r="B28" s="173">
        <v>6408</v>
      </c>
      <c r="C28" s="195">
        <f t="shared" si="3"/>
        <v>14581</v>
      </c>
      <c r="D28" s="175">
        <v>1630279</v>
      </c>
      <c r="E28" s="164">
        <f t="shared" si="2"/>
        <v>254.41307740324595</v>
      </c>
      <c r="G28" s="64"/>
      <c r="H28" s="277">
        <v>6757</v>
      </c>
      <c r="I28" s="277">
        <v>7824</v>
      </c>
    </row>
    <row r="29" spans="1:16" ht="19.5" thickBot="1" x14ac:dyDescent="0.35">
      <c r="A29" s="135" t="s">
        <v>88</v>
      </c>
      <c r="B29" s="141">
        <f>SUM(B18:B28)</f>
        <v>72576</v>
      </c>
      <c r="C29" s="141">
        <f>SUM(C18:C28)</f>
        <v>155749</v>
      </c>
      <c r="D29" s="141">
        <f>SUM(D18:D28)</f>
        <v>17407074</v>
      </c>
      <c r="E29" s="179">
        <f t="shared" si="2"/>
        <v>239.84614748677248</v>
      </c>
      <c r="G29" s="64"/>
      <c r="H29" s="277"/>
      <c r="I29" s="277"/>
    </row>
    <row r="30" spans="1:16" ht="19.5" thickBot="1" x14ac:dyDescent="0.35">
      <c r="A30" s="144"/>
      <c r="B30" s="146"/>
      <c r="C30" s="146"/>
      <c r="D30" s="146"/>
      <c r="E30" s="145"/>
      <c r="G30" s="64"/>
      <c r="H30" s="277"/>
      <c r="I30" s="277"/>
    </row>
    <row r="31" spans="1:16" ht="19.5" thickBot="1" x14ac:dyDescent="0.35">
      <c r="A31" s="176" t="s">
        <v>2</v>
      </c>
      <c r="B31" s="177"/>
      <c r="C31" s="177"/>
      <c r="D31" s="177"/>
      <c r="E31" s="178"/>
      <c r="G31" s="64"/>
      <c r="H31" s="277"/>
      <c r="I31" s="277"/>
    </row>
    <row r="32" spans="1:16" ht="19.5" thickBot="1" x14ac:dyDescent="0.35">
      <c r="A32" s="151" t="s">
        <v>24</v>
      </c>
      <c r="B32" s="180">
        <v>21050</v>
      </c>
      <c r="C32" s="195">
        <v>44523</v>
      </c>
      <c r="D32" s="182">
        <v>4955897</v>
      </c>
      <c r="E32" s="159">
        <f t="shared" ref="E32:E41" si="4">D32/B32</f>
        <v>235.43453681710213</v>
      </c>
      <c r="G32" s="64"/>
      <c r="H32" s="277">
        <v>5744</v>
      </c>
      <c r="I32" s="277">
        <v>8939</v>
      </c>
    </row>
    <row r="33" spans="1:9" ht="19.5" thickBot="1" x14ac:dyDescent="0.35">
      <c r="A33" s="156" t="s">
        <v>25</v>
      </c>
      <c r="B33" s="170">
        <v>3841</v>
      </c>
      <c r="C33" s="195">
        <f t="shared" ref="C33:C40" si="5">H33+I33</f>
        <v>8570</v>
      </c>
      <c r="D33" s="170">
        <v>961975</v>
      </c>
      <c r="E33" s="159">
        <f t="shared" si="4"/>
        <v>250.44910179640718</v>
      </c>
      <c r="G33" s="64"/>
      <c r="H33" s="277">
        <v>3280</v>
      </c>
      <c r="I33" s="277">
        <v>5290</v>
      </c>
    </row>
    <row r="34" spans="1:9" ht="19.5" thickBot="1" x14ac:dyDescent="0.35">
      <c r="A34" s="156" t="s">
        <v>26</v>
      </c>
      <c r="B34" s="170">
        <v>6388</v>
      </c>
      <c r="C34" s="195">
        <f t="shared" si="5"/>
        <v>14432</v>
      </c>
      <c r="D34" s="170">
        <v>1589097</v>
      </c>
      <c r="E34" s="159">
        <f t="shared" si="4"/>
        <v>248.76283656856606</v>
      </c>
      <c r="G34" s="64"/>
      <c r="H34" s="277">
        <v>6459</v>
      </c>
      <c r="I34" s="277">
        <v>7973</v>
      </c>
    </row>
    <row r="35" spans="1:9" ht="19.5" thickBot="1" x14ac:dyDescent="0.35">
      <c r="A35" s="156" t="s">
        <v>27</v>
      </c>
      <c r="B35" s="170">
        <v>4009</v>
      </c>
      <c r="C35" s="195">
        <f t="shared" si="5"/>
        <v>8659</v>
      </c>
      <c r="D35" s="170">
        <v>952487</v>
      </c>
      <c r="E35" s="159">
        <f t="shared" si="4"/>
        <v>237.58717884759292</v>
      </c>
      <c r="G35" s="64"/>
      <c r="H35" s="277">
        <v>3471</v>
      </c>
      <c r="I35" s="277">
        <v>5188</v>
      </c>
    </row>
    <row r="36" spans="1:9" ht="19.5" thickBot="1" x14ac:dyDescent="0.35">
      <c r="A36" s="156" t="s">
        <v>28</v>
      </c>
      <c r="B36" s="170">
        <v>4782</v>
      </c>
      <c r="C36" s="195">
        <f t="shared" si="5"/>
        <v>10472</v>
      </c>
      <c r="D36" s="170">
        <v>1142218</v>
      </c>
      <c r="E36" s="159">
        <f t="shared" si="4"/>
        <v>238.85780008364702</v>
      </c>
      <c r="G36" s="64"/>
      <c r="H36" s="277">
        <v>4630</v>
      </c>
      <c r="I36" s="277">
        <v>5842</v>
      </c>
    </row>
    <row r="37" spans="1:9" ht="19.5" thickBot="1" x14ac:dyDescent="0.35">
      <c r="A37" s="156" t="s">
        <v>29</v>
      </c>
      <c r="B37" s="170">
        <v>7607</v>
      </c>
      <c r="C37" s="195">
        <f t="shared" si="5"/>
        <v>17349</v>
      </c>
      <c r="D37" s="170">
        <v>1906656</v>
      </c>
      <c r="E37" s="159">
        <f t="shared" si="4"/>
        <v>250.6449322991981</v>
      </c>
      <c r="G37" s="64"/>
      <c r="H37" s="277">
        <v>7223</v>
      </c>
      <c r="I37" s="277">
        <v>10126</v>
      </c>
    </row>
    <row r="38" spans="1:9" ht="19.5" thickBot="1" x14ac:dyDescent="0.35">
      <c r="A38" s="156" t="s">
        <v>89</v>
      </c>
      <c r="B38" s="170">
        <v>9300</v>
      </c>
      <c r="C38" s="195">
        <f t="shared" si="5"/>
        <v>20243</v>
      </c>
      <c r="D38" s="170">
        <v>2234106</v>
      </c>
      <c r="E38" s="159">
        <f t="shared" si="4"/>
        <v>240.22645161290322</v>
      </c>
      <c r="G38" s="64"/>
      <c r="H38" s="277">
        <v>7890</v>
      </c>
      <c r="I38" s="277">
        <v>12353</v>
      </c>
    </row>
    <row r="39" spans="1:9" ht="19.5" thickBot="1" x14ac:dyDescent="0.35">
      <c r="A39" s="156" t="s">
        <v>30</v>
      </c>
      <c r="B39" s="170">
        <v>5605</v>
      </c>
      <c r="C39" s="195">
        <f t="shared" si="5"/>
        <v>12478</v>
      </c>
      <c r="D39" s="170">
        <v>1393137</v>
      </c>
      <c r="E39" s="159">
        <f t="shared" si="4"/>
        <v>248.55254237288136</v>
      </c>
      <c r="G39" s="64"/>
      <c r="H39" s="277">
        <v>5129</v>
      </c>
      <c r="I39" s="277">
        <v>7349</v>
      </c>
    </row>
    <row r="40" spans="1:9" ht="19.5" thickBot="1" x14ac:dyDescent="0.35">
      <c r="A40" s="172" t="s">
        <v>90</v>
      </c>
      <c r="B40" s="173">
        <v>9909</v>
      </c>
      <c r="C40" s="195">
        <f t="shared" si="5"/>
        <v>20981</v>
      </c>
      <c r="D40" s="175">
        <v>2347296</v>
      </c>
      <c r="E40" s="164">
        <f t="shared" si="4"/>
        <v>236.88525582803513</v>
      </c>
      <c r="G40" s="64"/>
      <c r="H40" s="277">
        <v>8727</v>
      </c>
      <c r="I40" s="277">
        <v>12254</v>
      </c>
    </row>
    <row r="41" spans="1:9" ht="19.5" thickBot="1" x14ac:dyDescent="0.35">
      <c r="A41" s="135" t="s">
        <v>91</v>
      </c>
      <c r="B41" s="141">
        <f>SUM(B32:B40)</f>
        <v>72491</v>
      </c>
      <c r="C41" s="141">
        <f>SUM(C32:C40)</f>
        <v>157707</v>
      </c>
      <c r="D41" s="141">
        <f>SUM(D32:D40)</f>
        <v>17482869</v>
      </c>
      <c r="E41" s="179">
        <f t="shared" si="4"/>
        <v>241.17295940185679</v>
      </c>
      <c r="G41" s="64"/>
      <c r="H41" s="277"/>
      <c r="I41" s="277"/>
    </row>
    <row r="42" spans="1:9" ht="19.5" thickBot="1" x14ac:dyDescent="0.35">
      <c r="A42" s="147"/>
      <c r="B42" s="148"/>
      <c r="C42" s="148"/>
      <c r="D42" s="148"/>
      <c r="E42" s="149"/>
      <c r="G42" s="64"/>
      <c r="H42" s="277"/>
      <c r="I42" s="277"/>
    </row>
    <row r="43" spans="1:9" ht="19.5" thickBot="1" x14ac:dyDescent="0.35">
      <c r="A43" s="176" t="s">
        <v>3</v>
      </c>
      <c r="B43" s="177"/>
      <c r="C43" s="177"/>
      <c r="D43" s="177"/>
      <c r="E43" s="178"/>
      <c r="G43" s="64"/>
      <c r="H43" s="277"/>
      <c r="I43" s="277"/>
    </row>
    <row r="44" spans="1:9" ht="19.5" thickBot="1" x14ac:dyDescent="0.35">
      <c r="A44" s="151" t="s">
        <v>31</v>
      </c>
      <c r="B44" s="180">
        <v>3778</v>
      </c>
      <c r="C44" s="195">
        <f t="shared" ref="C44:C50" si="6">H44+I44</f>
        <v>7920</v>
      </c>
      <c r="D44" s="182">
        <v>888826</v>
      </c>
      <c r="E44" s="159">
        <f t="shared" ref="E44:E51" si="7">D44/B44</f>
        <v>235.26363155108524</v>
      </c>
      <c r="G44" s="64"/>
      <c r="H44" s="277">
        <v>3234</v>
      </c>
      <c r="I44" s="277">
        <v>4686</v>
      </c>
    </row>
    <row r="45" spans="1:9" ht="19.5" thickBot="1" x14ac:dyDescent="0.35">
      <c r="A45" s="156" t="s">
        <v>32</v>
      </c>
      <c r="B45" s="170">
        <v>6731</v>
      </c>
      <c r="C45" s="195">
        <f t="shared" si="6"/>
        <v>15752</v>
      </c>
      <c r="D45" s="170">
        <v>1739564</v>
      </c>
      <c r="E45" s="159">
        <f t="shared" si="7"/>
        <v>258.44064774922003</v>
      </c>
      <c r="G45" s="64"/>
      <c r="H45" s="277">
        <v>7147</v>
      </c>
      <c r="I45" s="277">
        <v>8605</v>
      </c>
    </row>
    <row r="46" spans="1:9" ht="19.5" thickBot="1" x14ac:dyDescent="0.35">
      <c r="A46" s="156" t="s">
        <v>92</v>
      </c>
      <c r="B46" s="170">
        <v>17002</v>
      </c>
      <c r="C46" s="195">
        <f t="shared" si="6"/>
        <v>34976</v>
      </c>
      <c r="D46" s="170">
        <v>3867291</v>
      </c>
      <c r="E46" s="159">
        <f t="shared" si="7"/>
        <v>227.46094577108576</v>
      </c>
      <c r="G46" s="64"/>
      <c r="H46" s="277">
        <v>13956</v>
      </c>
      <c r="I46" s="277">
        <v>21020</v>
      </c>
    </row>
    <row r="47" spans="1:9" ht="19.5" thickBot="1" x14ac:dyDescent="0.35">
      <c r="A47" s="156" t="s">
        <v>33</v>
      </c>
      <c r="B47" s="170">
        <v>5350</v>
      </c>
      <c r="C47" s="195">
        <v>11740</v>
      </c>
      <c r="D47" s="170">
        <v>1292317</v>
      </c>
      <c r="E47" s="159">
        <f t="shared" si="7"/>
        <v>241.55457943925234</v>
      </c>
      <c r="G47" s="64"/>
      <c r="H47" s="277">
        <v>5081</v>
      </c>
      <c r="I47" s="277">
        <v>6659</v>
      </c>
    </row>
    <row r="48" spans="1:9" ht="19.5" thickBot="1" x14ac:dyDescent="0.35">
      <c r="A48" s="156" t="s">
        <v>34</v>
      </c>
      <c r="B48" s="170">
        <v>4362</v>
      </c>
      <c r="C48" s="195">
        <f t="shared" si="6"/>
        <v>9230</v>
      </c>
      <c r="D48" s="170">
        <v>1035716</v>
      </c>
      <c r="E48" s="159">
        <f t="shared" si="7"/>
        <v>237.44062356717103</v>
      </c>
      <c r="G48" s="64"/>
      <c r="H48" s="277">
        <v>4126</v>
      </c>
      <c r="I48" s="277">
        <v>5104</v>
      </c>
    </row>
    <row r="49" spans="1:9" ht="19.5" thickBot="1" x14ac:dyDescent="0.35">
      <c r="A49" s="156" t="s">
        <v>35</v>
      </c>
      <c r="B49" s="170">
        <v>4113</v>
      </c>
      <c r="C49" s="195">
        <f t="shared" si="6"/>
        <v>8305</v>
      </c>
      <c r="D49" s="170">
        <v>927718</v>
      </c>
      <c r="E49" s="159">
        <f t="shared" si="7"/>
        <v>225.55750060782884</v>
      </c>
      <c r="G49" s="64"/>
      <c r="H49" s="277">
        <v>3505</v>
      </c>
      <c r="I49" s="277">
        <v>4800</v>
      </c>
    </row>
    <row r="50" spans="1:9" ht="19.5" thickBot="1" x14ac:dyDescent="0.35">
      <c r="A50" s="156" t="s">
        <v>36</v>
      </c>
      <c r="B50" s="173">
        <v>6186</v>
      </c>
      <c r="C50" s="195">
        <f t="shared" si="6"/>
        <v>12888</v>
      </c>
      <c r="D50" s="170">
        <v>1429433</v>
      </c>
      <c r="E50" s="159">
        <f t="shared" si="7"/>
        <v>231.07549304881991</v>
      </c>
      <c r="G50" s="64"/>
      <c r="H50" s="277">
        <v>5683</v>
      </c>
      <c r="I50" s="277">
        <v>7205</v>
      </c>
    </row>
    <row r="51" spans="1:9" ht="19.5" thickBot="1" x14ac:dyDescent="0.35">
      <c r="A51" s="135" t="s">
        <v>91</v>
      </c>
      <c r="B51" s="141">
        <f>SUM(B44:B50)</f>
        <v>47522</v>
      </c>
      <c r="C51" s="141">
        <f>SUM(C44:C50)</f>
        <v>100811</v>
      </c>
      <c r="D51" s="141">
        <f>SUM(D44:D50)</f>
        <v>11180865</v>
      </c>
      <c r="E51" s="179">
        <f t="shared" si="7"/>
        <v>235.27766087285889</v>
      </c>
      <c r="G51" s="64"/>
      <c r="H51" s="277"/>
      <c r="I51" s="277"/>
    </row>
    <row r="52" spans="1:9" ht="19.5" thickBot="1" x14ac:dyDescent="0.35">
      <c r="A52" s="147"/>
      <c r="B52" s="148"/>
      <c r="C52" s="148"/>
      <c r="D52" s="148"/>
      <c r="E52" s="149"/>
      <c r="G52" s="64"/>
      <c r="H52" s="277"/>
      <c r="I52" s="277"/>
    </row>
    <row r="53" spans="1:9" ht="19.5" thickBot="1" x14ac:dyDescent="0.35">
      <c r="A53" s="176" t="s">
        <v>4</v>
      </c>
      <c r="B53" s="177"/>
      <c r="C53" s="177"/>
      <c r="D53" s="177"/>
      <c r="E53" s="178"/>
      <c r="G53" s="64"/>
      <c r="H53" s="277"/>
      <c r="I53" s="277"/>
    </row>
    <row r="54" spans="1:9" ht="19.5" thickBot="1" x14ac:dyDescent="0.35">
      <c r="A54" s="151" t="s">
        <v>37</v>
      </c>
      <c r="B54" s="180">
        <v>6513</v>
      </c>
      <c r="C54" s="195">
        <f t="shared" ref="C54:C59" si="8">H54+I54</f>
        <v>14327</v>
      </c>
      <c r="D54" s="182">
        <v>1576685</v>
      </c>
      <c r="E54" s="159">
        <f t="shared" ref="E54:E60" si="9">D54/B54</f>
        <v>242.08275756179947</v>
      </c>
      <c r="G54" s="64"/>
      <c r="H54" s="277">
        <v>5916</v>
      </c>
      <c r="I54" s="277">
        <v>8411</v>
      </c>
    </row>
    <row r="55" spans="1:9" ht="19.5" thickBot="1" x14ac:dyDescent="0.35">
      <c r="A55" s="156" t="s">
        <v>93</v>
      </c>
      <c r="B55" s="170">
        <v>14823</v>
      </c>
      <c r="C55" s="195">
        <f t="shared" si="8"/>
        <v>31304</v>
      </c>
      <c r="D55" s="170">
        <v>3466761</v>
      </c>
      <c r="E55" s="159">
        <f t="shared" si="9"/>
        <v>233.87715037441814</v>
      </c>
      <c r="G55" s="64"/>
      <c r="H55" s="277">
        <v>11823</v>
      </c>
      <c r="I55" s="277">
        <v>19481</v>
      </c>
    </row>
    <row r="56" spans="1:9" ht="19.5" thickBot="1" x14ac:dyDescent="0.35">
      <c r="A56" s="156" t="s">
        <v>94</v>
      </c>
      <c r="B56" s="170">
        <v>4303</v>
      </c>
      <c r="C56" s="195">
        <f t="shared" si="8"/>
        <v>10116</v>
      </c>
      <c r="D56" s="170">
        <v>1124298</v>
      </c>
      <c r="E56" s="159">
        <f t="shared" si="9"/>
        <v>261.28236114338836</v>
      </c>
      <c r="G56" s="64"/>
      <c r="H56" s="277">
        <v>4013</v>
      </c>
      <c r="I56" s="277">
        <v>6103</v>
      </c>
    </row>
    <row r="57" spans="1:9" ht="19.5" thickBot="1" x14ac:dyDescent="0.35">
      <c r="A57" s="156" t="s">
        <v>38</v>
      </c>
      <c r="B57" s="170">
        <v>3050</v>
      </c>
      <c r="C57" s="195">
        <f t="shared" si="8"/>
        <v>6552</v>
      </c>
      <c r="D57" s="170">
        <v>726033</v>
      </c>
      <c r="E57" s="159">
        <f t="shared" si="9"/>
        <v>238.04360655737705</v>
      </c>
      <c r="G57" s="64"/>
      <c r="H57" s="277">
        <v>2701</v>
      </c>
      <c r="I57" s="277">
        <v>3851</v>
      </c>
    </row>
    <row r="58" spans="1:9" ht="19.5" thickBot="1" x14ac:dyDescent="0.35">
      <c r="A58" s="156" t="s">
        <v>123</v>
      </c>
      <c r="B58" s="170">
        <v>7404</v>
      </c>
      <c r="C58" s="195">
        <f t="shared" si="8"/>
        <v>15929</v>
      </c>
      <c r="D58" s="170">
        <v>1759866</v>
      </c>
      <c r="E58" s="159">
        <f t="shared" si="9"/>
        <v>237.69124797406806</v>
      </c>
      <c r="G58" s="64"/>
      <c r="H58" s="277">
        <v>6634</v>
      </c>
      <c r="I58" s="277">
        <v>9295</v>
      </c>
    </row>
    <row r="59" spans="1:9" ht="19.5" thickBot="1" x14ac:dyDescent="0.35">
      <c r="A59" s="156" t="s">
        <v>96</v>
      </c>
      <c r="B59" s="173">
        <v>6667</v>
      </c>
      <c r="C59" s="195">
        <f t="shared" si="8"/>
        <v>13895</v>
      </c>
      <c r="D59" s="170">
        <v>1547788</v>
      </c>
      <c r="E59" s="159">
        <f t="shared" si="9"/>
        <v>232.15659217039149</v>
      </c>
      <c r="G59" s="64"/>
      <c r="H59" s="277">
        <v>5652</v>
      </c>
      <c r="I59" s="277">
        <v>8243</v>
      </c>
    </row>
    <row r="60" spans="1:9" ht="19.5" thickBot="1" x14ac:dyDescent="0.35">
      <c r="A60" s="135" t="s">
        <v>91</v>
      </c>
      <c r="B60" s="141">
        <f>SUM(B54:B59)</f>
        <v>42760</v>
      </c>
      <c r="C60" s="141">
        <f>SUM(C54:C59)</f>
        <v>92123</v>
      </c>
      <c r="D60" s="141">
        <f>SUM(D54:D59)</f>
        <v>10201431</v>
      </c>
      <c r="E60" s="179">
        <f t="shared" si="9"/>
        <v>238.57415809167446</v>
      </c>
      <c r="G60" s="64"/>
      <c r="H60" s="277"/>
      <c r="I60" s="277"/>
    </row>
    <row r="61" spans="1:9" ht="19.5" thickBot="1" x14ac:dyDescent="0.35">
      <c r="A61" s="147"/>
      <c r="B61" s="148"/>
      <c r="C61" s="148"/>
      <c r="D61" s="148"/>
      <c r="E61" s="149"/>
      <c r="G61" s="64"/>
      <c r="H61" s="277"/>
      <c r="I61" s="277"/>
    </row>
    <row r="62" spans="1:9" ht="19.5" thickBot="1" x14ac:dyDescent="0.35">
      <c r="A62" s="176" t="s">
        <v>5</v>
      </c>
      <c r="B62" s="177"/>
      <c r="C62" s="177"/>
      <c r="D62" s="177"/>
      <c r="E62" s="178"/>
      <c r="G62" s="64"/>
      <c r="H62" s="277"/>
      <c r="I62" s="277"/>
    </row>
    <row r="63" spans="1:9" ht="19.5" thickBot="1" x14ac:dyDescent="0.35">
      <c r="A63" s="151" t="s">
        <v>39</v>
      </c>
      <c r="B63" s="180">
        <v>3315</v>
      </c>
      <c r="C63" s="195">
        <f t="shared" ref="C63:C68" si="10">H63+I63</f>
        <v>7286</v>
      </c>
      <c r="D63" s="182">
        <v>805182</v>
      </c>
      <c r="E63" s="159">
        <f t="shared" ref="E63:E69" si="11">D63/B63</f>
        <v>242.89049773755656</v>
      </c>
      <c r="G63" s="64"/>
      <c r="H63" s="277">
        <v>3154</v>
      </c>
      <c r="I63" s="277">
        <v>4132</v>
      </c>
    </row>
    <row r="64" spans="1:9" ht="19.5" thickBot="1" x14ac:dyDescent="0.35">
      <c r="A64" s="156" t="s">
        <v>40</v>
      </c>
      <c r="B64" s="170">
        <v>5408</v>
      </c>
      <c r="C64" s="195">
        <f t="shared" si="10"/>
        <v>10652</v>
      </c>
      <c r="D64" s="170">
        <v>1172802</v>
      </c>
      <c r="E64" s="159">
        <f t="shared" si="11"/>
        <v>216.86427514792899</v>
      </c>
      <c r="G64" s="64"/>
      <c r="H64" s="277">
        <v>4568</v>
      </c>
      <c r="I64" s="277">
        <v>6084</v>
      </c>
    </row>
    <row r="65" spans="1:9" ht="19.5" thickBot="1" x14ac:dyDescent="0.35">
      <c r="A65" s="156" t="s">
        <v>5</v>
      </c>
      <c r="B65" s="170">
        <v>6754</v>
      </c>
      <c r="C65" s="195">
        <f t="shared" si="10"/>
        <v>14358</v>
      </c>
      <c r="D65" s="170">
        <v>1591593</v>
      </c>
      <c r="E65" s="159">
        <f t="shared" si="11"/>
        <v>235.65190997927155</v>
      </c>
      <c r="G65" s="64"/>
      <c r="H65" s="277">
        <v>6082</v>
      </c>
      <c r="I65" s="277">
        <v>8276</v>
      </c>
    </row>
    <row r="66" spans="1:9" ht="19.5" thickBot="1" x14ac:dyDescent="0.35">
      <c r="A66" s="156" t="s">
        <v>41</v>
      </c>
      <c r="B66" s="170">
        <v>3363</v>
      </c>
      <c r="C66" s="195">
        <f t="shared" si="10"/>
        <v>7074</v>
      </c>
      <c r="D66" s="170">
        <v>787388</v>
      </c>
      <c r="E66" s="159">
        <f t="shared" si="11"/>
        <v>234.13261968480523</v>
      </c>
      <c r="G66" s="64"/>
      <c r="H66" s="277">
        <v>3227</v>
      </c>
      <c r="I66" s="277">
        <v>3847</v>
      </c>
    </row>
    <row r="67" spans="1:9" ht="19.5" thickBot="1" x14ac:dyDescent="0.35">
      <c r="A67" s="156" t="s">
        <v>42</v>
      </c>
      <c r="B67" s="170">
        <v>5036</v>
      </c>
      <c r="C67" s="195">
        <f t="shared" si="10"/>
        <v>10684</v>
      </c>
      <c r="D67" s="170">
        <v>1188197</v>
      </c>
      <c r="E67" s="159">
        <f t="shared" si="11"/>
        <v>235.94062748212866</v>
      </c>
      <c r="G67" s="64"/>
      <c r="H67" s="277">
        <v>4620</v>
      </c>
      <c r="I67" s="277">
        <v>6064</v>
      </c>
    </row>
    <row r="68" spans="1:9" ht="19.5" thickBot="1" x14ac:dyDescent="0.35">
      <c r="A68" s="160" t="s">
        <v>43</v>
      </c>
      <c r="B68" s="173">
        <v>3268</v>
      </c>
      <c r="C68" s="195">
        <f t="shared" si="10"/>
        <v>7420</v>
      </c>
      <c r="D68" s="173">
        <v>807270</v>
      </c>
      <c r="E68" s="159">
        <f t="shared" si="11"/>
        <v>247.02264381884945</v>
      </c>
      <c r="G68" s="64"/>
      <c r="H68" s="277">
        <v>3247</v>
      </c>
      <c r="I68" s="277">
        <v>4173</v>
      </c>
    </row>
    <row r="69" spans="1:9" ht="19.5" thickBot="1" x14ac:dyDescent="0.35">
      <c r="A69" s="135" t="s">
        <v>91</v>
      </c>
      <c r="B69" s="141">
        <f>SUM(B63:B68)</f>
        <v>27144</v>
      </c>
      <c r="C69" s="141">
        <f>SUM(C63:C68)</f>
        <v>57474</v>
      </c>
      <c r="D69" s="141">
        <f>SUM(D63:D68)</f>
        <v>6352432</v>
      </c>
      <c r="E69" s="179">
        <f t="shared" si="11"/>
        <v>234.0271146478043</v>
      </c>
      <c r="G69" s="64"/>
      <c r="H69" s="277"/>
      <c r="I69" s="277"/>
    </row>
    <row r="70" spans="1:9" ht="19.5" thickBot="1" x14ac:dyDescent="0.35">
      <c r="A70" s="147"/>
      <c r="B70" s="148"/>
      <c r="C70" s="148"/>
      <c r="D70" s="148"/>
      <c r="E70" s="149"/>
      <c r="G70" s="64"/>
      <c r="H70" s="277"/>
      <c r="I70" s="277"/>
    </row>
    <row r="71" spans="1:9" ht="19.5" thickBot="1" x14ac:dyDescent="0.35">
      <c r="A71" s="176" t="s">
        <v>6</v>
      </c>
      <c r="B71" s="177"/>
      <c r="C71" s="177"/>
      <c r="D71" s="177"/>
      <c r="E71" s="178"/>
      <c r="G71" s="64"/>
      <c r="H71" s="277"/>
      <c r="I71" s="277"/>
    </row>
    <row r="72" spans="1:9" ht="19.5" thickBot="1" x14ac:dyDescent="0.35">
      <c r="A72" s="151" t="s">
        <v>44</v>
      </c>
      <c r="B72" s="180">
        <v>1854</v>
      </c>
      <c r="C72" s="195">
        <f t="shared" ref="C72:C81" si="12">H72+I72</f>
        <v>3889</v>
      </c>
      <c r="D72" s="182">
        <v>427564</v>
      </c>
      <c r="E72" s="159">
        <f t="shared" ref="E72:E82" si="13">D72/B72</f>
        <v>230.61704422869471</v>
      </c>
      <c r="G72" s="64"/>
      <c r="H72" s="277">
        <v>1537</v>
      </c>
      <c r="I72" s="277">
        <v>2352</v>
      </c>
    </row>
    <row r="73" spans="1:9" ht="19.5" thickBot="1" x14ac:dyDescent="0.35">
      <c r="A73" s="156" t="s">
        <v>70</v>
      </c>
      <c r="B73" s="170">
        <v>109</v>
      </c>
      <c r="C73" s="195">
        <f t="shared" si="12"/>
        <v>226</v>
      </c>
      <c r="D73" s="170">
        <v>24157</v>
      </c>
      <c r="E73" s="159">
        <f t="shared" si="13"/>
        <v>221.62385321100916</v>
      </c>
      <c r="G73" s="64"/>
      <c r="H73" s="277">
        <v>104</v>
      </c>
      <c r="I73" s="277">
        <v>122</v>
      </c>
    </row>
    <row r="74" spans="1:9" ht="19.5" thickBot="1" x14ac:dyDescent="0.35">
      <c r="A74" s="156" t="s">
        <v>45</v>
      </c>
      <c r="B74" s="170">
        <v>5586</v>
      </c>
      <c r="C74" s="195">
        <f t="shared" si="12"/>
        <v>11744</v>
      </c>
      <c r="D74" s="170">
        <v>1312201</v>
      </c>
      <c r="E74" s="159">
        <f t="shared" si="13"/>
        <v>234.90887934121017</v>
      </c>
      <c r="G74" s="64"/>
      <c r="H74" s="277">
        <v>4630</v>
      </c>
      <c r="I74" s="277">
        <v>7114</v>
      </c>
    </row>
    <row r="75" spans="1:9" ht="19.5" thickBot="1" x14ac:dyDescent="0.35">
      <c r="A75" s="156" t="s">
        <v>6</v>
      </c>
      <c r="B75" s="170">
        <v>9114</v>
      </c>
      <c r="C75" s="195">
        <f t="shared" si="12"/>
        <v>18436</v>
      </c>
      <c r="D75" s="170">
        <v>2058885</v>
      </c>
      <c r="E75" s="159">
        <f t="shared" si="13"/>
        <v>225.90355497037524</v>
      </c>
      <c r="G75" s="64"/>
      <c r="H75" s="277">
        <v>7611</v>
      </c>
      <c r="I75" s="277">
        <v>10825</v>
      </c>
    </row>
    <row r="76" spans="1:9" ht="19.5" thickBot="1" x14ac:dyDescent="0.35">
      <c r="A76" s="156" t="s">
        <v>46</v>
      </c>
      <c r="B76" s="170">
        <v>6944</v>
      </c>
      <c r="C76" s="195">
        <f t="shared" si="12"/>
        <v>14855</v>
      </c>
      <c r="D76" s="170">
        <v>1662749</v>
      </c>
      <c r="E76" s="159">
        <f t="shared" si="13"/>
        <v>239.45118087557603</v>
      </c>
      <c r="G76" s="64"/>
      <c r="H76" s="277">
        <v>6350</v>
      </c>
      <c r="I76" s="277">
        <v>8505</v>
      </c>
    </row>
    <row r="77" spans="1:9" ht="19.5" thickBot="1" x14ac:dyDescent="0.35">
      <c r="A77" s="156" t="s">
        <v>47</v>
      </c>
      <c r="B77" s="170">
        <v>5722</v>
      </c>
      <c r="C77" s="195">
        <f t="shared" si="12"/>
        <v>11891</v>
      </c>
      <c r="D77" s="170">
        <v>1334155</v>
      </c>
      <c r="E77" s="159">
        <f t="shared" si="13"/>
        <v>233.16235581964349</v>
      </c>
      <c r="G77" s="64"/>
      <c r="H77" s="277">
        <v>5027</v>
      </c>
      <c r="I77" s="277">
        <v>6864</v>
      </c>
    </row>
    <row r="78" spans="1:9" ht="19.5" thickBot="1" x14ac:dyDescent="0.35">
      <c r="A78" s="156" t="s">
        <v>48</v>
      </c>
      <c r="B78" s="170">
        <v>2403</v>
      </c>
      <c r="C78" s="195">
        <f t="shared" si="12"/>
        <v>5007</v>
      </c>
      <c r="D78" s="170">
        <v>555126</v>
      </c>
      <c r="E78" s="159">
        <f t="shared" si="13"/>
        <v>231.01373283395756</v>
      </c>
      <c r="G78" s="64"/>
      <c r="H78" s="277">
        <v>2238</v>
      </c>
      <c r="I78" s="277">
        <v>2769</v>
      </c>
    </row>
    <row r="79" spans="1:9" ht="19.5" thickBot="1" x14ac:dyDescent="0.35">
      <c r="A79" s="156" t="s">
        <v>49</v>
      </c>
      <c r="B79" s="170">
        <v>4242</v>
      </c>
      <c r="C79" s="195">
        <f t="shared" si="12"/>
        <v>8835</v>
      </c>
      <c r="D79" s="170">
        <v>989095</v>
      </c>
      <c r="E79" s="159">
        <f t="shared" si="13"/>
        <v>233.16713814238565</v>
      </c>
      <c r="G79" s="64"/>
      <c r="H79" s="277">
        <v>3729</v>
      </c>
      <c r="I79" s="277">
        <v>5106</v>
      </c>
    </row>
    <row r="80" spans="1:9" ht="19.5" thickBot="1" x14ac:dyDescent="0.35">
      <c r="A80" s="156" t="s">
        <v>50</v>
      </c>
      <c r="B80" s="170">
        <v>1691</v>
      </c>
      <c r="C80" s="195">
        <f t="shared" si="12"/>
        <v>3526</v>
      </c>
      <c r="D80" s="170">
        <v>394723</v>
      </c>
      <c r="E80" s="159">
        <f t="shared" si="13"/>
        <v>233.42578356002366</v>
      </c>
      <c r="G80" s="64"/>
      <c r="H80" s="277">
        <v>1552</v>
      </c>
      <c r="I80" s="277">
        <v>1974</v>
      </c>
    </row>
    <row r="81" spans="1:9" ht="19.5" thickBot="1" x14ac:dyDescent="0.35">
      <c r="A81" s="160" t="s">
        <v>51</v>
      </c>
      <c r="B81" s="173">
        <v>7628</v>
      </c>
      <c r="C81" s="195">
        <f t="shared" si="12"/>
        <v>15933</v>
      </c>
      <c r="D81" s="173">
        <v>1774008</v>
      </c>
      <c r="E81" s="159">
        <f t="shared" si="13"/>
        <v>232.5652857891977</v>
      </c>
      <c r="G81" s="64"/>
      <c r="H81" s="277">
        <v>7091</v>
      </c>
      <c r="I81" s="277">
        <v>8842</v>
      </c>
    </row>
    <row r="82" spans="1:9" ht="19.5" thickBot="1" x14ac:dyDescent="0.35">
      <c r="A82" s="135" t="s">
        <v>91</v>
      </c>
      <c r="B82" s="141">
        <f>SUM(B72:B81)</f>
        <v>45293</v>
      </c>
      <c r="C82" s="141">
        <f>SUM(C72:C81)</f>
        <v>94342</v>
      </c>
      <c r="D82" s="141">
        <f>SUM(D72:D81)</f>
        <v>10532663</v>
      </c>
      <c r="E82" s="179">
        <f t="shared" si="13"/>
        <v>232.54505111165082</v>
      </c>
      <c r="G82" s="64"/>
      <c r="H82" s="277"/>
      <c r="I82" s="277"/>
    </row>
    <row r="83" spans="1:9" ht="19.5" thickBot="1" x14ac:dyDescent="0.35">
      <c r="A83" s="147"/>
      <c r="B83" s="148"/>
      <c r="C83" s="148"/>
      <c r="D83" s="148"/>
      <c r="E83" s="149"/>
      <c r="G83" s="64"/>
      <c r="H83" s="277"/>
      <c r="I83" s="277"/>
    </row>
    <row r="84" spans="1:9" ht="19.5" thickBot="1" x14ac:dyDescent="0.35">
      <c r="A84" s="176" t="s">
        <v>7</v>
      </c>
      <c r="B84" s="177"/>
      <c r="C84" s="177"/>
      <c r="D84" s="177"/>
      <c r="E84" s="178"/>
      <c r="G84" s="64"/>
      <c r="H84" s="277"/>
      <c r="I84" s="277"/>
    </row>
    <row r="85" spans="1:9" ht="19.5" thickBot="1" x14ac:dyDescent="0.35">
      <c r="A85" s="151" t="s">
        <v>52</v>
      </c>
      <c r="B85" s="180">
        <v>4599</v>
      </c>
      <c r="C85" s="195">
        <f t="shared" ref="C85:C93" si="14">H85+I85</f>
        <v>9583</v>
      </c>
      <c r="D85" s="182">
        <v>1062716</v>
      </c>
      <c r="E85" s="159">
        <f t="shared" ref="E85:E92" si="15">D85/B85</f>
        <v>231.07545118504024</v>
      </c>
      <c r="G85" s="64"/>
      <c r="H85" s="277">
        <v>4370</v>
      </c>
      <c r="I85" s="277">
        <v>5213</v>
      </c>
    </row>
    <row r="86" spans="1:9" ht="19.5" thickBot="1" x14ac:dyDescent="0.35">
      <c r="A86" s="156" t="s">
        <v>53</v>
      </c>
      <c r="B86" s="170">
        <v>6078</v>
      </c>
      <c r="C86" s="195">
        <f t="shared" si="14"/>
        <v>13105</v>
      </c>
      <c r="D86" s="170">
        <v>1448202</v>
      </c>
      <c r="E86" s="159">
        <f t="shared" si="15"/>
        <v>238.26949654491608</v>
      </c>
      <c r="G86" s="64"/>
      <c r="H86" s="277">
        <v>5607</v>
      </c>
      <c r="I86" s="277">
        <v>7498</v>
      </c>
    </row>
    <row r="87" spans="1:9" ht="19.5" thickBot="1" x14ac:dyDescent="0.35">
      <c r="A87" s="156" t="s">
        <v>54</v>
      </c>
      <c r="B87" s="170">
        <v>3615</v>
      </c>
      <c r="C87" s="195">
        <f t="shared" si="14"/>
        <v>8047</v>
      </c>
      <c r="D87" s="170">
        <v>888270</v>
      </c>
      <c r="E87" s="159">
        <f t="shared" si="15"/>
        <v>245.71784232365144</v>
      </c>
      <c r="G87" s="64"/>
      <c r="H87" s="277">
        <v>3504</v>
      </c>
      <c r="I87" s="277">
        <v>4543</v>
      </c>
    </row>
    <row r="88" spans="1:9" ht="19.5" thickBot="1" x14ac:dyDescent="0.35">
      <c r="A88" s="156" t="s">
        <v>55</v>
      </c>
      <c r="B88" s="170">
        <v>1901</v>
      </c>
      <c r="C88" s="195">
        <f t="shared" si="14"/>
        <v>3624</v>
      </c>
      <c r="D88" s="170">
        <v>403908</v>
      </c>
      <c r="E88" s="159">
        <f t="shared" si="15"/>
        <v>212.47133087848502</v>
      </c>
      <c r="G88" s="64"/>
      <c r="H88" s="277">
        <v>1482</v>
      </c>
      <c r="I88" s="277">
        <v>2142</v>
      </c>
    </row>
    <row r="89" spans="1:9" ht="19.5" thickBot="1" x14ac:dyDescent="0.35">
      <c r="A89" s="156" t="s">
        <v>56</v>
      </c>
      <c r="B89" s="170">
        <v>4121</v>
      </c>
      <c r="C89" s="195">
        <f t="shared" si="14"/>
        <v>8929</v>
      </c>
      <c r="D89" s="170">
        <v>984205</v>
      </c>
      <c r="E89" s="159">
        <f t="shared" si="15"/>
        <v>238.82674108226158</v>
      </c>
      <c r="G89" s="64"/>
      <c r="H89" s="277">
        <v>3960</v>
      </c>
      <c r="I89" s="277">
        <v>4969</v>
      </c>
    </row>
    <row r="90" spans="1:9" ht="19.5" thickBot="1" x14ac:dyDescent="0.35">
      <c r="A90" s="156" t="s">
        <v>57</v>
      </c>
      <c r="B90" s="170">
        <v>987</v>
      </c>
      <c r="C90" s="195">
        <f t="shared" si="14"/>
        <v>2417</v>
      </c>
      <c r="D90" s="170">
        <v>265507</v>
      </c>
      <c r="E90" s="159">
        <f t="shared" si="15"/>
        <v>269.00405268490374</v>
      </c>
      <c r="G90" s="64"/>
      <c r="H90" s="277">
        <v>1170</v>
      </c>
      <c r="I90" s="277">
        <v>1247</v>
      </c>
    </row>
    <row r="91" spans="1:9" ht="19.5" thickBot="1" x14ac:dyDescent="0.35">
      <c r="A91" s="156" t="s">
        <v>97</v>
      </c>
      <c r="B91" s="170">
        <v>13056</v>
      </c>
      <c r="C91" s="195">
        <f t="shared" si="14"/>
        <v>26387</v>
      </c>
      <c r="D91" s="170">
        <v>2968166</v>
      </c>
      <c r="E91" s="159">
        <f t="shared" si="15"/>
        <v>227.34114583333334</v>
      </c>
      <c r="G91" s="64"/>
      <c r="H91" s="277">
        <v>10874</v>
      </c>
      <c r="I91" s="277">
        <v>15513</v>
      </c>
    </row>
    <row r="92" spans="1:9" ht="19.5" thickBot="1" x14ac:dyDescent="0.35">
      <c r="A92" s="185" t="s">
        <v>58</v>
      </c>
      <c r="B92" s="170">
        <v>3540</v>
      </c>
      <c r="C92" s="195">
        <f t="shared" si="14"/>
        <v>7675</v>
      </c>
      <c r="D92" s="170">
        <v>842763</v>
      </c>
      <c r="E92" s="159">
        <f t="shared" si="15"/>
        <v>238.06864406779661</v>
      </c>
      <c r="G92" s="64"/>
      <c r="H92" s="277">
        <v>3437</v>
      </c>
      <c r="I92" s="277">
        <v>4238</v>
      </c>
    </row>
    <row r="93" spans="1:9" ht="19.5" thickBot="1" x14ac:dyDescent="0.35">
      <c r="A93" s="156" t="s">
        <v>59</v>
      </c>
      <c r="B93" s="173">
        <v>5413</v>
      </c>
      <c r="C93" s="195">
        <f t="shared" si="14"/>
        <v>11347</v>
      </c>
      <c r="D93" s="170">
        <v>1257979</v>
      </c>
      <c r="E93" s="159">
        <f>D93/B93</f>
        <v>232.39959357103271</v>
      </c>
      <c r="G93" s="64"/>
      <c r="H93" s="277">
        <v>4966</v>
      </c>
      <c r="I93" s="277">
        <v>6381</v>
      </c>
    </row>
    <row r="94" spans="1:9" ht="19.5" thickBot="1" x14ac:dyDescent="0.35">
      <c r="A94" s="135" t="s">
        <v>91</v>
      </c>
      <c r="B94" s="141">
        <f>SUM(B85:B93)</f>
        <v>43310</v>
      </c>
      <c r="C94" s="141">
        <f>SUM(C85:C93)</f>
        <v>91114</v>
      </c>
      <c r="D94" s="141">
        <f>SUM(D85:D93)</f>
        <v>10121716</v>
      </c>
      <c r="E94" s="179">
        <f>D94/B94</f>
        <v>233.70390210113138</v>
      </c>
      <c r="G94" s="64"/>
      <c r="H94" s="277"/>
      <c r="I94" s="277"/>
    </row>
    <row r="95" spans="1:9" ht="19.5" thickBot="1" x14ac:dyDescent="0.35">
      <c r="A95" s="147"/>
      <c r="B95" s="148"/>
      <c r="C95" s="148"/>
      <c r="D95" s="148"/>
      <c r="E95" s="149"/>
      <c r="G95" s="64"/>
      <c r="H95" s="277"/>
      <c r="I95" s="277"/>
    </row>
    <row r="96" spans="1:9" ht="19.5" thickBot="1" x14ac:dyDescent="0.35">
      <c r="A96" s="140" t="s">
        <v>8</v>
      </c>
      <c r="B96" s="177"/>
      <c r="C96" s="177"/>
      <c r="D96" s="177"/>
      <c r="E96" s="178"/>
      <c r="G96" s="64"/>
      <c r="H96" s="277"/>
      <c r="I96" s="277"/>
    </row>
    <row r="97" spans="1:9" ht="19.5" thickBot="1" x14ac:dyDescent="0.35">
      <c r="A97" s="186" t="s">
        <v>73</v>
      </c>
      <c r="B97" s="180">
        <v>4147</v>
      </c>
      <c r="C97" s="195">
        <f t="shared" ref="C97:C107" si="16">H97+I97</f>
        <v>10071</v>
      </c>
      <c r="D97" s="182">
        <v>1117128</v>
      </c>
      <c r="E97" s="159">
        <f t="shared" ref="E97:E108" si="17">D97/B97</f>
        <v>269.38220400289367</v>
      </c>
      <c r="G97" s="64"/>
      <c r="H97" s="277">
        <v>4722</v>
      </c>
      <c r="I97" s="277">
        <v>5349</v>
      </c>
    </row>
    <row r="98" spans="1:9" ht="19.5" thickBot="1" x14ac:dyDescent="0.35">
      <c r="A98" s="187" t="s">
        <v>60</v>
      </c>
      <c r="B98" s="170">
        <v>4671</v>
      </c>
      <c r="C98" s="195">
        <f t="shared" si="16"/>
        <v>9812</v>
      </c>
      <c r="D98" s="170">
        <v>1085181</v>
      </c>
      <c r="E98" s="159">
        <f t="shared" si="17"/>
        <v>232.32305716120746</v>
      </c>
      <c r="G98" s="64"/>
      <c r="H98" s="277">
        <v>4323</v>
      </c>
      <c r="I98" s="277">
        <v>5489</v>
      </c>
    </row>
    <row r="99" spans="1:9" ht="19.5" thickBot="1" x14ac:dyDescent="0.35">
      <c r="A99" s="187" t="s">
        <v>61</v>
      </c>
      <c r="B99" s="170">
        <v>6504</v>
      </c>
      <c r="C99" s="195">
        <f t="shared" si="16"/>
        <v>14333</v>
      </c>
      <c r="D99" s="170">
        <v>1587196</v>
      </c>
      <c r="E99" s="159">
        <f t="shared" si="17"/>
        <v>244.03382533825339</v>
      </c>
      <c r="G99" s="64"/>
      <c r="H99" s="277">
        <v>6344</v>
      </c>
      <c r="I99" s="277">
        <v>7989</v>
      </c>
    </row>
    <row r="100" spans="1:9" ht="19.5" thickBot="1" x14ac:dyDescent="0.35">
      <c r="A100" s="156" t="s">
        <v>62</v>
      </c>
      <c r="B100" s="170">
        <v>3809</v>
      </c>
      <c r="C100" s="195">
        <f t="shared" si="16"/>
        <v>8681</v>
      </c>
      <c r="D100" s="170">
        <v>960369</v>
      </c>
      <c r="E100" s="159">
        <f t="shared" si="17"/>
        <v>252.13153058545549</v>
      </c>
      <c r="G100" s="64"/>
      <c r="H100" s="277">
        <v>3863</v>
      </c>
      <c r="I100" s="277">
        <v>4818</v>
      </c>
    </row>
    <row r="101" spans="1:9" ht="19.5" thickBot="1" x14ac:dyDescent="0.35">
      <c r="A101" s="156" t="s">
        <v>63</v>
      </c>
      <c r="B101" s="170">
        <v>3178</v>
      </c>
      <c r="C101" s="195">
        <f t="shared" si="16"/>
        <v>7936</v>
      </c>
      <c r="D101" s="170">
        <v>880148</v>
      </c>
      <c r="E101" s="159">
        <f t="shared" si="17"/>
        <v>276.95028319697923</v>
      </c>
      <c r="G101" s="64"/>
      <c r="H101" s="277">
        <v>3771</v>
      </c>
      <c r="I101" s="277">
        <v>4165</v>
      </c>
    </row>
    <row r="102" spans="1:9" ht="19.5" thickBot="1" x14ac:dyDescent="0.35">
      <c r="A102" s="156" t="s">
        <v>64</v>
      </c>
      <c r="B102" s="170">
        <v>7085</v>
      </c>
      <c r="C102" s="195">
        <f t="shared" si="16"/>
        <v>16549</v>
      </c>
      <c r="D102" s="170">
        <v>1809109</v>
      </c>
      <c r="E102" s="159">
        <f t="shared" si="17"/>
        <v>255.34354269583628</v>
      </c>
      <c r="G102" s="64"/>
      <c r="H102" s="277">
        <v>7115</v>
      </c>
      <c r="I102" s="277">
        <v>9434</v>
      </c>
    </row>
    <row r="103" spans="1:9" ht="19.5" thickBot="1" x14ac:dyDescent="0.35">
      <c r="A103" s="156" t="s">
        <v>65</v>
      </c>
      <c r="B103" s="170">
        <v>4945</v>
      </c>
      <c r="C103" s="195">
        <f t="shared" si="16"/>
        <v>11756</v>
      </c>
      <c r="D103" s="170">
        <v>1282444</v>
      </c>
      <c r="E103" s="159">
        <f t="shared" si="17"/>
        <v>259.34155712841255</v>
      </c>
      <c r="G103" s="64"/>
      <c r="H103" s="277">
        <v>5662</v>
      </c>
      <c r="I103" s="277">
        <v>6094</v>
      </c>
    </row>
    <row r="104" spans="1:9" ht="19.5" thickBot="1" x14ac:dyDescent="0.35">
      <c r="A104" s="156" t="s">
        <v>66</v>
      </c>
      <c r="B104" s="170">
        <v>4023</v>
      </c>
      <c r="C104" s="195">
        <f t="shared" si="16"/>
        <v>9810</v>
      </c>
      <c r="D104" s="170">
        <v>1067550</v>
      </c>
      <c r="E104" s="159">
        <f t="shared" si="17"/>
        <v>265.36167039522746</v>
      </c>
      <c r="G104" s="64"/>
      <c r="H104" s="277">
        <v>4444</v>
      </c>
      <c r="I104" s="277">
        <v>5366</v>
      </c>
    </row>
    <row r="105" spans="1:9" ht="19.5" thickBot="1" x14ac:dyDescent="0.35">
      <c r="A105" s="156" t="s">
        <v>119</v>
      </c>
      <c r="B105" s="170">
        <v>26319</v>
      </c>
      <c r="C105" s="195">
        <f t="shared" si="16"/>
        <v>59631</v>
      </c>
      <c r="D105" s="170">
        <v>6628259</v>
      </c>
      <c r="E105" s="159">
        <f t="shared" si="17"/>
        <v>251.84311713970897</v>
      </c>
      <c r="G105" s="64"/>
      <c r="H105" s="277">
        <v>24911</v>
      </c>
      <c r="I105" s="277">
        <v>34720</v>
      </c>
    </row>
    <row r="106" spans="1:9" ht="19.5" thickBot="1" x14ac:dyDescent="0.35">
      <c r="A106" s="156" t="s">
        <v>67</v>
      </c>
      <c r="B106" s="170">
        <v>4652</v>
      </c>
      <c r="C106" s="195">
        <f t="shared" si="16"/>
        <v>11008</v>
      </c>
      <c r="D106" s="170">
        <v>1213412</v>
      </c>
      <c r="E106" s="159">
        <f t="shared" si="17"/>
        <v>260.83662940670678</v>
      </c>
      <c r="G106" s="64"/>
      <c r="H106" s="277">
        <v>5016</v>
      </c>
      <c r="I106" s="277">
        <v>5992</v>
      </c>
    </row>
    <row r="107" spans="1:9" ht="19.5" thickBot="1" x14ac:dyDescent="0.35">
      <c r="A107" s="156" t="s">
        <v>68</v>
      </c>
      <c r="B107" s="173">
        <v>6913</v>
      </c>
      <c r="C107" s="195">
        <f t="shared" si="16"/>
        <v>15284</v>
      </c>
      <c r="D107" s="170">
        <v>1677974</v>
      </c>
      <c r="E107" s="159">
        <f t="shared" si="17"/>
        <v>242.72732532909012</v>
      </c>
      <c r="G107" s="64"/>
      <c r="H107" s="277">
        <v>6778</v>
      </c>
      <c r="I107" s="277">
        <v>8506</v>
      </c>
    </row>
    <row r="108" spans="1:9" ht="19.5" thickBot="1" x14ac:dyDescent="0.35">
      <c r="A108" s="135" t="s">
        <v>91</v>
      </c>
      <c r="B108" s="141">
        <f>SUM(B97:B107)</f>
        <v>76246</v>
      </c>
      <c r="C108" s="141">
        <f>SUM(C97:C107)</f>
        <v>174871</v>
      </c>
      <c r="D108" s="141">
        <f>SUM(D97:D107)</f>
        <v>19308770</v>
      </c>
      <c r="E108" s="179">
        <f t="shared" si="17"/>
        <v>253.24305537339663</v>
      </c>
      <c r="G108" s="64"/>
      <c r="H108" s="277"/>
      <c r="I108" s="277"/>
    </row>
    <row r="109" spans="1:9" ht="19.5" thickBot="1" x14ac:dyDescent="0.35">
      <c r="A109" s="147"/>
      <c r="B109" s="148"/>
      <c r="C109" s="148"/>
      <c r="D109" s="148"/>
      <c r="E109" s="149"/>
      <c r="G109" s="64"/>
      <c r="H109" s="277"/>
      <c r="I109" s="277"/>
    </row>
    <row r="110" spans="1:9" ht="19.5" thickBot="1" x14ac:dyDescent="0.35">
      <c r="A110" s="176" t="s">
        <v>9</v>
      </c>
      <c r="B110" s="177"/>
      <c r="C110" s="177"/>
      <c r="D110" s="177"/>
      <c r="E110" s="178"/>
      <c r="G110" s="64"/>
      <c r="H110" s="277"/>
      <c r="I110" s="277"/>
    </row>
    <row r="111" spans="1:9" ht="19.5" thickBot="1" x14ac:dyDescent="0.35">
      <c r="A111" s="151" t="s">
        <v>99</v>
      </c>
      <c r="B111" s="180">
        <v>1204</v>
      </c>
      <c r="C111" s="195">
        <f>H111+I111</f>
        <v>2903</v>
      </c>
      <c r="D111" s="182">
        <v>323734</v>
      </c>
      <c r="E111" s="159">
        <f>D111/B111</f>
        <v>268.88205980066448</v>
      </c>
      <c r="G111" s="64"/>
      <c r="H111" s="277">
        <v>1144</v>
      </c>
      <c r="I111" s="277">
        <v>1759</v>
      </c>
    </row>
    <row r="112" spans="1:9" ht="19.5" thickBot="1" x14ac:dyDescent="0.35">
      <c r="A112" s="156" t="s">
        <v>100</v>
      </c>
      <c r="B112" s="170">
        <v>9143</v>
      </c>
      <c r="C112" s="195">
        <f>H112+I112</f>
        <v>18953</v>
      </c>
      <c r="D112" s="170">
        <v>2119742</v>
      </c>
      <c r="E112" s="159">
        <f>D112/B112</f>
        <v>231.84315870064529</v>
      </c>
      <c r="G112" s="64"/>
      <c r="H112" s="277">
        <v>7612</v>
      </c>
      <c r="I112" s="277">
        <v>11341</v>
      </c>
    </row>
    <row r="113" spans="1:9" ht="19.5" thickBot="1" x14ac:dyDescent="0.35">
      <c r="A113" s="156" t="s">
        <v>101</v>
      </c>
      <c r="B113" s="170">
        <v>28493</v>
      </c>
      <c r="C113" s="195">
        <f>H113+I113</f>
        <v>60910</v>
      </c>
      <c r="D113" s="170">
        <v>6829727</v>
      </c>
      <c r="E113" s="159">
        <f>D113/B113</f>
        <v>239.69841715509074</v>
      </c>
      <c r="G113" s="64"/>
      <c r="H113" s="277">
        <v>23105</v>
      </c>
      <c r="I113" s="277">
        <v>37805</v>
      </c>
    </row>
    <row r="114" spans="1:9" ht="19.5" thickBot="1" x14ac:dyDescent="0.35">
      <c r="A114" s="185" t="s">
        <v>102</v>
      </c>
      <c r="B114" s="173">
        <v>10573</v>
      </c>
      <c r="C114" s="195">
        <f>H114+I114</f>
        <v>21528</v>
      </c>
      <c r="D114" s="170">
        <v>2435480</v>
      </c>
      <c r="E114" s="159">
        <f>D114/B114</f>
        <v>230.34900217535233</v>
      </c>
      <c r="G114" s="64"/>
      <c r="H114" s="277">
        <v>8191</v>
      </c>
      <c r="I114" s="277">
        <v>13337</v>
      </c>
    </row>
    <row r="115" spans="1:9" ht="19.5" thickBot="1" x14ac:dyDescent="0.35">
      <c r="A115" s="135" t="s">
        <v>91</v>
      </c>
      <c r="B115" s="141">
        <f>SUM(B111:B114)</f>
        <v>49413</v>
      </c>
      <c r="C115" s="141">
        <f>SUM(C111:C114)</f>
        <v>104294</v>
      </c>
      <c r="D115" s="141">
        <f>SUM(D111:D114)</f>
        <v>11708683</v>
      </c>
      <c r="E115" s="179">
        <f>D115/B115</f>
        <v>236.9555177787222</v>
      </c>
      <c r="G115" s="64"/>
      <c r="H115" s="277"/>
      <c r="I115" s="277"/>
    </row>
    <row r="116" spans="1:9" ht="19.5" thickBot="1" x14ac:dyDescent="0.35">
      <c r="A116" s="147"/>
      <c r="B116" s="148"/>
      <c r="C116" s="148"/>
      <c r="D116" s="148"/>
      <c r="E116" s="149"/>
      <c r="G116" s="64"/>
      <c r="H116" s="277"/>
      <c r="I116" s="277"/>
    </row>
    <row r="117" spans="1:9" ht="19.5" thickBot="1" x14ac:dyDescent="0.35">
      <c r="A117" s="134" t="s">
        <v>74</v>
      </c>
      <c r="B117" s="142">
        <f>B15+B29+B41+B51+B60+B69+B82+B94+B108+B115</f>
        <v>519659</v>
      </c>
      <c r="C117" s="142">
        <f>C15+C29+C41+C51+C60+C69+C82+C94+C108+C115</f>
        <v>1120525</v>
      </c>
      <c r="D117" s="142">
        <f>D15+D29+D41+D51+D60+D69+D82+D94+D108+D115</f>
        <v>124544161</v>
      </c>
      <c r="E117" s="178">
        <f>SUM(E8:E114)</f>
        <v>21427.270470949468</v>
      </c>
      <c r="G117" s="64"/>
      <c r="H117" s="277">
        <f>SUM(H8:H116)</f>
        <v>463206</v>
      </c>
      <c r="I117" s="277">
        <f>SUM(I8:I116)</f>
        <v>627479</v>
      </c>
    </row>
    <row r="118" spans="1:9" x14ac:dyDescent="0.3">
      <c r="G118" s="64"/>
    </row>
    <row r="119" spans="1:9" x14ac:dyDescent="0.3">
      <c r="B119" s="294"/>
    </row>
  </sheetData>
  <mergeCells count="6">
    <mergeCell ref="H6:I6"/>
    <mergeCell ref="A5:E5"/>
    <mergeCell ref="A1:E1"/>
    <mergeCell ref="A2:E2"/>
    <mergeCell ref="A3:E3"/>
    <mergeCell ref="A4:E4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3"/>
  <sheetViews>
    <sheetView zoomScale="75" workbookViewId="0">
      <selection activeCell="A9" sqref="A9"/>
    </sheetView>
  </sheetViews>
  <sheetFormatPr defaultRowHeight="18.75" x14ac:dyDescent="0.3"/>
  <cols>
    <col min="1" max="1" width="23.42578125" style="150" customWidth="1"/>
    <col min="2" max="5" width="15.7109375" style="64" customWidth="1"/>
    <col min="6" max="6" width="9.140625" style="64"/>
    <col min="7" max="7" width="5" style="18" customWidth="1"/>
    <col min="8" max="8" width="14.42578125" style="18" hidden="1" customWidth="1"/>
    <col min="9" max="9" width="13.5703125" style="18" hidden="1" customWidth="1"/>
    <col min="10" max="16" width="9.140625" style="18"/>
    <col min="17" max="16384" width="9.140625" style="1"/>
  </cols>
  <sheetData>
    <row r="1" spans="1:12" x14ac:dyDescent="0.3">
      <c r="A1" s="354" t="s">
        <v>10</v>
      </c>
      <c r="B1" s="354"/>
      <c r="C1" s="354"/>
      <c r="D1" s="354"/>
      <c r="E1" s="354"/>
    </row>
    <row r="2" spans="1:12" x14ac:dyDescent="0.3">
      <c r="A2" s="354" t="s">
        <v>71</v>
      </c>
      <c r="B2" s="354"/>
      <c r="C2" s="354"/>
      <c r="D2" s="354"/>
      <c r="E2" s="354"/>
    </row>
    <row r="3" spans="1:12" x14ac:dyDescent="0.3">
      <c r="A3" s="357" t="s">
        <v>112</v>
      </c>
      <c r="B3" s="357"/>
      <c r="C3" s="357"/>
      <c r="D3" s="357"/>
      <c r="E3" s="357"/>
    </row>
    <row r="4" spans="1:12" x14ac:dyDescent="0.3">
      <c r="A4" s="354" t="s">
        <v>156</v>
      </c>
      <c r="B4" s="354"/>
      <c r="C4" s="354"/>
      <c r="D4" s="354"/>
      <c r="E4" s="354"/>
    </row>
    <row r="5" spans="1:12" ht="19.5" thickBot="1" x14ac:dyDescent="0.35">
      <c r="A5" s="354"/>
      <c r="B5" s="358"/>
      <c r="C5" s="358"/>
      <c r="D5" s="358"/>
      <c r="E5" s="358"/>
    </row>
    <row r="6" spans="1:12" ht="57" thickBot="1" x14ac:dyDescent="0.35">
      <c r="A6" s="188"/>
      <c r="B6" s="189" t="s">
        <v>75</v>
      </c>
      <c r="C6" s="190" t="s">
        <v>76</v>
      </c>
      <c r="D6" s="190" t="s">
        <v>77</v>
      </c>
      <c r="E6" s="190" t="s">
        <v>78</v>
      </c>
      <c r="H6" s="362" t="s">
        <v>153</v>
      </c>
      <c r="I6" s="362"/>
    </row>
    <row r="7" spans="1:12" ht="21.75" customHeight="1" thickBot="1" x14ac:dyDescent="0.35">
      <c r="A7" s="176" t="s">
        <v>0</v>
      </c>
      <c r="B7" s="203"/>
      <c r="C7" s="203"/>
      <c r="D7" s="203"/>
      <c r="E7" s="138"/>
      <c r="H7" s="276" t="s">
        <v>154</v>
      </c>
      <c r="I7" s="276" t="s">
        <v>155</v>
      </c>
    </row>
    <row r="8" spans="1:12" x14ac:dyDescent="0.3">
      <c r="A8" s="151" t="s">
        <v>11</v>
      </c>
      <c r="B8" s="152">
        <v>6009</v>
      </c>
      <c r="C8" s="153">
        <f t="shared" ref="C8:C14" si="0">H8+I8</f>
        <v>13702</v>
      </c>
      <c r="D8" s="154">
        <v>1521265</v>
      </c>
      <c r="E8" s="155">
        <f>D8/B8</f>
        <v>253.16442003661174</v>
      </c>
      <c r="H8" s="278">
        <v>6028</v>
      </c>
      <c r="I8" s="278">
        <v>7674</v>
      </c>
    </row>
    <row r="9" spans="1:12" x14ac:dyDescent="0.3">
      <c r="A9" s="156" t="s">
        <v>0</v>
      </c>
      <c r="B9" s="157">
        <v>10105</v>
      </c>
      <c r="C9" s="153">
        <f t="shared" si="0"/>
        <v>21009</v>
      </c>
      <c r="D9" s="157">
        <v>2395388</v>
      </c>
      <c r="E9" s="159">
        <f t="shared" ref="E9:E15" si="1">D9/B9</f>
        <v>237.0497773379515</v>
      </c>
      <c r="H9" s="277">
        <v>9158</v>
      </c>
      <c r="I9" s="277">
        <v>11851</v>
      </c>
    </row>
    <row r="10" spans="1:12" x14ac:dyDescent="0.3">
      <c r="A10" s="156" t="s">
        <v>12</v>
      </c>
      <c r="B10" s="157">
        <v>6834</v>
      </c>
      <c r="C10" s="153">
        <f t="shared" si="0"/>
        <v>14476</v>
      </c>
      <c r="D10" s="157">
        <v>1623861</v>
      </c>
      <c r="E10" s="159">
        <f t="shared" si="1"/>
        <v>237.61501316944688</v>
      </c>
      <c r="H10" s="277">
        <v>6378</v>
      </c>
      <c r="I10" s="277">
        <v>8098</v>
      </c>
      <c r="L10" s="279"/>
    </row>
    <row r="11" spans="1:12" x14ac:dyDescent="0.3">
      <c r="A11" s="156" t="s">
        <v>13</v>
      </c>
      <c r="B11" s="157">
        <v>1723</v>
      </c>
      <c r="C11" s="153">
        <f t="shared" si="0"/>
        <v>3813</v>
      </c>
      <c r="D11" s="157">
        <v>432867</v>
      </c>
      <c r="E11" s="159">
        <f t="shared" si="1"/>
        <v>251.22867092280904</v>
      </c>
      <c r="H11" s="277">
        <v>1826</v>
      </c>
      <c r="I11" s="277">
        <v>1987</v>
      </c>
    </row>
    <row r="12" spans="1:12" x14ac:dyDescent="0.3">
      <c r="A12" s="156" t="s">
        <v>14</v>
      </c>
      <c r="B12" s="157">
        <v>7140</v>
      </c>
      <c r="C12" s="153">
        <f t="shared" si="0"/>
        <v>16159</v>
      </c>
      <c r="D12" s="157">
        <v>1824074</v>
      </c>
      <c r="E12" s="159">
        <f>D12/B12</f>
        <v>255.47254901960784</v>
      </c>
      <c r="H12" s="277">
        <v>7436</v>
      </c>
      <c r="I12" s="277">
        <v>8723</v>
      </c>
    </row>
    <row r="13" spans="1:12" x14ac:dyDescent="0.3">
      <c r="A13" s="156" t="s">
        <v>15</v>
      </c>
      <c r="B13" s="157">
        <v>2507</v>
      </c>
      <c r="C13" s="153">
        <f t="shared" si="0"/>
        <v>5117</v>
      </c>
      <c r="D13" s="157">
        <v>578805</v>
      </c>
      <c r="E13" s="159">
        <f t="shared" si="1"/>
        <v>230.87554846429995</v>
      </c>
      <c r="H13" s="277">
        <v>2291</v>
      </c>
      <c r="I13" s="277">
        <v>2826</v>
      </c>
    </row>
    <row r="14" spans="1:12" ht="19.5" thickBot="1" x14ac:dyDescent="0.35">
      <c r="A14" s="160" t="s">
        <v>218</v>
      </c>
      <c r="B14" s="161">
        <v>8764</v>
      </c>
      <c r="C14" s="153">
        <f t="shared" si="0"/>
        <v>18062</v>
      </c>
      <c r="D14" s="163">
        <v>2059986</v>
      </c>
      <c r="E14" s="164">
        <f t="shared" si="1"/>
        <v>235.05089000456414</v>
      </c>
      <c r="H14" s="277">
        <v>8067</v>
      </c>
      <c r="I14" s="277">
        <v>9995</v>
      </c>
    </row>
    <row r="15" spans="1:12" ht="19.5" thickBot="1" x14ac:dyDescent="0.35">
      <c r="A15" s="135" t="s">
        <v>85</v>
      </c>
      <c r="B15" s="192">
        <f>SUM(B8:B14)</f>
        <v>43082</v>
      </c>
      <c r="C15" s="192">
        <f>SUM(C8:C14)</f>
        <v>92338</v>
      </c>
      <c r="D15" s="192">
        <f>SUM(D8:D14)</f>
        <v>10436246</v>
      </c>
      <c r="E15" s="179">
        <f t="shared" si="1"/>
        <v>242.24144654380021</v>
      </c>
      <c r="H15" s="277"/>
      <c r="I15" s="277"/>
    </row>
    <row r="16" spans="1:12" ht="19.5" thickBot="1" x14ac:dyDescent="0.35">
      <c r="A16" s="144"/>
      <c r="B16" s="145"/>
      <c r="C16" s="145"/>
      <c r="D16" s="145"/>
      <c r="E16" s="145"/>
      <c r="H16" s="277"/>
      <c r="I16" s="277"/>
    </row>
    <row r="17" spans="1:16" ht="19.5" thickBot="1" x14ac:dyDescent="0.35">
      <c r="A17" s="140" t="s">
        <v>1</v>
      </c>
      <c r="B17" s="202"/>
      <c r="C17" s="202"/>
      <c r="D17" s="202"/>
      <c r="E17" s="183"/>
      <c r="H17" s="277"/>
      <c r="I17" s="277"/>
    </row>
    <row r="18" spans="1:16" s="2" customFormat="1" x14ac:dyDescent="0.3">
      <c r="A18" s="165" t="s">
        <v>208</v>
      </c>
      <c r="B18" s="166">
        <v>17547</v>
      </c>
      <c r="C18" s="167">
        <f>H18+I18</f>
        <v>35076</v>
      </c>
      <c r="D18" s="168">
        <v>4043601</v>
      </c>
      <c r="E18" s="164">
        <f t="shared" ref="E18:E29" si="2">D18/B18</f>
        <v>230.44400752265344</v>
      </c>
      <c r="F18" s="193"/>
      <c r="G18" s="42"/>
      <c r="H18" s="277">
        <v>15213</v>
      </c>
      <c r="I18" s="277">
        <v>19863</v>
      </c>
      <c r="J18" s="42"/>
      <c r="K18" s="42"/>
      <c r="L18" s="42"/>
      <c r="M18" s="42"/>
      <c r="N18" s="42"/>
      <c r="O18" s="42"/>
      <c r="P18" s="42"/>
    </row>
    <row r="19" spans="1:16" x14ac:dyDescent="0.3">
      <c r="A19" s="211" t="s">
        <v>16</v>
      </c>
      <c r="B19" s="170">
        <v>4854</v>
      </c>
      <c r="C19" s="171">
        <f>H19+I19</f>
        <v>10165</v>
      </c>
      <c r="D19" s="170">
        <v>1161248</v>
      </c>
      <c r="E19" s="159">
        <f t="shared" si="2"/>
        <v>239.23526988051091</v>
      </c>
      <c r="H19" s="277">
        <v>4352</v>
      </c>
      <c r="I19" s="277">
        <v>5813</v>
      </c>
    </row>
    <row r="20" spans="1:16" x14ac:dyDescent="0.3">
      <c r="A20" s="156" t="s">
        <v>17</v>
      </c>
      <c r="B20" s="170">
        <v>6133</v>
      </c>
      <c r="C20" s="171">
        <f>H20+I20</f>
        <v>12973</v>
      </c>
      <c r="D20" s="170">
        <v>1460202</v>
      </c>
      <c r="E20" s="159">
        <f t="shared" si="2"/>
        <v>238.089352682211</v>
      </c>
      <c r="H20" s="277">
        <v>5797</v>
      </c>
      <c r="I20" s="277">
        <v>7176</v>
      </c>
    </row>
    <row r="21" spans="1:16" x14ac:dyDescent="0.3">
      <c r="A21" s="156" t="s">
        <v>18</v>
      </c>
      <c r="B21" s="170">
        <v>3969</v>
      </c>
      <c r="C21" s="171">
        <f>H21+I21</f>
        <v>8823</v>
      </c>
      <c r="D21" s="170">
        <v>993271</v>
      </c>
      <c r="E21" s="159">
        <f t="shared" si="2"/>
        <v>250.25724363819603</v>
      </c>
      <c r="H21" s="277">
        <v>3976</v>
      </c>
      <c r="I21" s="277">
        <v>4847</v>
      </c>
    </row>
    <row r="22" spans="1:16" x14ac:dyDescent="0.3">
      <c r="A22" s="156" t="s">
        <v>19</v>
      </c>
      <c r="B22" s="170">
        <v>2557</v>
      </c>
      <c r="C22" s="171">
        <f>H22+I22</f>
        <v>5654</v>
      </c>
      <c r="D22" s="170">
        <v>636162</v>
      </c>
      <c r="E22" s="159">
        <f t="shared" si="2"/>
        <v>248.79233476730545</v>
      </c>
      <c r="H22" s="277">
        <v>2498</v>
      </c>
      <c r="I22" s="277">
        <v>3156</v>
      </c>
    </row>
    <row r="23" spans="1:16" x14ac:dyDescent="0.3">
      <c r="A23" s="156" t="s">
        <v>20</v>
      </c>
      <c r="B23" s="170">
        <v>6898</v>
      </c>
      <c r="C23" s="171">
        <f t="shared" ref="C23:C28" si="3">H23+I23</f>
        <v>14706</v>
      </c>
      <c r="D23" s="170">
        <v>1663371</v>
      </c>
      <c r="E23" s="159">
        <f t="shared" si="2"/>
        <v>241.13815598724267</v>
      </c>
      <c r="H23" s="277">
        <v>6462</v>
      </c>
      <c r="I23" s="277">
        <v>8244</v>
      </c>
    </row>
    <row r="24" spans="1:16" x14ac:dyDescent="0.3">
      <c r="A24" s="156" t="s">
        <v>21</v>
      </c>
      <c r="B24" s="170">
        <v>6270</v>
      </c>
      <c r="C24" s="171">
        <f t="shared" si="3"/>
        <v>14205</v>
      </c>
      <c r="D24" s="170">
        <v>1608070</v>
      </c>
      <c r="E24" s="159">
        <f t="shared" si="2"/>
        <v>256.47049441786282</v>
      </c>
      <c r="H24" s="277">
        <v>6669</v>
      </c>
      <c r="I24" s="277">
        <v>7536</v>
      </c>
    </row>
    <row r="25" spans="1:16" x14ac:dyDescent="0.3">
      <c r="A25" s="156" t="s">
        <v>69</v>
      </c>
      <c r="B25" s="170">
        <v>8175</v>
      </c>
      <c r="C25" s="171">
        <f t="shared" si="3"/>
        <v>16734</v>
      </c>
      <c r="D25" s="170">
        <v>1906749</v>
      </c>
      <c r="E25" s="159">
        <f t="shared" si="2"/>
        <v>233.24146788990825</v>
      </c>
      <c r="H25" s="277">
        <v>7074</v>
      </c>
      <c r="I25" s="277">
        <v>9660</v>
      </c>
    </row>
    <row r="26" spans="1:16" x14ac:dyDescent="0.3">
      <c r="A26" s="156" t="s">
        <v>22</v>
      </c>
      <c r="B26" s="170">
        <v>5299</v>
      </c>
      <c r="C26" s="171">
        <f t="shared" si="3"/>
        <v>12731</v>
      </c>
      <c r="D26" s="170">
        <v>1415065</v>
      </c>
      <c r="E26" s="159">
        <f t="shared" si="2"/>
        <v>267.04378184563126</v>
      </c>
      <c r="H26" s="277">
        <v>5756</v>
      </c>
      <c r="I26" s="277">
        <v>6975</v>
      </c>
    </row>
    <row r="27" spans="1:16" x14ac:dyDescent="0.3">
      <c r="A27" s="156" t="s">
        <v>23</v>
      </c>
      <c r="B27" s="170">
        <v>4509</v>
      </c>
      <c r="C27" s="171">
        <f t="shared" si="3"/>
        <v>9979</v>
      </c>
      <c r="D27" s="170">
        <v>1110399</v>
      </c>
      <c r="E27" s="159">
        <f t="shared" si="2"/>
        <v>246.26280771789754</v>
      </c>
      <c r="H27" s="277">
        <v>4441</v>
      </c>
      <c r="I27" s="277">
        <v>5538</v>
      </c>
    </row>
    <row r="28" spans="1:16" ht="19.5" thickBot="1" x14ac:dyDescent="0.35">
      <c r="A28" s="172" t="s">
        <v>207</v>
      </c>
      <c r="B28" s="173">
        <v>6412</v>
      </c>
      <c r="C28" s="171">
        <f t="shared" si="3"/>
        <v>14605</v>
      </c>
      <c r="D28" s="175">
        <v>1653679</v>
      </c>
      <c r="E28" s="164">
        <f t="shared" si="2"/>
        <v>257.90377417342484</v>
      </c>
      <c r="H28" s="277">
        <v>6775</v>
      </c>
      <c r="I28" s="277">
        <v>7830</v>
      </c>
    </row>
    <row r="29" spans="1:16" ht="19.5" thickBot="1" x14ac:dyDescent="0.35">
      <c r="A29" s="135" t="s">
        <v>88</v>
      </c>
      <c r="B29" s="141">
        <f>SUM(B18:B28)</f>
        <v>72623</v>
      </c>
      <c r="C29" s="141">
        <f>SUM(C18:C28)</f>
        <v>155651</v>
      </c>
      <c r="D29" s="141">
        <f>SUM(D18:D28)</f>
        <v>17651817</v>
      </c>
      <c r="E29" s="179">
        <f t="shared" si="2"/>
        <v>243.06097241920602</v>
      </c>
      <c r="H29" s="277"/>
      <c r="I29" s="277"/>
    </row>
    <row r="30" spans="1:16" ht="19.5" thickBot="1" x14ac:dyDescent="0.35">
      <c r="A30" s="144"/>
      <c r="B30" s="146"/>
      <c r="C30" s="146"/>
      <c r="D30" s="146"/>
      <c r="E30" s="145"/>
      <c r="H30" s="277"/>
      <c r="I30" s="277"/>
    </row>
    <row r="31" spans="1:16" ht="19.5" thickBot="1" x14ac:dyDescent="0.35">
      <c r="A31" s="176" t="s">
        <v>2</v>
      </c>
      <c r="B31" s="177"/>
      <c r="C31" s="177"/>
      <c r="D31" s="177"/>
      <c r="E31" s="178"/>
      <c r="H31" s="277"/>
      <c r="I31" s="277"/>
    </row>
    <row r="32" spans="1:16" x14ac:dyDescent="0.3">
      <c r="A32" s="151" t="s">
        <v>2</v>
      </c>
      <c r="B32" s="180">
        <v>21199</v>
      </c>
      <c r="C32" s="181">
        <v>44775</v>
      </c>
      <c r="D32" s="182">
        <v>5062299</v>
      </c>
      <c r="E32" s="159">
        <f t="shared" ref="E32:E41" si="4">D32/B32</f>
        <v>238.79895278079155</v>
      </c>
      <c r="H32" s="277">
        <v>5778</v>
      </c>
      <c r="I32" s="277">
        <v>8975</v>
      </c>
    </row>
    <row r="33" spans="1:9" x14ac:dyDescent="0.3">
      <c r="A33" s="156" t="s">
        <v>25</v>
      </c>
      <c r="B33" s="170">
        <v>3878</v>
      </c>
      <c r="C33" s="181">
        <f t="shared" ref="C33:C40" si="5">H33+I33</f>
        <v>8609</v>
      </c>
      <c r="D33" s="170">
        <v>977591</v>
      </c>
      <c r="E33" s="159">
        <f t="shared" si="4"/>
        <v>252.08638473439916</v>
      </c>
      <c r="H33" s="277">
        <v>3305</v>
      </c>
      <c r="I33" s="277">
        <v>5304</v>
      </c>
    </row>
    <row r="34" spans="1:9" x14ac:dyDescent="0.3">
      <c r="A34" s="156" t="s">
        <v>26</v>
      </c>
      <c r="B34" s="170">
        <v>6430</v>
      </c>
      <c r="C34" s="181">
        <f t="shared" si="5"/>
        <v>14494</v>
      </c>
      <c r="D34" s="170">
        <v>1619323</v>
      </c>
      <c r="E34" s="159">
        <f t="shared" si="4"/>
        <v>251.83872472783827</v>
      </c>
      <c r="H34" s="277">
        <v>6512</v>
      </c>
      <c r="I34" s="277">
        <v>7982</v>
      </c>
    </row>
    <row r="35" spans="1:9" x14ac:dyDescent="0.3">
      <c r="A35" s="156" t="s">
        <v>27</v>
      </c>
      <c r="B35" s="170">
        <v>4047</v>
      </c>
      <c r="C35" s="181">
        <f t="shared" si="5"/>
        <v>8739</v>
      </c>
      <c r="D35" s="170">
        <v>970818</v>
      </c>
      <c r="E35" s="159">
        <f t="shared" si="4"/>
        <v>239.88584136397333</v>
      </c>
      <c r="H35" s="277">
        <v>3490</v>
      </c>
      <c r="I35" s="277">
        <v>5249</v>
      </c>
    </row>
    <row r="36" spans="1:9" x14ac:dyDescent="0.3">
      <c r="A36" s="156" t="s">
        <v>28</v>
      </c>
      <c r="B36" s="170">
        <v>4849</v>
      </c>
      <c r="C36" s="181">
        <f t="shared" si="5"/>
        <v>10587</v>
      </c>
      <c r="D36" s="170">
        <v>1174751</v>
      </c>
      <c r="E36" s="159">
        <f t="shared" si="4"/>
        <v>242.26665291812745</v>
      </c>
      <c r="H36" s="277">
        <v>4703</v>
      </c>
      <c r="I36" s="277">
        <v>5884</v>
      </c>
    </row>
    <row r="37" spans="1:9" x14ac:dyDescent="0.3">
      <c r="A37" s="156" t="s">
        <v>29</v>
      </c>
      <c r="B37" s="170">
        <v>7660</v>
      </c>
      <c r="C37" s="181">
        <f t="shared" si="5"/>
        <v>17431</v>
      </c>
      <c r="D37" s="170">
        <v>1943378</v>
      </c>
      <c r="E37" s="159">
        <f t="shared" si="4"/>
        <v>253.7046997389034</v>
      </c>
      <c r="H37" s="277">
        <v>7259</v>
      </c>
      <c r="I37" s="277">
        <v>10172</v>
      </c>
    </row>
    <row r="38" spans="1:9" x14ac:dyDescent="0.3">
      <c r="A38" s="156" t="s">
        <v>205</v>
      </c>
      <c r="B38" s="170">
        <v>9386</v>
      </c>
      <c r="C38" s="181">
        <f t="shared" si="5"/>
        <v>20372</v>
      </c>
      <c r="D38" s="170">
        <v>2279846</v>
      </c>
      <c r="E38" s="159">
        <f t="shared" si="4"/>
        <v>242.89857234178564</v>
      </c>
      <c r="H38" s="277">
        <v>7923</v>
      </c>
      <c r="I38" s="277">
        <v>12449</v>
      </c>
    </row>
    <row r="39" spans="1:9" x14ac:dyDescent="0.3">
      <c r="A39" s="156" t="s">
        <v>30</v>
      </c>
      <c r="B39" s="170">
        <v>5622</v>
      </c>
      <c r="C39" s="181">
        <f t="shared" si="5"/>
        <v>12462</v>
      </c>
      <c r="D39" s="170">
        <v>1400955</v>
      </c>
      <c r="E39" s="159">
        <f t="shared" si="4"/>
        <v>249.19156883671292</v>
      </c>
      <c r="H39" s="277">
        <v>5128</v>
      </c>
      <c r="I39" s="277">
        <v>7334</v>
      </c>
    </row>
    <row r="40" spans="1:9" ht="19.5" thickBot="1" x14ac:dyDescent="0.35">
      <c r="A40" s="172" t="s">
        <v>204</v>
      </c>
      <c r="B40" s="173">
        <v>9978</v>
      </c>
      <c r="C40" s="181">
        <f t="shared" si="5"/>
        <v>21152</v>
      </c>
      <c r="D40" s="175">
        <v>2398621</v>
      </c>
      <c r="E40" s="164">
        <f t="shared" si="4"/>
        <v>240.39096011224694</v>
      </c>
      <c r="H40" s="277">
        <v>8829</v>
      </c>
      <c r="I40" s="277">
        <v>12323</v>
      </c>
    </row>
    <row r="41" spans="1:9" ht="19.5" thickBot="1" x14ac:dyDescent="0.35">
      <c r="A41" s="135" t="s">
        <v>91</v>
      </c>
      <c r="B41" s="141">
        <f>SUM(B32:B40)</f>
        <v>73049</v>
      </c>
      <c r="C41" s="141">
        <f>SUM(C32:C40)</f>
        <v>158621</v>
      </c>
      <c r="D41" s="141">
        <f>SUM(D32:D40)</f>
        <v>17827582</v>
      </c>
      <c r="E41" s="179">
        <f t="shared" si="4"/>
        <v>244.04963791427673</v>
      </c>
      <c r="H41" s="277"/>
      <c r="I41" s="277"/>
    </row>
    <row r="42" spans="1:9" ht="19.5" thickBot="1" x14ac:dyDescent="0.35">
      <c r="A42" s="147"/>
      <c r="B42" s="148"/>
      <c r="C42" s="148"/>
      <c r="D42" s="148"/>
      <c r="E42" s="149"/>
      <c r="H42" s="277"/>
      <c r="I42" s="277"/>
    </row>
    <row r="43" spans="1:9" ht="19.5" thickBot="1" x14ac:dyDescent="0.35">
      <c r="A43" s="176" t="s">
        <v>3</v>
      </c>
      <c r="B43" s="177"/>
      <c r="C43" s="177"/>
      <c r="D43" s="177"/>
      <c r="E43" s="178"/>
      <c r="H43" s="277"/>
      <c r="I43" s="277"/>
    </row>
    <row r="44" spans="1:9" x14ac:dyDescent="0.3">
      <c r="A44" s="151" t="s">
        <v>31</v>
      </c>
      <c r="B44" s="180">
        <v>3810</v>
      </c>
      <c r="C44" s="181">
        <f>H44+I44</f>
        <v>7986</v>
      </c>
      <c r="D44" s="182">
        <v>906962</v>
      </c>
      <c r="E44" s="159">
        <f t="shared" ref="E44:E51" si="6">D44/B44</f>
        <v>238.04776902887139</v>
      </c>
      <c r="H44" s="277">
        <v>3246</v>
      </c>
      <c r="I44" s="277">
        <v>4740</v>
      </c>
    </row>
    <row r="45" spans="1:9" x14ac:dyDescent="0.3">
      <c r="A45" s="156" t="s">
        <v>32</v>
      </c>
      <c r="B45" s="170">
        <v>6756</v>
      </c>
      <c r="C45" s="181">
        <f t="shared" ref="C45:C50" si="7">H45+I45</f>
        <v>15845</v>
      </c>
      <c r="D45" s="170">
        <v>1774871</v>
      </c>
      <c r="E45" s="159">
        <f t="shared" si="6"/>
        <v>262.7103315571344</v>
      </c>
      <c r="H45" s="277">
        <v>7191</v>
      </c>
      <c r="I45" s="277">
        <v>8654</v>
      </c>
    </row>
    <row r="46" spans="1:9" x14ac:dyDescent="0.3">
      <c r="A46" s="156" t="s">
        <v>3</v>
      </c>
      <c r="B46" s="170">
        <v>17117</v>
      </c>
      <c r="C46" s="181">
        <f t="shared" si="7"/>
        <v>35110</v>
      </c>
      <c r="D46" s="170">
        <v>3943160</v>
      </c>
      <c r="E46" s="159">
        <f t="shared" si="6"/>
        <v>230.36513407723317</v>
      </c>
      <c r="H46" s="277">
        <v>14030</v>
      </c>
      <c r="I46" s="277">
        <v>21080</v>
      </c>
    </row>
    <row r="47" spans="1:9" x14ac:dyDescent="0.3">
      <c r="A47" s="156" t="s">
        <v>33</v>
      </c>
      <c r="B47" s="170">
        <v>5346</v>
      </c>
      <c r="C47" s="181">
        <f t="shared" si="7"/>
        <v>11726</v>
      </c>
      <c r="D47" s="170">
        <v>1309217</v>
      </c>
      <c r="E47" s="159">
        <f t="shared" si="6"/>
        <v>244.89655817433595</v>
      </c>
      <c r="H47" s="277">
        <v>5055</v>
      </c>
      <c r="I47" s="277">
        <v>6671</v>
      </c>
    </row>
    <row r="48" spans="1:9" x14ac:dyDescent="0.3">
      <c r="A48" s="156" t="s">
        <v>34</v>
      </c>
      <c r="B48" s="170">
        <v>4369</v>
      </c>
      <c r="C48" s="181">
        <f t="shared" si="7"/>
        <v>9222</v>
      </c>
      <c r="D48" s="170">
        <v>1050213</v>
      </c>
      <c r="E48" s="159">
        <f t="shared" si="6"/>
        <v>240.37834744792858</v>
      </c>
      <c r="H48" s="277">
        <v>4130</v>
      </c>
      <c r="I48" s="277">
        <v>5092</v>
      </c>
    </row>
    <row r="49" spans="1:9" x14ac:dyDescent="0.3">
      <c r="A49" s="156" t="s">
        <v>35</v>
      </c>
      <c r="B49" s="170">
        <v>4160</v>
      </c>
      <c r="C49" s="181">
        <f t="shared" si="7"/>
        <v>8360</v>
      </c>
      <c r="D49" s="170">
        <v>949227</v>
      </c>
      <c r="E49" s="159">
        <f t="shared" si="6"/>
        <v>228.17956730769231</v>
      </c>
      <c r="H49" s="277">
        <v>3535</v>
      </c>
      <c r="I49" s="277">
        <v>4825</v>
      </c>
    </row>
    <row r="50" spans="1:9" ht="19.5" thickBot="1" x14ac:dyDescent="0.35">
      <c r="A50" s="156" t="s">
        <v>36</v>
      </c>
      <c r="B50" s="173">
        <v>6192</v>
      </c>
      <c r="C50" s="181">
        <f t="shared" si="7"/>
        <v>12878</v>
      </c>
      <c r="D50" s="170">
        <v>1446255</v>
      </c>
      <c r="E50" s="159">
        <f t="shared" si="6"/>
        <v>233.56831395348837</v>
      </c>
      <c r="H50" s="277">
        <v>5681</v>
      </c>
      <c r="I50" s="277">
        <v>7197</v>
      </c>
    </row>
    <row r="51" spans="1:9" ht="19.5" thickBot="1" x14ac:dyDescent="0.35">
      <c r="A51" s="135" t="s">
        <v>91</v>
      </c>
      <c r="B51" s="141">
        <f>SUM(B44:B50)</f>
        <v>47750</v>
      </c>
      <c r="C51" s="141">
        <f>SUM(C44:C50)</f>
        <v>101127</v>
      </c>
      <c r="D51" s="141">
        <f>SUM(D44:D50)</f>
        <v>11379905</v>
      </c>
      <c r="E51" s="179">
        <f t="shared" si="6"/>
        <v>238.32261780104713</v>
      </c>
      <c r="H51" s="277"/>
      <c r="I51" s="277"/>
    </row>
    <row r="52" spans="1:9" ht="19.5" thickBot="1" x14ac:dyDescent="0.35">
      <c r="A52" s="147"/>
      <c r="B52" s="148"/>
      <c r="C52" s="148"/>
      <c r="D52" s="148"/>
      <c r="E52" s="149"/>
      <c r="H52" s="277"/>
      <c r="I52" s="277"/>
    </row>
    <row r="53" spans="1:9" ht="19.5" thickBot="1" x14ac:dyDescent="0.35">
      <c r="A53" s="176" t="s">
        <v>4</v>
      </c>
      <c r="B53" s="177"/>
      <c r="C53" s="177"/>
      <c r="D53" s="177"/>
      <c r="E53" s="178"/>
      <c r="H53" s="277"/>
      <c r="I53" s="277"/>
    </row>
    <row r="54" spans="1:9" x14ac:dyDescent="0.3">
      <c r="A54" s="151" t="s">
        <v>37</v>
      </c>
      <c r="B54" s="180">
        <v>6559</v>
      </c>
      <c r="C54" s="181">
        <f t="shared" ref="C54:C59" si="8">H54+I54</f>
        <v>14378</v>
      </c>
      <c r="D54" s="182">
        <v>1607033</v>
      </c>
      <c r="E54" s="159">
        <f t="shared" ref="E54:E60" si="9">D54/B54</f>
        <v>245.01189205671596</v>
      </c>
      <c r="H54" s="277">
        <v>5946</v>
      </c>
      <c r="I54" s="277">
        <v>8432</v>
      </c>
    </row>
    <row r="55" spans="1:9" x14ac:dyDescent="0.3">
      <c r="A55" s="156" t="s">
        <v>202</v>
      </c>
      <c r="B55" s="170">
        <v>14816</v>
      </c>
      <c r="C55" s="181">
        <f t="shared" si="8"/>
        <v>31199</v>
      </c>
      <c r="D55" s="170">
        <v>3509626</v>
      </c>
      <c r="E55" s="159">
        <f t="shared" si="9"/>
        <v>236.88080453563714</v>
      </c>
      <c r="H55" s="277">
        <v>11762</v>
      </c>
      <c r="I55" s="277">
        <v>19437</v>
      </c>
    </row>
    <row r="56" spans="1:9" x14ac:dyDescent="0.3">
      <c r="A56" s="156" t="s">
        <v>217</v>
      </c>
      <c r="B56" s="170">
        <v>4292</v>
      </c>
      <c r="C56" s="181">
        <f t="shared" si="8"/>
        <v>10105</v>
      </c>
      <c r="D56" s="170">
        <v>1140719</v>
      </c>
      <c r="E56" s="159">
        <f t="shared" si="9"/>
        <v>265.77795899347626</v>
      </c>
      <c r="H56" s="277">
        <v>4012</v>
      </c>
      <c r="I56" s="277">
        <v>6093</v>
      </c>
    </row>
    <row r="57" spans="1:9" x14ac:dyDescent="0.3">
      <c r="A57" s="156" t="s">
        <v>38</v>
      </c>
      <c r="B57" s="170">
        <v>3073</v>
      </c>
      <c r="C57" s="181">
        <f t="shared" si="8"/>
        <v>6594</v>
      </c>
      <c r="D57" s="170">
        <v>741467</v>
      </c>
      <c r="E57" s="159">
        <f t="shared" si="9"/>
        <v>241.28441262609829</v>
      </c>
      <c r="H57" s="277">
        <v>2725</v>
      </c>
      <c r="I57" s="277">
        <v>3869</v>
      </c>
    </row>
    <row r="58" spans="1:9" x14ac:dyDescent="0.3">
      <c r="A58" s="156" t="s">
        <v>216</v>
      </c>
      <c r="B58" s="170">
        <v>7432</v>
      </c>
      <c r="C58" s="181">
        <f t="shared" si="8"/>
        <v>15963</v>
      </c>
      <c r="D58" s="170">
        <v>1790091</v>
      </c>
      <c r="E58" s="159">
        <f t="shared" si="9"/>
        <v>240.86262109795479</v>
      </c>
      <c r="H58" s="277">
        <v>6633</v>
      </c>
      <c r="I58" s="277">
        <v>9330</v>
      </c>
    </row>
    <row r="59" spans="1:9" ht="19.5" thickBot="1" x14ac:dyDescent="0.35">
      <c r="A59" s="156" t="s">
        <v>215</v>
      </c>
      <c r="B59" s="173">
        <v>6710</v>
      </c>
      <c r="C59" s="181">
        <f t="shared" si="8"/>
        <v>14044</v>
      </c>
      <c r="D59" s="170">
        <v>1583046</v>
      </c>
      <c r="E59" s="159">
        <f t="shared" si="9"/>
        <v>235.92339791356184</v>
      </c>
      <c r="H59" s="277">
        <v>5734</v>
      </c>
      <c r="I59" s="277">
        <v>8310</v>
      </c>
    </row>
    <row r="60" spans="1:9" ht="19.5" thickBot="1" x14ac:dyDescent="0.35">
      <c r="A60" s="135" t="s">
        <v>91</v>
      </c>
      <c r="B60" s="141">
        <f>SUM(B54:B59)</f>
        <v>42882</v>
      </c>
      <c r="C60" s="141">
        <f>SUM(C54:C59)</f>
        <v>92283</v>
      </c>
      <c r="D60" s="141">
        <f>SUM(D54:D59)</f>
        <v>10371982</v>
      </c>
      <c r="E60" s="179">
        <f t="shared" si="9"/>
        <v>241.87262720955178</v>
      </c>
      <c r="H60" s="277"/>
      <c r="I60" s="277"/>
    </row>
    <row r="61" spans="1:9" ht="19.5" thickBot="1" x14ac:dyDescent="0.35">
      <c r="A61" s="147"/>
      <c r="B61" s="148"/>
      <c r="C61" s="148"/>
      <c r="D61" s="148"/>
      <c r="E61" s="149"/>
      <c r="H61" s="277"/>
      <c r="I61" s="277"/>
    </row>
    <row r="62" spans="1:9" ht="19.5" thickBot="1" x14ac:dyDescent="0.35">
      <c r="A62" s="176" t="s">
        <v>5</v>
      </c>
      <c r="B62" s="177"/>
      <c r="C62" s="177"/>
      <c r="D62" s="177"/>
      <c r="E62" s="178"/>
      <c r="H62" s="277"/>
      <c r="I62" s="277"/>
    </row>
    <row r="63" spans="1:9" x14ac:dyDescent="0.3">
      <c r="A63" s="151" t="s">
        <v>39</v>
      </c>
      <c r="B63" s="180">
        <v>3301</v>
      </c>
      <c r="C63" s="181">
        <f t="shared" ref="C63:C68" si="10">H63+I63</f>
        <v>7194</v>
      </c>
      <c r="D63" s="182">
        <v>808902</v>
      </c>
      <c r="E63" s="159">
        <f t="shared" ref="E63:E69" si="11">D63/B63</f>
        <v>245.04756134504694</v>
      </c>
      <c r="H63" s="277">
        <v>3127</v>
      </c>
      <c r="I63" s="277">
        <v>4067</v>
      </c>
    </row>
    <row r="64" spans="1:9" x14ac:dyDescent="0.3">
      <c r="A64" s="156" t="s">
        <v>40</v>
      </c>
      <c r="B64" s="170">
        <v>5462</v>
      </c>
      <c r="C64" s="181">
        <f t="shared" si="10"/>
        <v>10726</v>
      </c>
      <c r="D64" s="170">
        <v>1197295</v>
      </c>
      <c r="E64" s="159">
        <f t="shared" si="11"/>
        <v>219.20450384474552</v>
      </c>
      <c r="H64" s="277">
        <v>4612</v>
      </c>
      <c r="I64" s="277">
        <v>6114</v>
      </c>
    </row>
    <row r="65" spans="1:9" x14ac:dyDescent="0.3">
      <c r="A65" s="156" t="s">
        <v>5</v>
      </c>
      <c r="B65" s="170">
        <v>6799</v>
      </c>
      <c r="C65" s="181">
        <f t="shared" si="10"/>
        <v>14404</v>
      </c>
      <c r="D65" s="170">
        <v>1621428</v>
      </c>
      <c r="E65" s="159">
        <f t="shared" si="11"/>
        <v>238.48036475952347</v>
      </c>
      <c r="H65" s="277">
        <v>6122</v>
      </c>
      <c r="I65" s="277">
        <v>8282</v>
      </c>
    </row>
    <row r="66" spans="1:9" x14ac:dyDescent="0.3">
      <c r="A66" s="156" t="s">
        <v>41</v>
      </c>
      <c r="B66" s="170">
        <v>3337</v>
      </c>
      <c r="C66" s="181">
        <f t="shared" si="10"/>
        <v>6965</v>
      </c>
      <c r="D66" s="170">
        <v>789023</v>
      </c>
      <c r="E66" s="159">
        <f t="shared" si="11"/>
        <v>236.44680851063831</v>
      </c>
      <c r="H66" s="277">
        <v>3176</v>
      </c>
      <c r="I66" s="277">
        <v>3789</v>
      </c>
    </row>
    <row r="67" spans="1:9" x14ac:dyDescent="0.3">
      <c r="A67" s="156" t="s">
        <v>42</v>
      </c>
      <c r="B67" s="170">
        <v>4995</v>
      </c>
      <c r="C67" s="181">
        <f t="shared" si="10"/>
        <v>10573</v>
      </c>
      <c r="D67" s="170">
        <v>1192315</v>
      </c>
      <c r="E67" s="159">
        <f t="shared" si="11"/>
        <v>238.70170170170169</v>
      </c>
      <c r="H67" s="277">
        <v>4582</v>
      </c>
      <c r="I67" s="277">
        <v>5991</v>
      </c>
    </row>
    <row r="68" spans="1:9" ht="19.5" thickBot="1" x14ac:dyDescent="0.35">
      <c r="A68" s="160" t="s">
        <v>43</v>
      </c>
      <c r="B68" s="173">
        <v>3276</v>
      </c>
      <c r="C68" s="181">
        <f t="shared" si="10"/>
        <v>7434</v>
      </c>
      <c r="D68" s="173">
        <v>821210</v>
      </c>
      <c r="E68" s="159">
        <f t="shared" si="11"/>
        <v>250.67460317460316</v>
      </c>
      <c r="H68" s="277">
        <v>3255</v>
      </c>
      <c r="I68" s="277">
        <v>4179</v>
      </c>
    </row>
    <row r="69" spans="1:9" ht="19.5" thickBot="1" x14ac:dyDescent="0.35">
      <c r="A69" s="135" t="s">
        <v>91</v>
      </c>
      <c r="B69" s="141">
        <f>SUM(B63:B68)</f>
        <v>27170</v>
      </c>
      <c r="C69" s="141">
        <f>SUM(C63:C68)</f>
        <v>57296</v>
      </c>
      <c r="D69" s="141">
        <f>SUM(D63:D68)</f>
        <v>6430173</v>
      </c>
      <c r="E69" s="179">
        <f t="shared" si="11"/>
        <v>236.66444608023556</v>
      </c>
      <c r="H69" s="277"/>
      <c r="I69" s="277"/>
    </row>
    <row r="70" spans="1:9" ht="19.5" thickBot="1" x14ac:dyDescent="0.35">
      <c r="A70" s="147"/>
      <c r="B70" s="148"/>
      <c r="C70" s="148"/>
      <c r="D70" s="148"/>
      <c r="E70" s="149"/>
      <c r="H70" s="277"/>
      <c r="I70" s="277"/>
    </row>
    <row r="71" spans="1:9" ht="19.5" thickBot="1" x14ac:dyDescent="0.35">
      <c r="A71" s="176" t="s">
        <v>6</v>
      </c>
      <c r="B71" s="177"/>
      <c r="C71" s="177"/>
      <c r="D71" s="177"/>
      <c r="E71" s="178"/>
      <c r="H71" s="277"/>
      <c r="I71" s="277"/>
    </row>
    <row r="72" spans="1:9" x14ac:dyDescent="0.3">
      <c r="A72" s="151" t="s">
        <v>44</v>
      </c>
      <c r="B72" s="180">
        <v>1836</v>
      </c>
      <c r="C72" s="181">
        <f>H72+I72</f>
        <v>3876</v>
      </c>
      <c r="D72" s="182">
        <v>430608</v>
      </c>
      <c r="E72" s="159">
        <f t="shared" ref="E72:E82" si="12">D72/B72</f>
        <v>234.53594771241831</v>
      </c>
      <c r="H72" s="277">
        <v>1545</v>
      </c>
      <c r="I72" s="277">
        <v>2331</v>
      </c>
    </row>
    <row r="73" spans="1:9" x14ac:dyDescent="0.3">
      <c r="A73" s="156" t="s">
        <v>70</v>
      </c>
      <c r="B73" s="170">
        <v>110</v>
      </c>
      <c r="C73" s="181">
        <f>H73+I73</f>
        <v>241</v>
      </c>
      <c r="D73" s="170">
        <v>25543</v>
      </c>
      <c r="E73" s="159">
        <f t="shared" si="12"/>
        <v>232.20909090909092</v>
      </c>
      <c r="H73" s="277">
        <v>106</v>
      </c>
      <c r="I73" s="277">
        <v>135</v>
      </c>
    </row>
    <row r="74" spans="1:9" x14ac:dyDescent="0.3">
      <c r="A74" s="156" t="s">
        <v>45</v>
      </c>
      <c r="B74" s="170">
        <v>5607</v>
      </c>
      <c r="C74" s="181">
        <f>H74+I74</f>
        <v>11793</v>
      </c>
      <c r="D74" s="170">
        <v>1336955</v>
      </c>
      <c r="E74" s="159">
        <f t="shared" si="12"/>
        <v>238.44390939896559</v>
      </c>
      <c r="H74" s="277">
        <v>4677</v>
      </c>
      <c r="I74" s="277">
        <v>7116</v>
      </c>
    </row>
    <row r="75" spans="1:9" x14ac:dyDescent="0.3">
      <c r="A75" s="156" t="s">
        <v>6</v>
      </c>
      <c r="B75" s="170">
        <v>9195</v>
      </c>
      <c r="C75" s="181">
        <f t="shared" ref="C75:C81" si="13">H75+I75</f>
        <v>18555</v>
      </c>
      <c r="D75" s="170">
        <v>2104957</v>
      </c>
      <c r="E75" s="159">
        <f t="shared" si="12"/>
        <v>228.92408917890157</v>
      </c>
      <c r="H75" s="277">
        <v>7661</v>
      </c>
      <c r="I75" s="277">
        <v>10894</v>
      </c>
    </row>
    <row r="76" spans="1:9" x14ac:dyDescent="0.3">
      <c r="A76" s="156" t="s">
        <v>214</v>
      </c>
      <c r="B76" s="170">
        <v>6952</v>
      </c>
      <c r="C76" s="181">
        <f t="shared" si="13"/>
        <v>14861</v>
      </c>
      <c r="D76" s="170">
        <v>1685324</v>
      </c>
      <c r="E76" s="159">
        <f t="shared" si="12"/>
        <v>242.42289988492522</v>
      </c>
      <c r="H76" s="277">
        <v>6350</v>
      </c>
      <c r="I76" s="277">
        <v>8511</v>
      </c>
    </row>
    <row r="77" spans="1:9" x14ac:dyDescent="0.3">
      <c r="A77" s="156" t="s">
        <v>47</v>
      </c>
      <c r="B77" s="170">
        <v>5713</v>
      </c>
      <c r="C77" s="181">
        <f t="shared" si="13"/>
        <v>11872</v>
      </c>
      <c r="D77" s="170">
        <v>1354398</v>
      </c>
      <c r="E77" s="159">
        <f t="shared" si="12"/>
        <v>237.07299142307019</v>
      </c>
      <c r="H77" s="277">
        <v>5037</v>
      </c>
      <c r="I77" s="277">
        <v>6835</v>
      </c>
    </row>
    <row r="78" spans="1:9" x14ac:dyDescent="0.3">
      <c r="A78" s="156" t="s">
        <v>48</v>
      </c>
      <c r="B78" s="170">
        <v>2389</v>
      </c>
      <c r="C78" s="181">
        <f t="shared" si="13"/>
        <v>4985</v>
      </c>
      <c r="D78" s="170">
        <v>558677</v>
      </c>
      <c r="E78" s="159">
        <f t="shared" si="12"/>
        <v>233.85391377145248</v>
      </c>
      <c r="H78" s="277">
        <v>2239</v>
      </c>
      <c r="I78" s="277">
        <v>2746</v>
      </c>
    </row>
    <row r="79" spans="1:9" x14ac:dyDescent="0.3">
      <c r="A79" s="156" t="s">
        <v>49</v>
      </c>
      <c r="B79" s="170">
        <v>4262</v>
      </c>
      <c r="C79" s="181">
        <f t="shared" si="13"/>
        <v>8873</v>
      </c>
      <c r="D79" s="170">
        <v>1004520</v>
      </c>
      <c r="E79" s="159">
        <f t="shared" si="12"/>
        <v>235.69216330361331</v>
      </c>
      <c r="H79" s="277">
        <v>3765</v>
      </c>
      <c r="I79" s="277">
        <v>5108</v>
      </c>
    </row>
    <row r="80" spans="1:9" x14ac:dyDescent="0.3">
      <c r="A80" s="156" t="s">
        <v>50</v>
      </c>
      <c r="B80" s="170">
        <v>1698</v>
      </c>
      <c r="C80" s="181">
        <f t="shared" si="13"/>
        <v>3518</v>
      </c>
      <c r="D80" s="170">
        <v>400147</v>
      </c>
      <c r="E80" s="159">
        <f t="shared" si="12"/>
        <v>235.65783274440517</v>
      </c>
      <c r="H80" s="277">
        <v>1560</v>
      </c>
      <c r="I80" s="277">
        <v>1958</v>
      </c>
    </row>
    <row r="81" spans="1:9" ht="19.5" thickBot="1" x14ac:dyDescent="0.35">
      <c r="A81" s="160" t="s">
        <v>51</v>
      </c>
      <c r="B81" s="173">
        <v>7639</v>
      </c>
      <c r="C81" s="181">
        <f t="shared" si="13"/>
        <v>15940</v>
      </c>
      <c r="D81" s="173">
        <v>1798667</v>
      </c>
      <c r="E81" s="159">
        <f>D81/B81</f>
        <v>235.45843696818955</v>
      </c>
      <c r="H81" s="277">
        <v>7086</v>
      </c>
      <c r="I81" s="277">
        <v>8854</v>
      </c>
    </row>
    <row r="82" spans="1:9" ht="19.5" thickBot="1" x14ac:dyDescent="0.35">
      <c r="A82" s="135" t="s">
        <v>91</v>
      </c>
      <c r="B82" s="141">
        <f>SUM(B72:B81)</f>
        <v>45401</v>
      </c>
      <c r="C82" s="141">
        <f>SUM(C72:C81)</f>
        <v>94514</v>
      </c>
      <c r="D82" s="141">
        <f>SUM(D72:D81)</f>
        <v>10699796</v>
      </c>
      <c r="E82" s="179">
        <f t="shared" si="12"/>
        <v>235.67313495297461</v>
      </c>
      <c r="H82" s="277"/>
      <c r="I82" s="277"/>
    </row>
    <row r="83" spans="1:9" ht="19.5" thickBot="1" x14ac:dyDescent="0.35">
      <c r="A83" s="147"/>
      <c r="B83" s="148"/>
      <c r="C83" s="148"/>
      <c r="D83" s="148"/>
      <c r="E83" s="149"/>
      <c r="H83" s="277"/>
      <c r="I83" s="277"/>
    </row>
    <row r="84" spans="1:9" ht="19.5" thickBot="1" x14ac:dyDescent="0.35">
      <c r="A84" s="176" t="s">
        <v>7</v>
      </c>
      <c r="B84" s="177"/>
      <c r="C84" s="177"/>
      <c r="D84" s="177"/>
      <c r="E84" s="178"/>
      <c r="H84" s="277"/>
      <c r="I84" s="277"/>
    </row>
    <row r="85" spans="1:9" x14ac:dyDescent="0.3">
      <c r="A85" s="151" t="s">
        <v>52</v>
      </c>
      <c r="B85" s="180">
        <v>4604</v>
      </c>
      <c r="C85" s="181">
        <f>H85+I85</f>
        <v>9578</v>
      </c>
      <c r="D85" s="182">
        <v>1075041</v>
      </c>
      <c r="E85" s="159">
        <f t="shared" ref="E85:E92" si="14">D85/B85</f>
        <v>233.50152041702867</v>
      </c>
      <c r="H85" s="277">
        <v>4354</v>
      </c>
      <c r="I85" s="277">
        <v>5224</v>
      </c>
    </row>
    <row r="86" spans="1:9" x14ac:dyDescent="0.3">
      <c r="A86" s="156" t="s">
        <v>53</v>
      </c>
      <c r="B86" s="170">
        <v>6114</v>
      </c>
      <c r="C86" s="181">
        <f t="shared" ref="C86:C93" si="15">H86+I86</f>
        <v>13160</v>
      </c>
      <c r="D86" s="170">
        <v>1477019</v>
      </c>
      <c r="E86" s="159">
        <f t="shared" si="14"/>
        <v>241.5798168138698</v>
      </c>
      <c r="H86" s="277">
        <v>5619</v>
      </c>
      <c r="I86" s="277">
        <v>7541</v>
      </c>
    </row>
    <row r="87" spans="1:9" x14ac:dyDescent="0.3">
      <c r="A87" s="156" t="s">
        <v>54</v>
      </c>
      <c r="B87" s="170">
        <v>3616</v>
      </c>
      <c r="C87" s="181">
        <f t="shared" si="15"/>
        <v>8022</v>
      </c>
      <c r="D87" s="170">
        <v>899465</v>
      </c>
      <c r="E87" s="159">
        <f t="shared" si="14"/>
        <v>248.7458517699115</v>
      </c>
      <c r="H87" s="277">
        <v>3516</v>
      </c>
      <c r="I87" s="277">
        <v>4506</v>
      </c>
    </row>
    <row r="88" spans="1:9" x14ac:dyDescent="0.3">
      <c r="A88" s="156" t="s">
        <v>55</v>
      </c>
      <c r="B88" s="170">
        <v>1899</v>
      </c>
      <c r="C88" s="181">
        <f t="shared" si="15"/>
        <v>3644</v>
      </c>
      <c r="D88" s="170">
        <v>410852</v>
      </c>
      <c r="E88" s="159">
        <f t="shared" si="14"/>
        <v>216.35176408636124</v>
      </c>
      <c r="H88" s="277">
        <v>1481</v>
      </c>
      <c r="I88" s="277">
        <v>2163</v>
      </c>
    </row>
    <row r="89" spans="1:9" x14ac:dyDescent="0.3">
      <c r="A89" s="156" t="s">
        <v>56</v>
      </c>
      <c r="B89" s="170">
        <v>4116</v>
      </c>
      <c r="C89" s="181">
        <f t="shared" si="15"/>
        <v>8938</v>
      </c>
      <c r="D89" s="170">
        <v>1000907</v>
      </c>
      <c r="E89" s="159">
        <f t="shared" si="14"/>
        <v>243.17468415937805</v>
      </c>
      <c r="H89" s="277">
        <v>3967</v>
      </c>
      <c r="I89" s="277">
        <v>4971</v>
      </c>
    </row>
    <row r="90" spans="1:9" x14ac:dyDescent="0.3">
      <c r="A90" s="156" t="s">
        <v>57</v>
      </c>
      <c r="B90" s="170">
        <v>999</v>
      </c>
      <c r="C90" s="181">
        <f t="shared" si="15"/>
        <v>2463</v>
      </c>
      <c r="D90" s="170">
        <v>274855</v>
      </c>
      <c r="E90" s="159">
        <f t="shared" si="14"/>
        <v>275.13013013013011</v>
      </c>
      <c r="H90" s="277">
        <v>1187</v>
      </c>
      <c r="I90" s="277">
        <v>1276</v>
      </c>
    </row>
    <row r="91" spans="1:9" x14ac:dyDescent="0.3">
      <c r="A91" s="156" t="s">
        <v>197</v>
      </c>
      <c r="B91" s="170">
        <v>13074</v>
      </c>
      <c r="C91" s="181">
        <f t="shared" si="15"/>
        <v>26381</v>
      </c>
      <c r="D91" s="170">
        <v>3012822</v>
      </c>
      <c r="E91" s="159">
        <f t="shared" si="14"/>
        <v>230.44378155117028</v>
      </c>
      <c r="H91" s="277">
        <v>10877</v>
      </c>
      <c r="I91" s="277">
        <v>15504</v>
      </c>
    </row>
    <row r="92" spans="1:9" x14ac:dyDescent="0.3">
      <c r="A92" s="185" t="s">
        <v>58</v>
      </c>
      <c r="B92" s="170">
        <v>3533</v>
      </c>
      <c r="C92" s="181">
        <f t="shared" si="15"/>
        <v>7653</v>
      </c>
      <c r="D92" s="170">
        <v>852089</v>
      </c>
      <c r="E92" s="159">
        <f t="shared" si="14"/>
        <v>241.18001698273423</v>
      </c>
      <c r="H92" s="277">
        <v>3429</v>
      </c>
      <c r="I92" s="277">
        <v>4224</v>
      </c>
    </row>
    <row r="93" spans="1:9" ht="19.5" thickBot="1" x14ac:dyDescent="0.35">
      <c r="A93" s="156" t="s">
        <v>59</v>
      </c>
      <c r="B93" s="173">
        <v>5431</v>
      </c>
      <c r="C93" s="181">
        <f t="shared" si="15"/>
        <v>11334</v>
      </c>
      <c r="D93" s="170">
        <v>1275505</v>
      </c>
      <c r="E93" s="159">
        <f>D93/B93</f>
        <v>234.85638004050818</v>
      </c>
      <c r="H93" s="277">
        <v>4970</v>
      </c>
      <c r="I93" s="277">
        <v>6364</v>
      </c>
    </row>
    <row r="94" spans="1:9" ht="19.5" thickBot="1" x14ac:dyDescent="0.35">
      <c r="A94" s="135" t="s">
        <v>91</v>
      </c>
      <c r="B94" s="141">
        <f>SUM(B85:B93)</f>
        <v>43386</v>
      </c>
      <c r="C94" s="141">
        <f>SUM(C85:C93)</f>
        <v>91173</v>
      </c>
      <c r="D94" s="141">
        <f>SUM(D85:D93)</f>
        <v>10278555</v>
      </c>
      <c r="E94" s="179">
        <f>D94/B94</f>
        <v>236.90948693126816</v>
      </c>
      <c r="H94" s="277"/>
      <c r="I94" s="277"/>
    </row>
    <row r="95" spans="1:9" ht="19.5" thickBot="1" x14ac:dyDescent="0.35">
      <c r="A95" s="147"/>
      <c r="B95" s="148"/>
      <c r="C95" s="148"/>
      <c r="D95" s="148"/>
      <c r="E95" s="149"/>
      <c r="H95" s="277"/>
      <c r="I95" s="277"/>
    </row>
    <row r="96" spans="1:9" ht="19.5" thickBot="1" x14ac:dyDescent="0.35">
      <c r="A96" s="140" t="s">
        <v>8</v>
      </c>
      <c r="B96" s="177"/>
      <c r="C96" s="177"/>
      <c r="D96" s="177"/>
      <c r="E96" s="178"/>
      <c r="H96" s="277"/>
      <c r="I96" s="277"/>
    </row>
    <row r="97" spans="1:9" x14ac:dyDescent="0.3">
      <c r="A97" s="186" t="s">
        <v>73</v>
      </c>
      <c r="B97" s="180">
        <f>3364+784</f>
        <v>4148</v>
      </c>
      <c r="C97" s="181">
        <f>H97+I97</f>
        <v>10067</v>
      </c>
      <c r="D97" s="182">
        <f>922280+210147</f>
        <v>1132427</v>
      </c>
      <c r="E97" s="159">
        <f t="shared" ref="E97:E108" si="16">D97/B97</f>
        <v>273.00554484088718</v>
      </c>
      <c r="H97" s="277">
        <f>3810+915</f>
        <v>4725</v>
      </c>
      <c r="I97" s="277">
        <f>4418+924</f>
        <v>5342</v>
      </c>
    </row>
    <row r="98" spans="1:9" x14ac:dyDescent="0.3">
      <c r="A98" s="187" t="s">
        <v>60</v>
      </c>
      <c r="B98" s="170">
        <v>4681</v>
      </c>
      <c r="C98" s="181">
        <f t="shared" ref="C98:C107" si="17">H98+I98</f>
        <v>9827</v>
      </c>
      <c r="D98" s="170">
        <v>1104249</v>
      </c>
      <c r="E98" s="159">
        <f t="shared" si="16"/>
        <v>235.90023499252297</v>
      </c>
      <c r="H98" s="277">
        <v>4331</v>
      </c>
      <c r="I98" s="277">
        <v>5496</v>
      </c>
    </row>
    <row r="99" spans="1:9" x14ac:dyDescent="0.3">
      <c r="A99" s="187" t="s">
        <v>61</v>
      </c>
      <c r="B99" s="170">
        <v>6545</v>
      </c>
      <c r="C99" s="181">
        <f t="shared" si="17"/>
        <v>14390</v>
      </c>
      <c r="D99" s="170">
        <v>1620288</v>
      </c>
      <c r="E99" s="159">
        <f t="shared" si="16"/>
        <v>247.56119174942705</v>
      </c>
      <c r="H99" s="277">
        <v>6354</v>
      </c>
      <c r="I99" s="277">
        <v>8036</v>
      </c>
    </row>
    <row r="100" spans="1:9" x14ac:dyDescent="0.3">
      <c r="A100" s="156" t="s">
        <v>62</v>
      </c>
      <c r="B100" s="170">
        <v>3808</v>
      </c>
      <c r="C100" s="181">
        <f t="shared" si="17"/>
        <v>8671</v>
      </c>
      <c r="D100" s="170">
        <v>973266</v>
      </c>
      <c r="E100" s="159">
        <f t="shared" si="16"/>
        <v>255.58455882352942</v>
      </c>
      <c r="H100" s="277">
        <v>3881</v>
      </c>
      <c r="I100" s="277">
        <v>4790</v>
      </c>
    </row>
    <row r="101" spans="1:9" x14ac:dyDescent="0.3">
      <c r="A101" s="156" t="s">
        <v>63</v>
      </c>
      <c r="B101" s="170">
        <v>3186</v>
      </c>
      <c r="C101" s="181">
        <f t="shared" si="17"/>
        <v>7917</v>
      </c>
      <c r="D101" s="170">
        <v>890319</v>
      </c>
      <c r="E101" s="159">
        <f t="shared" si="16"/>
        <v>279.44726930320149</v>
      </c>
      <c r="H101" s="277">
        <v>3753</v>
      </c>
      <c r="I101" s="277">
        <v>4164</v>
      </c>
    </row>
    <row r="102" spans="1:9" x14ac:dyDescent="0.3">
      <c r="A102" s="156" t="s">
        <v>64</v>
      </c>
      <c r="B102" s="170">
        <v>7116</v>
      </c>
      <c r="C102" s="181">
        <f t="shared" si="17"/>
        <v>16586</v>
      </c>
      <c r="D102" s="170">
        <v>1842286</v>
      </c>
      <c r="E102" s="159">
        <f t="shared" si="16"/>
        <v>258.89347948285553</v>
      </c>
      <c r="H102" s="277">
        <v>7132</v>
      </c>
      <c r="I102" s="277">
        <v>9454</v>
      </c>
    </row>
    <row r="103" spans="1:9" x14ac:dyDescent="0.3">
      <c r="A103" s="156" t="s">
        <v>65</v>
      </c>
      <c r="B103" s="170">
        <v>4951</v>
      </c>
      <c r="C103" s="181">
        <f t="shared" si="17"/>
        <v>11778</v>
      </c>
      <c r="D103" s="170">
        <v>1305149</v>
      </c>
      <c r="E103" s="159">
        <f t="shared" si="16"/>
        <v>263.61320945263583</v>
      </c>
      <c r="H103" s="277">
        <v>5685</v>
      </c>
      <c r="I103" s="277">
        <v>6093</v>
      </c>
    </row>
    <row r="104" spans="1:9" x14ac:dyDescent="0.3">
      <c r="A104" s="156" t="s">
        <v>66</v>
      </c>
      <c r="B104" s="170">
        <v>4042</v>
      </c>
      <c r="C104" s="181">
        <f t="shared" si="17"/>
        <v>9854</v>
      </c>
      <c r="D104" s="181">
        <v>1086454</v>
      </c>
      <c r="E104" s="159">
        <f t="shared" si="16"/>
        <v>268.7911924789708</v>
      </c>
      <c r="H104" s="277">
        <v>4457</v>
      </c>
      <c r="I104" s="277">
        <v>5397</v>
      </c>
    </row>
    <row r="105" spans="1:9" x14ac:dyDescent="0.3">
      <c r="A105" s="156" t="s">
        <v>194</v>
      </c>
      <c r="B105" s="170">
        <v>26487</v>
      </c>
      <c r="C105" s="181">
        <f t="shared" si="17"/>
        <v>59813</v>
      </c>
      <c r="D105" s="170">
        <v>6752340</v>
      </c>
      <c r="E105" s="159">
        <f t="shared" si="16"/>
        <v>254.93034318722391</v>
      </c>
      <c r="H105" s="277">
        <v>25001</v>
      </c>
      <c r="I105" s="277">
        <v>34812</v>
      </c>
    </row>
    <row r="106" spans="1:9" x14ac:dyDescent="0.3">
      <c r="A106" s="156" t="s">
        <v>67</v>
      </c>
      <c r="B106" s="170">
        <v>4652</v>
      </c>
      <c r="C106" s="181">
        <f t="shared" si="17"/>
        <v>11002</v>
      </c>
      <c r="D106" s="170">
        <v>1231694</v>
      </c>
      <c r="E106" s="159">
        <f t="shared" si="16"/>
        <v>264.76655202063631</v>
      </c>
      <c r="H106" s="277">
        <v>4990</v>
      </c>
      <c r="I106" s="277">
        <v>6012</v>
      </c>
    </row>
    <row r="107" spans="1:9" ht="19.5" thickBot="1" x14ac:dyDescent="0.35">
      <c r="A107" s="156" t="s">
        <v>68</v>
      </c>
      <c r="B107" s="173">
        <v>6911</v>
      </c>
      <c r="C107" s="181">
        <f t="shared" si="17"/>
        <v>15231</v>
      </c>
      <c r="D107" s="170">
        <v>1702030</v>
      </c>
      <c r="E107" s="159">
        <f t="shared" si="16"/>
        <v>246.27839675879034</v>
      </c>
      <c r="H107" s="277">
        <v>6723</v>
      </c>
      <c r="I107" s="277">
        <v>8508</v>
      </c>
    </row>
    <row r="108" spans="1:9" ht="19.5" thickBot="1" x14ac:dyDescent="0.35">
      <c r="A108" s="135" t="s">
        <v>91</v>
      </c>
      <c r="B108" s="141">
        <f>SUM(B97:B107)</f>
        <v>76527</v>
      </c>
      <c r="C108" s="141">
        <f>SUM(C97:C107)</f>
        <v>175136</v>
      </c>
      <c r="D108" s="141">
        <f>SUM(D97:D107)</f>
        <v>19640502</v>
      </c>
      <c r="E108" s="179">
        <f t="shared" si="16"/>
        <v>256.64800658591088</v>
      </c>
      <c r="H108" s="277"/>
      <c r="I108" s="277"/>
    </row>
    <row r="109" spans="1:9" ht="19.5" thickBot="1" x14ac:dyDescent="0.35">
      <c r="A109" s="147"/>
      <c r="B109" s="148"/>
      <c r="C109" s="148"/>
      <c r="D109" s="148"/>
      <c r="E109" s="149"/>
      <c r="H109" s="277"/>
      <c r="I109" s="277"/>
    </row>
    <row r="110" spans="1:9" ht="19.5" thickBot="1" x14ac:dyDescent="0.35">
      <c r="A110" s="176" t="s">
        <v>9</v>
      </c>
      <c r="B110" s="177"/>
      <c r="C110" s="177"/>
      <c r="D110" s="177"/>
      <c r="E110" s="178"/>
      <c r="H110" s="277"/>
      <c r="I110" s="277"/>
    </row>
    <row r="111" spans="1:9" x14ac:dyDescent="0.3">
      <c r="A111" s="151" t="s">
        <v>99</v>
      </c>
      <c r="B111" s="180">
        <v>1203</v>
      </c>
      <c r="C111" s="181">
        <f>H111+I111</f>
        <v>2865</v>
      </c>
      <c r="D111" s="182">
        <v>324657</v>
      </c>
      <c r="E111" s="159">
        <f>D111/B111</f>
        <v>269.87281795511223</v>
      </c>
      <c r="H111" s="277">
        <v>1131</v>
      </c>
      <c r="I111" s="277">
        <v>1734</v>
      </c>
    </row>
    <row r="112" spans="1:9" x14ac:dyDescent="0.3">
      <c r="A112" s="156" t="s">
        <v>193</v>
      </c>
      <c r="B112" s="170">
        <v>9209</v>
      </c>
      <c r="C112" s="181">
        <f>H112+I112</f>
        <v>19052</v>
      </c>
      <c r="D112" s="170">
        <v>2164076</v>
      </c>
      <c r="E112" s="159">
        <f>D112/B112</f>
        <v>234.99576501248779</v>
      </c>
      <c r="H112" s="277">
        <v>7656</v>
      </c>
      <c r="I112" s="277">
        <v>11396</v>
      </c>
    </row>
    <row r="113" spans="1:9" x14ac:dyDescent="0.3">
      <c r="A113" s="156" t="s">
        <v>195</v>
      </c>
      <c r="B113" s="170">
        <v>28595</v>
      </c>
      <c r="C113" s="181">
        <f>H113+I113</f>
        <v>60988</v>
      </c>
      <c r="D113" s="170">
        <v>6944501</v>
      </c>
      <c r="E113" s="159">
        <f>D113/B113</f>
        <v>242.85717782829167</v>
      </c>
      <c r="H113" s="277">
        <v>23187</v>
      </c>
      <c r="I113" s="277">
        <v>37801</v>
      </c>
    </row>
    <row r="114" spans="1:9" ht="19.5" thickBot="1" x14ac:dyDescent="0.35">
      <c r="A114" s="185" t="s">
        <v>196</v>
      </c>
      <c r="B114" s="173">
        <v>10671</v>
      </c>
      <c r="C114" s="181">
        <f>H114+I114</f>
        <v>21706</v>
      </c>
      <c r="D114" s="170">
        <v>2494301</v>
      </c>
      <c r="E114" s="159">
        <f>D114/B114</f>
        <v>233.74575953518882</v>
      </c>
      <c r="H114" s="277">
        <v>8216</v>
      </c>
      <c r="I114" s="277">
        <v>13490</v>
      </c>
    </row>
    <row r="115" spans="1:9" ht="19.5" thickBot="1" x14ac:dyDescent="0.35">
      <c r="A115" s="135" t="s">
        <v>91</v>
      </c>
      <c r="B115" s="141">
        <f>SUM(B111:B114)</f>
        <v>49678</v>
      </c>
      <c r="C115" s="141">
        <f>SUM(C111:C114)</f>
        <v>104611</v>
      </c>
      <c r="D115" s="141">
        <f>SUM(D111:D114)</f>
        <v>11927535</v>
      </c>
      <c r="E115" s="179">
        <f>D115/B115</f>
        <v>240.09692419179515</v>
      </c>
      <c r="H115" s="277"/>
      <c r="I115" s="277"/>
    </row>
    <row r="116" spans="1:9" ht="19.5" thickBot="1" x14ac:dyDescent="0.35">
      <c r="A116" s="147"/>
      <c r="B116" s="148"/>
      <c r="C116" s="148"/>
      <c r="D116" s="148"/>
      <c r="E116" s="149"/>
      <c r="H116" s="277"/>
      <c r="I116" s="277"/>
    </row>
    <row r="117" spans="1:9" ht="19.5" thickBot="1" x14ac:dyDescent="0.35">
      <c r="A117" s="134" t="s">
        <v>74</v>
      </c>
      <c r="B117" s="142">
        <f>B15+B29+B41+B51+B60+B69+B82+B94+B108+B115</f>
        <v>521548</v>
      </c>
      <c r="C117" s="142">
        <f>C15+C29+C41+C51+C60+C69+C82+C94+C108+C115</f>
        <v>1122750</v>
      </c>
      <c r="D117" s="142">
        <f>D15+D29+D41+D51+D60+D69+D82+D94+D108+D115</f>
        <v>126644093</v>
      </c>
      <c r="E117" s="178">
        <f>SUM(E8:E114)</f>
        <v>21717.761660245455</v>
      </c>
      <c r="H117" s="278">
        <f>SUM(H8:H116)</f>
        <v>464326</v>
      </c>
      <c r="I117" s="278">
        <f>SUM(I8:I116)</f>
        <v>628402</v>
      </c>
    </row>
    <row r="118" spans="1:9" x14ac:dyDescent="0.3">
      <c r="H118" s="275"/>
      <c r="I118" s="275"/>
    </row>
    <row r="119" spans="1:9" hidden="1" x14ac:dyDescent="0.3">
      <c r="B119" s="294">
        <f>(B117/'Mayo 08'!B117)^(1/2)-1</f>
        <v>1.8158893123707553E-3</v>
      </c>
      <c r="H119" s="275"/>
      <c r="I119" s="275"/>
    </row>
    <row r="120" spans="1:9" hidden="1" x14ac:dyDescent="0.3">
      <c r="H120" s="275"/>
      <c r="I120" s="275"/>
    </row>
    <row r="121" spans="1:9" x14ac:dyDescent="0.3">
      <c r="H121" s="275"/>
      <c r="I121" s="275"/>
    </row>
    <row r="122" spans="1:9" x14ac:dyDescent="0.3">
      <c r="H122" s="275"/>
      <c r="I122" s="275"/>
    </row>
    <row r="123" spans="1:9" x14ac:dyDescent="0.3">
      <c r="H123" s="275"/>
      <c r="I123" s="275"/>
    </row>
    <row r="124" spans="1:9" x14ac:dyDescent="0.3">
      <c r="H124" s="275"/>
      <c r="I124" s="275"/>
    </row>
    <row r="125" spans="1:9" x14ac:dyDescent="0.3">
      <c r="H125" s="275"/>
      <c r="I125" s="275"/>
    </row>
    <row r="126" spans="1:9" x14ac:dyDescent="0.3">
      <c r="H126" s="275"/>
      <c r="I126" s="275"/>
    </row>
    <row r="127" spans="1:9" x14ac:dyDescent="0.3">
      <c r="H127" s="275"/>
      <c r="I127" s="275"/>
    </row>
    <row r="128" spans="1:9" x14ac:dyDescent="0.3">
      <c r="H128" s="275"/>
      <c r="I128" s="275"/>
    </row>
    <row r="129" spans="8:9" x14ac:dyDescent="0.3">
      <c r="H129" s="275"/>
      <c r="I129" s="275"/>
    </row>
    <row r="130" spans="8:9" x14ac:dyDescent="0.3">
      <c r="H130" s="275"/>
      <c r="I130" s="275"/>
    </row>
    <row r="131" spans="8:9" x14ac:dyDescent="0.3">
      <c r="H131" s="275"/>
      <c r="I131" s="275"/>
    </row>
    <row r="132" spans="8:9" x14ac:dyDescent="0.3">
      <c r="H132" s="275"/>
      <c r="I132" s="275"/>
    </row>
    <row r="133" spans="8:9" x14ac:dyDescent="0.3">
      <c r="H133" s="275"/>
      <c r="I133" s="275"/>
    </row>
    <row r="134" spans="8:9" x14ac:dyDescent="0.3">
      <c r="H134" s="275"/>
      <c r="I134" s="275"/>
    </row>
    <row r="135" spans="8:9" x14ac:dyDescent="0.3">
      <c r="H135" s="275"/>
      <c r="I135" s="275"/>
    </row>
    <row r="136" spans="8:9" x14ac:dyDescent="0.3">
      <c r="H136" s="275"/>
      <c r="I136" s="275"/>
    </row>
    <row r="137" spans="8:9" x14ac:dyDescent="0.3">
      <c r="H137" s="275"/>
      <c r="I137" s="275"/>
    </row>
    <row r="138" spans="8:9" x14ac:dyDescent="0.3">
      <c r="H138" s="275"/>
      <c r="I138" s="275"/>
    </row>
    <row r="139" spans="8:9" x14ac:dyDescent="0.3">
      <c r="H139" s="275"/>
      <c r="I139" s="275"/>
    </row>
    <row r="140" spans="8:9" x14ac:dyDescent="0.3">
      <c r="H140" s="275"/>
      <c r="I140" s="275"/>
    </row>
    <row r="141" spans="8:9" x14ac:dyDescent="0.3">
      <c r="H141" s="275"/>
      <c r="I141" s="275"/>
    </row>
    <row r="142" spans="8:9" x14ac:dyDescent="0.3">
      <c r="H142" s="275"/>
      <c r="I142" s="275"/>
    </row>
    <row r="143" spans="8:9" x14ac:dyDescent="0.3">
      <c r="H143" s="275"/>
      <c r="I143" s="275"/>
    </row>
    <row r="144" spans="8:9" x14ac:dyDescent="0.3">
      <c r="H144" s="275"/>
      <c r="I144" s="275"/>
    </row>
    <row r="145" spans="8:9" x14ac:dyDescent="0.3">
      <c r="H145" s="275"/>
      <c r="I145" s="275"/>
    </row>
    <row r="146" spans="8:9" x14ac:dyDescent="0.3">
      <c r="H146" s="275"/>
      <c r="I146" s="275"/>
    </row>
    <row r="147" spans="8:9" x14ac:dyDescent="0.3">
      <c r="H147" s="275"/>
      <c r="I147" s="275"/>
    </row>
    <row r="148" spans="8:9" x14ac:dyDescent="0.3">
      <c r="H148" s="275"/>
      <c r="I148" s="275"/>
    </row>
    <row r="149" spans="8:9" x14ac:dyDescent="0.3">
      <c r="H149" s="275"/>
      <c r="I149" s="275"/>
    </row>
    <row r="150" spans="8:9" x14ac:dyDescent="0.3">
      <c r="H150" s="275"/>
      <c r="I150" s="275"/>
    </row>
    <row r="151" spans="8:9" x14ac:dyDescent="0.3">
      <c r="H151" s="275"/>
      <c r="I151" s="275"/>
    </row>
    <row r="152" spans="8:9" x14ac:dyDescent="0.3">
      <c r="H152" s="275"/>
      <c r="I152" s="275"/>
    </row>
    <row r="153" spans="8:9" x14ac:dyDescent="0.3">
      <c r="H153" s="275"/>
      <c r="I153" s="275"/>
    </row>
    <row r="154" spans="8:9" x14ac:dyDescent="0.3">
      <c r="H154" s="275"/>
      <c r="I154" s="275"/>
    </row>
    <row r="155" spans="8:9" x14ac:dyDescent="0.3">
      <c r="H155" s="275"/>
      <c r="I155" s="275"/>
    </row>
    <row r="156" spans="8:9" x14ac:dyDescent="0.3">
      <c r="H156" s="275"/>
      <c r="I156" s="275"/>
    </row>
    <row r="157" spans="8:9" x14ac:dyDescent="0.3">
      <c r="H157" s="275"/>
      <c r="I157" s="275"/>
    </row>
    <row r="158" spans="8:9" x14ac:dyDescent="0.3">
      <c r="H158" s="275"/>
      <c r="I158" s="275"/>
    </row>
    <row r="159" spans="8:9" x14ac:dyDescent="0.3">
      <c r="H159" s="275"/>
      <c r="I159" s="275"/>
    </row>
    <row r="160" spans="8:9" x14ac:dyDescent="0.3">
      <c r="H160" s="275"/>
      <c r="I160" s="275"/>
    </row>
    <row r="161" spans="8:9" x14ac:dyDescent="0.3">
      <c r="H161" s="275"/>
      <c r="I161" s="275"/>
    </row>
    <row r="162" spans="8:9" x14ac:dyDescent="0.3">
      <c r="H162" s="275"/>
      <c r="I162" s="275"/>
    </row>
    <row r="163" spans="8:9" x14ac:dyDescent="0.3">
      <c r="H163" s="275"/>
      <c r="I163" s="275"/>
    </row>
    <row r="164" spans="8:9" x14ac:dyDescent="0.3">
      <c r="H164" s="275"/>
      <c r="I164" s="275"/>
    </row>
    <row r="165" spans="8:9" x14ac:dyDescent="0.3">
      <c r="H165" s="275"/>
      <c r="I165" s="275"/>
    </row>
    <row r="166" spans="8:9" x14ac:dyDescent="0.3">
      <c r="H166" s="275"/>
      <c r="I166" s="275"/>
    </row>
    <row r="167" spans="8:9" x14ac:dyDescent="0.3">
      <c r="H167" s="275"/>
      <c r="I167" s="275"/>
    </row>
    <row r="168" spans="8:9" x14ac:dyDescent="0.3">
      <c r="H168" s="275"/>
      <c r="I168" s="275"/>
    </row>
    <row r="169" spans="8:9" x14ac:dyDescent="0.3">
      <c r="H169" s="275"/>
      <c r="I169" s="275"/>
    </row>
    <row r="170" spans="8:9" x14ac:dyDescent="0.3">
      <c r="H170" s="275"/>
      <c r="I170" s="275"/>
    </row>
    <row r="171" spans="8:9" x14ac:dyDescent="0.3">
      <c r="H171" s="275"/>
      <c r="I171" s="275"/>
    </row>
    <row r="172" spans="8:9" x14ac:dyDescent="0.3">
      <c r="H172" s="275"/>
      <c r="I172" s="275"/>
    </row>
    <row r="173" spans="8:9" x14ac:dyDescent="0.3">
      <c r="H173" s="275"/>
      <c r="I173" s="275"/>
    </row>
    <row r="174" spans="8:9" x14ac:dyDescent="0.3">
      <c r="H174" s="275"/>
      <c r="I174" s="275"/>
    </row>
    <row r="175" spans="8:9" x14ac:dyDescent="0.3">
      <c r="H175" s="275"/>
      <c r="I175" s="275"/>
    </row>
    <row r="176" spans="8:9" x14ac:dyDescent="0.3">
      <c r="H176" s="275"/>
      <c r="I176" s="275"/>
    </row>
    <row r="177" spans="8:9" x14ac:dyDescent="0.3">
      <c r="H177" s="275"/>
      <c r="I177" s="275"/>
    </row>
    <row r="178" spans="8:9" x14ac:dyDescent="0.3">
      <c r="H178" s="275"/>
      <c r="I178" s="275"/>
    </row>
    <row r="179" spans="8:9" x14ac:dyDescent="0.3">
      <c r="H179" s="275"/>
      <c r="I179" s="275"/>
    </row>
    <row r="180" spans="8:9" x14ac:dyDescent="0.3">
      <c r="H180" s="275"/>
      <c r="I180" s="275"/>
    </row>
    <row r="181" spans="8:9" x14ac:dyDescent="0.3">
      <c r="H181" s="275"/>
      <c r="I181" s="275"/>
    </row>
    <row r="182" spans="8:9" x14ac:dyDescent="0.3">
      <c r="H182" s="275"/>
      <c r="I182" s="275"/>
    </row>
    <row r="183" spans="8:9" x14ac:dyDescent="0.3">
      <c r="H183" s="275"/>
      <c r="I183" s="275"/>
    </row>
  </sheetData>
  <mergeCells count="6">
    <mergeCell ref="H6:I6"/>
    <mergeCell ref="A5:E5"/>
    <mergeCell ref="A1:E1"/>
    <mergeCell ref="A2:E2"/>
    <mergeCell ref="A3:E3"/>
    <mergeCell ref="A4:E4"/>
  </mergeCells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</vt:i4>
      </vt:variant>
    </vt:vector>
  </HeadingPairs>
  <TitlesOfParts>
    <vt:vector size="20" baseType="lpstr">
      <vt:lpstr>Oct 07</vt:lpstr>
      <vt:lpstr>Nov 07</vt:lpstr>
      <vt:lpstr>Dic 07</vt:lpstr>
      <vt:lpstr>Enero 08</vt:lpstr>
      <vt:lpstr>Febrero 08</vt:lpstr>
      <vt:lpstr>Marzo 08</vt:lpstr>
      <vt:lpstr>Abril 08</vt:lpstr>
      <vt:lpstr>Mayo 08</vt:lpstr>
      <vt:lpstr>Junio 08</vt:lpstr>
      <vt:lpstr>Julio 08</vt:lpstr>
      <vt:lpstr>Agosto 08</vt:lpstr>
      <vt:lpstr>Sept 08</vt:lpstr>
      <vt:lpstr>Trimestre Oct - Dic</vt:lpstr>
      <vt:lpstr>Trimestre ene - mar</vt:lpstr>
      <vt:lpstr>Trimestre abr - junio</vt:lpstr>
      <vt:lpstr>Trimestre julio - sept</vt:lpstr>
      <vt:lpstr>Anual</vt:lpstr>
      <vt:lpstr>Mensual</vt:lpstr>
      <vt:lpstr>Graficas</vt:lpstr>
      <vt:lpstr>Anual!Print_Titles</vt:lpstr>
    </vt:vector>
  </TitlesOfParts>
  <Company>DEPARTAMENTO DE LA FAMILIA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jfuentessaso</dc:creator>
  <cp:lastModifiedBy>Shayli Souchet Aponte</cp:lastModifiedBy>
  <cp:lastPrinted>2008-11-05T18:22:38Z</cp:lastPrinted>
  <dcterms:created xsi:type="dcterms:W3CDTF">2001-04-04T12:38:28Z</dcterms:created>
  <dcterms:modified xsi:type="dcterms:W3CDTF">2018-09-10T14:46:39Z</dcterms:modified>
</cp:coreProperties>
</file>