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65" windowWidth="15270" windowHeight="7650" firstSheet="2" activeTab="12"/>
  </bookViews>
  <sheets>
    <sheet name="Octubre 10" sheetId="1" r:id="rId1"/>
    <sheet name="Noviembre 10" sheetId="2" r:id="rId2"/>
    <sheet name="Dec 10" sheetId="3" r:id="rId3"/>
    <sheet name="Ene 11" sheetId="4" r:id="rId4"/>
    <sheet name="Feb 11" sheetId="5" r:id="rId5"/>
    <sheet name="Mar 11" sheetId="6" r:id="rId6"/>
    <sheet name="Apr 11" sheetId="7" r:id="rId7"/>
    <sheet name="May 11" sheetId="8" r:id="rId8"/>
    <sheet name="Jun 11" sheetId="9" r:id="rId9"/>
    <sheet name="Jul 11" sheetId="10" r:id="rId10"/>
    <sheet name="Ago 11" sheetId="11" r:id="rId11"/>
    <sheet name="Sep 11" sheetId="12" r:id="rId12"/>
    <sheet name="Sheet1" sheetId="13" r:id="rId13"/>
  </sheets>
  <calcPr calcId="145621"/>
</workbook>
</file>

<file path=xl/calcChain.xml><?xml version="1.0" encoding="utf-8"?>
<calcChain xmlns="http://schemas.openxmlformats.org/spreadsheetml/2006/main">
  <c r="D123" i="13" l="1"/>
  <c r="D124" i="13"/>
  <c r="D125" i="13"/>
  <c r="D126" i="13"/>
  <c r="D127" i="13"/>
  <c r="D128" i="13"/>
  <c r="D129" i="13"/>
  <c r="D130" i="13"/>
  <c r="D122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05" i="13"/>
  <c r="D94" i="13"/>
  <c r="D95" i="13"/>
  <c r="D96" i="13"/>
  <c r="D97" i="13"/>
  <c r="D98" i="13"/>
  <c r="D99" i="13"/>
  <c r="D100" i="13"/>
  <c r="D101" i="13"/>
  <c r="D93" i="13"/>
  <c r="D81" i="13"/>
  <c r="D82" i="13"/>
  <c r="D83" i="13"/>
  <c r="D84" i="13"/>
  <c r="D85" i="13"/>
  <c r="D86" i="13"/>
  <c r="D87" i="13"/>
  <c r="D88" i="13"/>
  <c r="D89" i="13"/>
  <c r="D80" i="13"/>
  <c r="D72" i="13"/>
  <c r="D73" i="13"/>
  <c r="D74" i="13"/>
  <c r="D75" i="13"/>
  <c r="D76" i="13"/>
  <c r="D71" i="13"/>
  <c r="D62" i="13"/>
  <c r="D63" i="13"/>
  <c r="D64" i="13"/>
  <c r="D65" i="13"/>
  <c r="D66" i="13"/>
  <c r="D67" i="13"/>
  <c r="D61" i="13"/>
  <c r="D52" i="13"/>
  <c r="D53" i="13"/>
  <c r="D54" i="13"/>
  <c r="D55" i="13"/>
  <c r="D56" i="13"/>
  <c r="D57" i="13"/>
  <c r="D51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35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19" i="13"/>
  <c r="D9" i="13"/>
  <c r="D10" i="13"/>
  <c r="D11" i="13"/>
  <c r="D12" i="13"/>
  <c r="D13" i="13"/>
  <c r="D14" i="13"/>
  <c r="D15" i="13"/>
  <c r="D8" i="13"/>
  <c r="D131" i="13" l="1"/>
  <c r="B122" i="13"/>
  <c r="B31" i="13" l="1"/>
  <c r="C31" i="13"/>
  <c r="C30" i="13"/>
  <c r="B30" i="13"/>
  <c r="D68" i="13" l="1"/>
  <c r="D58" i="13"/>
  <c r="C101" i="13"/>
  <c r="E15" i="12" l="1"/>
  <c r="E14" i="12"/>
  <c r="E13" i="12"/>
  <c r="E11" i="12"/>
  <c r="E10" i="12"/>
  <c r="E9" i="12"/>
  <c r="E8" i="12"/>
  <c r="D15" i="12"/>
  <c r="D14" i="12"/>
  <c r="D13" i="12"/>
  <c r="D11" i="12"/>
  <c r="D10" i="12"/>
  <c r="D9" i="12"/>
  <c r="D8" i="12"/>
  <c r="C8" i="12"/>
  <c r="C9" i="12"/>
  <c r="C10" i="12"/>
  <c r="C11" i="12"/>
  <c r="C13" i="12"/>
  <c r="C14" i="12"/>
  <c r="C15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D51" i="12"/>
  <c r="D52" i="12"/>
  <c r="D53" i="12"/>
  <c r="D54" i="12"/>
  <c r="D55" i="12"/>
  <c r="D56" i="12"/>
  <c r="D57" i="12"/>
  <c r="E57" i="12"/>
  <c r="E56" i="12"/>
  <c r="E55" i="12"/>
  <c r="E54" i="12"/>
  <c r="E53" i="12"/>
  <c r="E52" i="12"/>
  <c r="E51" i="12"/>
  <c r="C51" i="12"/>
  <c r="C52" i="12"/>
  <c r="C53" i="12"/>
  <c r="C54" i="12"/>
  <c r="C55" i="12"/>
  <c r="C56" i="12"/>
  <c r="D61" i="12"/>
  <c r="D62" i="12"/>
  <c r="D63" i="12"/>
  <c r="D65" i="12"/>
  <c r="D66" i="12"/>
  <c r="D67" i="12"/>
  <c r="E67" i="12"/>
  <c r="E66" i="12"/>
  <c r="E65" i="12"/>
  <c r="E63" i="12"/>
  <c r="E62" i="12"/>
  <c r="E61" i="12"/>
  <c r="C61" i="12"/>
  <c r="C62" i="12"/>
  <c r="B62" i="13" s="1"/>
  <c r="C63" i="12"/>
  <c r="B63" i="13" s="1"/>
  <c r="C64" i="12"/>
  <c r="B64" i="13" s="1"/>
  <c r="C65" i="12"/>
  <c r="C66" i="12"/>
  <c r="C67" i="12"/>
  <c r="E71" i="12"/>
  <c r="E72" i="12"/>
  <c r="E73" i="12"/>
  <c r="E74" i="12"/>
  <c r="E75" i="12"/>
  <c r="E76" i="12"/>
  <c r="D76" i="12"/>
  <c r="D75" i="12"/>
  <c r="D74" i="12"/>
  <c r="D73" i="12"/>
  <c r="D72" i="12"/>
  <c r="D71" i="12"/>
  <c r="C71" i="12"/>
  <c r="B71" i="13" s="1"/>
  <c r="C72" i="12"/>
  <c r="B72" i="13" s="1"/>
  <c r="C73" i="12"/>
  <c r="B73" i="13" s="1"/>
  <c r="C74" i="12"/>
  <c r="B74" i="13" s="1"/>
  <c r="C75" i="12"/>
  <c r="B75" i="13" s="1"/>
  <c r="C76" i="12"/>
  <c r="B76" i="13" s="1"/>
  <c r="D80" i="12"/>
  <c r="D81" i="12"/>
  <c r="D82" i="12"/>
  <c r="D83" i="12"/>
  <c r="D84" i="12"/>
  <c r="D85" i="12"/>
  <c r="D86" i="12"/>
  <c r="D87" i="12"/>
  <c r="D88" i="12"/>
  <c r="D89" i="12"/>
  <c r="E89" i="12"/>
  <c r="E88" i="12"/>
  <c r="E87" i="12"/>
  <c r="E86" i="12"/>
  <c r="E85" i="12"/>
  <c r="E84" i="12"/>
  <c r="E83" i="12"/>
  <c r="E82" i="12"/>
  <c r="E81" i="12"/>
  <c r="E80" i="12"/>
  <c r="C80" i="12"/>
  <c r="B80" i="13" s="1"/>
  <c r="C81" i="12"/>
  <c r="B81" i="13" s="1"/>
  <c r="C82" i="12"/>
  <c r="B82" i="13" s="1"/>
  <c r="C83" i="12"/>
  <c r="B83" i="13" s="1"/>
  <c r="C84" i="12"/>
  <c r="B84" i="13" s="1"/>
  <c r="C85" i="12"/>
  <c r="B85" i="13" s="1"/>
  <c r="C86" i="12"/>
  <c r="B86" i="13" s="1"/>
  <c r="C87" i="12"/>
  <c r="B87" i="13" s="1"/>
  <c r="C88" i="12"/>
  <c r="B88" i="13" s="1"/>
  <c r="C89" i="12"/>
  <c r="B89" i="13" s="1"/>
  <c r="E101" i="12"/>
  <c r="E100" i="12"/>
  <c r="E99" i="12"/>
  <c r="E98" i="12"/>
  <c r="E97" i="12"/>
  <c r="E96" i="12"/>
  <c r="E95" i="12"/>
  <c r="E94" i="12"/>
  <c r="E93" i="12"/>
  <c r="D101" i="12"/>
  <c r="D100" i="12"/>
  <c r="D99" i="12"/>
  <c r="D98" i="12"/>
  <c r="D97" i="12"/>
  <c r="D96" i="12"/>
  <c r="D95" i="12"/>
  <c r="D94" i="12"/>
  <c r="D93" i="12"/>
  <c r="C93" i="12"/>
  <c r="B93" i="13" s="1"/>
  <c r="C94" i="12"/>
  <c r="B94" i="13" s="1"/>
  <c r="C95" i="12"/>
  <c r="B95" i="13" s="1"/>
  <c r="C96" i="12"/>
  <c r="B96" i="13" s="1"/>
  <c r="C97" i="12"/>
  <c r="C98" i="12"/>
  <c r="C99" i="12"/>
  <c r="C100" i="12"/>
  <c r="C101" i="12"/>
  <c r="B101" i="13" s="1"/>
  <c r="E105" i="12"/>
  <c r="E106" i="12"/>
  <c r="E108" i="12"/>
  <c r="E109" i="12"/>
  <c r="E110" i="12"/>
  <c r="E111" i="12"/>
  <c r="E112" i="12"/>
  <c r="E113" i="12"/>
  <c r="E114" i="12"/>
  <c r="E115" i="12"/>
  <c r="E116" i="12"/>
  <c r="E117" i="12"/>
  <c r="E118" i="12"/>
  <c r="D118" i="12"/>
  <c r="D117" i="12"/>
  <c r="D116" i="12"/>
  <c r="D115" i="12"/>
  <c r="D114" i="12"/>
  <c r="D113" i="12"/>
  <c r="D112" i="12"/>
  <c r="D111" i="12"/>
  <c r="D110" i="12"/>
  <c r="D109" i="12"/>
  <c r="D108" i="12"/>
  <c r="D106" i="12"/>
  <c r="D105" i="12"/>
  <c r="C105" i="12"/>
  <c r="B105" i="13" s="1"/>
  <c r="C106" i="12"/>
  <c r="C108" i="12"/>
  <c r="C109" i="12"/>
  <c r="B109" i="13" s="1"/>
  <c r="C110" i="12"/>
  <c r="B110" i="13" s="1"/>
  <c r="C111" i="12"/>
  <c r="B111" i="13" s="1"/>
  <c r="C112" i="12"/>
  <c r="B112" i="13" s="1"/>
  <c r="C113" i="12"/>
  <c r="B113" i="13" s="1"/>
  <c r="C114" i="12"/>
  <c r="B114" i="13" s="1"/>
  <c r="C115" i="12"/>
  <c r="C116" i="12"/>
  <c r="B116" i="13" s="1"/>
  <c r="C117" i="12"/>
  <c r="C118" i="12"/>
  <c r="B118" i="13" s="1"/>
  <c r="D122" i="12"/>
  <c r="D123" i="12"/>
  <c r="D124" i="12"/>
  <c r="D125" i="12"/>
  <c r="D126" i="12"/>
  <c r="D127" i="12"/>
  <c r="D128" i="12"/>
  <c r="D129" i="12"/>
  <c r="D130" i="12"/>
  <c r="E130" i="12"/>
  <c r="E129" i="12"/>
  <c r="E128" i="12"/>
  <c r="E127" i="12"/>
  <c r="E126" i="12"/>
  <c r="E125" i="12"/>
  <c r="E124" i="12"/>
  <c r="E123" i="12"/>
  <c r="E122" i="12"/>
  <c r="C122" i="12"/>
  <c r="C123" i="12"/>
  <c r="B123" i="13" s="1"/>
  <c r="C124" i="12"/>
  <c r="B124" i="13" s="1"/>
  <c r="C125" i="12"/>
  <c r="B125" i="13" s="1"/>
  <c r="C126" i="12"/>
  <c r="B126" i="13" s="1"/>
  <c r="C127" i="12"/>
  <c r="B127" i="13" s="1"/>
  <c r="C128" i="12"/>
  <c r="B128" i="13" s="1"/>
  <c r="C129" i="12"/>
  <c r="C130" i="12"/>
  <c r="B130" i="13" s="1"/>
  <c r="B97" i="13"/>
  <c r="B98" i="13"/>
  <c r="B99" i="13"/>
  <c r="B100" i="13"/>
  <c r="B65" i="13"/>
  <c r="B66" i="13"/>
  <c r="B67" i="13"/>
  <c r="B106" i="13"/>
  <c r="B107" i="13"/>
  <c r="B108" i="13"/>
  <c r="B115" i="13"/>
  <c r="B117" i="13"/>
  <c r="C119" i="11"/>
  <c r="C68" i="12" l="1"/>
  <c r="E108" i="13"/>
  <c r="E96" i="13"/>
  <c r="E114" i="13"/>
  <c r="E113" i="13"/>
  <c r="E112" i="13"/>
  <c r="E98" i="13"/>
  <c r="E105" i="13"/>
  <c r="E67" i="13"/>
  <c r="E99" i="13"/>
  <c r="E100" i="13"/>
  <c r="E109" i="13"/>
  <c r="E122" i="13"/>
  <c r="E115" i="13"/>
  <c r="E66" i="13"/>
  <c r="E63" i="13"/>
  <c r="E95" i="13"/>
  <c r="C102" i="12"/>
  <c r="E128" i="13"/>
  <c r="E116" i="13"/>
  <c r="E80" i="13"/>
  <c r="E88" i="13"/>
  <c r="E76" i="13"/>
  <c r="E65" i="13"/>
  <c r="E81" i="13"/>
  <c r="E89" i="13"/>
  <c r="E75" i="13"/>
  <c r="E94" i="13"/>
  <c r="E82" i="13"/>
  <c r="E62" i="13"/>
  <c r="E83" i="13"/>
  <c r="E111" i="13"/>
  <c r="E93" i="13"/>
  <c r="E64" i="13"/>
  <c r="E125" i="13"/>
  <c r="E85" i="13"/>
  <c r="E71" i="13"/>
  <c r="E130" i="13"/>
  <c r="E73" i="13"/>
  <c r="E117" i="13"/>
  <c r="E72" i="13"/>
  <c r="E101" i="13"/>
  <c r="C77" i="12"/>
  <c r="E126" i="13"/>
  <c r="E86" i="13"/>
  <c r="E118" i="13"/>
  <c r="E106" i="13"/>
  <c r="E97" i="13"/>
  <c r="E74" i="13"/>
  <c r="E123" i="13"/>
  <c r="E124" i="13"/>
  <c r="E84" i="13"/>
  <c r="E110" i="13"/>
  <c r="E107" i="13"/>
  <c r="C90" i="12"/>
  <c r="E127" i="13"/>
  <c r="E87" i="13"/>
  <c r="C16" i="12"/>
  <c r="C32" i="12"/>
  <c r="C48" i="12"/>
  <c r="B102" i="13"/>
  <c r="C119" i="12"/>
  <c r="C131" i="12"/>
  <c r="B52" i="13"/>
  <c r="B53" i="13"/>
  <c r="B54" i="13"/>
  <c r="B55" i="13"/>
  <c r="B56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20" i="13"/>
  <c r="B21" i="13"/>
  <c r="B22" i="13"/>
  <c r="B23" i="13"/>
  <c r="B24" i="13"/>
  <c r="B25" i="13"/>
  <c r="B26" i="13"/>
  <c r="B27" i="13"/>
  <c r="B28" i="13"/>
  <c r="B29" i="13"/>
  <c r="B9" i="13"/>
  <c r="B10" i="13"/>
  <c r="B11" i="13"/>
  <c r="B12" i="13"/>
  <c r="B13" i="13"/>
  <c r="B14" i="13"/>
  <c r="B15" i="13"/>
  <c r="B51" i="13"/>
  <c r="B61" i="13"/>
  <c r="B68" i="13" s="1"/>
  <c r="B8" i="13"/>
  <c r="B19" i="13"/>
  <c r="B35" i="13"/>
  <c r="C57" i="12"/>
  <c r="C58" i="12" s="1"/>
  <c r="D119" i="12"/>
  <c r="E119" i="12"/>
  <c r="B57" i="13" l="1"/>
  <c r="B58" i="13" s="1"/>
  <c r="E10" i="13"/>
  <c r="E8" i="13"/>
  <c r="D16" i="13"/>
  <c r="E30" i="13"/>
  <c r="E45" i="13"/>
  <c r="E42" i="13"/>
  <c r="E56" i="13"/>
  <c r="E9" i="13"/>
  <c r="E24" i="13"/>
  <c r="E47" i="13"/>
  <c r="E39" i="13"/>
  <c r="E53" i="13"/>
  <c r="E54" i="13"/>
  <c r="E35" i="13"/>
  <c r="E51" i="13"/>
  <c r="E29" i="13"/>
  <c r="E44" i="13"/>
  <c r="E11" i="13"/>
  <c r="E26" i="13"/>
  <c r="E41" i="13"/>
  <c r="E55" i="13"/>
  <c r="E25" i="13"/>
  <c r="E40" i="13"/>
  <c r="E12" i="13"/>
  <c r="E19" i="13"/>
  <c r="E31" i="13"/>
  <c r="E23" i="13"/>
  <c r="E46" i="13"/>
  <c r="E38" i="13"/>
  <c r="E52" i="13"/>
  <c r="E15" i="13"/>
  <c r="E22" i="13"/>
  <c r="E37" i="13"/>
  <c r="E27" i="13"/>
  <c r="E14" i="13"/>
  <c r="E21" i="13"/>
  <c r="E36" i="13"/>
  <c r="E61" i="13"/>
  <c r="E13" i="13"/>
  <c r="E28" i="13"/>
  <c r="E20" i="13"/>
  <c r="E43" i="13"/>
  <c r="B119" i="13"/>
  <c r="D119" i="13"/>
  <c r="D48" i="13"/>
  <c r="B48" i="13"/>
  <c r="D32" i="13"/>
  <c r="B32" i="13"/>
  <c r="B16" i="13"/>
  <c r="E57" i="13" l="1"/>
  <c r="E48" i="13"/>
  <c r="E16" i="13"/>
  <c r="E119" i="13"/>
  <c r="E58" i="13"/>
  <c r="E32" i="13"/>
  <c r="O122" i="6"/>
  <c r="O123" i="6"/>
  <c r="O124" i="6"/>
  <c r="F108" i="5" l="1"/>
  <c r="G67" i="2"/>
  <c r="G66" i="2"/>
  <c r="G100" i="1"/>
  <c r="G67" i="1"/>
  <c r="G66" i="1"/>
  <c r="C134" i="4"/>
  <c r="E119" i="3" l="1"/>
  <c r="D123" i="3"/>
  <c r="C123" i="13" s="1"/>
  <c r="F123" i="13" s="1"/>
  <c r="D124" i="3"/>
  <c r="C124" i="13" s="1"/>
  <c r="F124" i="13" s="1"/>
  <c r="D125" i="3"/>
  <c r="C125" i="13" s="1"/>
  <c r="F125" i="13" s="1"/>
  <c r="D126" i="3"/>
  <c r="C126" i="13" s="1"/>
  <c r="F126" i="13" s="1"/>
  <c r="D127" i="3"/>
  <c r="C127" i="13" s="1"/>
  <c r="F127" i="13" s="1"/>
  <c r="D128" i="3"/>
  <c r="C128" i="13" s="1"/>
  <c r="F128" i="13" s="1"/>
  <c r="D129" i="3"/>
  <c r="D130" i="3"/>
  <c r="C130" i="13" s="1"/>
  <c r="F130" i="13" s="1"/>
  <c r="D131" i="3"/>
  <c r="D122" i="3"/>
  <c r="C122" i="13" s="1"/>
  <c r="D106" i="3"/>
  <c r="C106" i="13" s="1"/>
  <c r="F106" i="13" s="1"/>
  <c r="D107" i="3"/>
  <c r="C107" i="13" s="1"/>
  <c r="F107" i="13" s="1"/>
  <c r="D108" i="3"/>
  <c r="C108" i="13" s="1"/>
  <c r="F108" i="13" s="1"/>
  <c r="D109" i="3"/>
  <c r="C109" i="13" s="1"/>
  <c r="F109" i="13" s="1"/>
  <c r="D110" i="3"/>
  <c r="C110" i="13" s="1"/>
  <c r="F110" i="13" s="1"/>
  <c r="D111" i="3"/>
  <c r="C111" i="13" s="1"/>
  <c r="F111" i="13" s="1"/>
  <c r="D112" i="3"/>
  <c r="C112" i="13" s="1"/>
  <c r="F112" i="13" s="1"/>
  <c r="D113" i="3"/>
  <c r="C113" i="13" s="1"/>
  <c r="F113" i="13" s="1"/>
  <c r="D114" i="3"/>
  <c r="C114" i="13" s="1"/>
  <c r="F114" i="13" s="1"/>
  <c r="D115" i="3"/>
  <c r="C115" i="13" s="1"/>
  <c r="F115" i="13" s="1"/>
  <c r="D116" i="3"/>
  <c r="C116" i="13" s="1"/>
  <c r="F116" i="13" s="1"/>
  <c r="D117" i="3"/>
  <c r="C117" i="13" s="1"/>
  <c r="F117" i="13" s="1"/>
  <c r="D118" i="3"/>
  <c r="C118" i="13" s="1"/>
  <c r="F118" i="13" s="1"/>
  <c r="D105" i="3"/>
  <c r="C105" i="13" s="1"/>
  <c r="D94" i="3"/>
  <c r="C94" i="13" s="1"/>
  <c r="F94" i="13" s="1"/>
  <c r="D95" i="3"/>
  <c r="C95" i="13" s="1"/>
  <c r="F95" i="13" s="1"/>
  <c r="D96" i="3"/>
  <c r="C96" i="13" s="1"/>
  <c r="F96" i="13" s="1"/>
  <c r="D97" i="3"/>
  <c r="C97" i="13" s="1"/>
  <c r="F97" i="13" s="1"/>
  <c r="D98" i="3"/>
  <c r="C98" i="13" s="1"/>
  <c r="F98" i="13" s="1"/>
  <c r="D99" i="3"/>
  <c r="C99" i="13" s="1"/>
  <c r="F99" i="13" s="1"/>
  <c r="D100" i="3"/>
  <c r="C100" i="13" s="1"/>
  <c r="F100" i="13" s="1"/>
  <c r="D101" i="3"/>
  <c r="F101" i="13" s="1"/>
  <c r="D93" i="3"/>
  <c r="C93" i="13" s="1"/>
  <c r="F93" i="13" s="1"/>
  <c r="D81" i="3"/>
  <c r="C81" i="13" s="1"/>
  <c r="F81" i="13" s="1"/>
  <c r="D82" i="3"/>
  <c r="C82" i="13" s="1"/>
  <c r="F82" i="13" s="1"/>
  <c r="D83" i="3"/>
  <c r="C83" i="13" s="1"/>
  <c r="F83" i="13" s="1"/>
  <c r="D84" i="3"/>
  <c r="C84" i="13" s="1"/>
  <c r="F84" i="13" s="1"/>
  <c r="D85" i="3"/>
  <c r="C85" i="13" s="1"/>
  <c r="F85" i="13" s="1"/>
  <c r="D86" i="3"/>
  <c r="C86" i="13" s="1"/>
  <c r="F86" i="13" s="1"/>
  <c r="D87" i="3"/>
  <c r="C87" i="13" s="1"/>
  <c r="F87" i="13" s="1"/>
  <c r="D88" i="3"/>
  <c r="C88" i="13" s="1"/>
  <c r="F88" i="13" s="1"/>
  <c r="D89" i="3"/>
  <c r="C89" i="13" s="1"/>
  <c r="F89" i="13" s="1"/>
  <c r="D80" i="3"/>
  <c r="C80" i="13" s="1"/>
  <c r="F80" i="13" s="1"/>
  <c r="D72" i="3"/>
  <c r="C72" i="13" s="1"/>
  <c r="F72" i="13" s="1"/>
  <c r="D73" i="3"/>
  <c r="C73" i="13" s="1"/>
  <c r="F73" i="13" s="1"/>
  <c r="D74" i="3"/>
  <c r="C74" i="13" s="1"/>
  <c r="F74" i="13" s="1"/>
  <c r="D75" i="3"/>
  <c r="C75" i="13" s="1"/>
  <c r="F75" i="13" s="1"/>
  <c r="D76" i="3"/>
  <c r="C76" i="13" s="1"/>
  <c r="F76" i="13" s="1"/>
  <c r="D71" i="3"/>
  <c r="C71" i="13" s="1"/>
  <c r="F71" i="13" s="1"/>
  <c r="D62" i="3"/>
  <c r="C62" i="13" s="1"/>
  <c r="F62" i="13" s="1"/>
  <c r="D63" i="3"/>
  <c r="C63" i="13" s="1"/>
  <c r="F63" i="13" s="1"/>
  <c r="D64" i="3"/>
  <c r="C64" i="13" s="1"/>
  <c r="F64" i="13" s="1"/>
  <c r="D65" i="3"/>
  <c r="C65" i="13" s="1"/>
  <c r="F65" i="13" s="1"/>
  <c r="D66" i="3"/>
  <c r="C66" i="13" s="1"/>
  <c r="F66" i="13" s="1"/>
  <c r="D67" i="3"/>
  <c r="C67" i="13" s="1"/>
  <c r="F67" i="13" s="1"/>
  <c r="D61" i="3"/>
  <c r="C61" i="13" s="1"/>
  <c r="F61" i="13" s="1"/>
  <c r="D52" i="3"/>
  <c r="C52" i="13" s="1"/>
  <c r="F52" i="13" s="1"/>
  <c r="D53" i="3"/>
  <c r="C53" i="13" s="1"/>
  <c r="F53" i="13" s="1"/>
  <c r="D54" i="3"/>
  <c r="C54" i="13" s="1"/>
  <c r="F54" i="13" s="1"/>
  <c r="D55" i="3"/>
  <c r="C55" i="13" s="1"/>
  <c r="F55" i="13" s="1"/>
  <c r="D56" i="3"/>
  <c r="C56" i="13" s="1"/>
  <c r="F56" i="13" s="1"/>
  <c r="D57" i="3"/>
  <c r="C57" i="13" s="1"/>
  <c r="F57" i="13" s="1"/>
  <c r="D51" i="3"/>
  <c r="C51" i="13" s="1"/>
  <c r="D36" i="3"/>
  <c r="C36" i="13" s="1"/>
  <c r="F36" i="13" s="1"/>
  <c r="D37" i="3"/>
  <c r="C37" i="13" s="1"/>
  <c r="F37" i="13" s="1"/>
  <c r="D38" i="3"/>
  <c r="C38" i="13" s="1"/>
  <c r="F38" i="13" s="1"/>
  <c r="D39" i="3"/>
  <c r="C39" i="13" s="1"/>
  <c r="F39" i="13" s="1"/>
  <c r="D40" i="3"/>
  <c r="C40" i="13" s="1"/>
  <c r="F40" i="13" s="1"/>
  <c r="D41" i="3"/>
  <c r="C41" i="13" s="1"/>
  <c r="F41" i="13" s="1"/>
  <c r="D42" i="3"/>
  <c r="C42" i="13" s="1"/>
  <c r="F42" i="13" s="1"/>
  <c r="D43" i="3"/>
  <c r="C43" i="13" s="1"/>
  <c r="F43" i="13" s="1"/>
  <c r="D44" i="3"/>
  <c r="C44" i="13" s="1"/>
  <c r="F44" i="13" s="1"/>
  <c r="D45" i="3"/>
  <c r="C45" i="13" s="1"/>
  <c r="F45" i="13" s="1"/>
  <c r="D46" i="3"/>
  <c r="C46" i="13" s="1"/>
  <c r="F46" i="13" s="1"/>
  <c r="D47" i="3"/>
  <c r="C47" i="13" s="1"/>
  <c r="F47" i="13" s="1"/>
  <c r="D35" i="3"/>
  <c r="C35" i="13" s="1"/>
  <c r="D20" i="3"/>
  <c r="C20" i="13" s="1"/>
  <c r="F20" i="13" s="1"/>
  <c r="D21" i="3"/>
  <c r="C21" i="13" s="1"/>
  <c r="F21" i="13" s="1"/>
  <c r="D22" i="3"/>
  <c r="C22" i="13" s="1"/>
  <c r="F22" i="13" s="1"/>
  <c r="D23" i="3"/>
  <c r="C23" i="13" s="1"/>
  <c r="F23" i="13" s="1"/>
  <c r="D24" i="3"/>
  <c r="C24" i="13" s="1"/>
  <c r="F24" i="13" s="1"/>
  <c r="D25" i="3"/>
  <c r="C25" i="13" s="1"/>
  <c r="F25" i="13" s="1"/>
  <c r="D26" i="3"/>
  <c r="C26" i="13" s="1"/>
  <c r="F26" i="13" s="1"/>
  <c r="D27" i="3"/>
  <c r="C27" i="13" s="1"/>
  <c r="F27" i="13" s="1"/>
  <c r="D28" i="3"/>
  <c r="C28" i="13" s="1"/>
  <c r="F28" i="13" s="1"/>
  <c r="D29" i="3"/>
  <c r="C29" i="13" s="1"/>
  <c r="F29" i="13" s="1"/>
  <c r="D30" i="3"/>
  <c r="F30" i="13" s="1"/>
  <c r="D31" i="3"/>
  <c r="F31" i="13" s="1"/>
  <c r="D19" i="3"/>
  <c r="C19" i="13" s="1"/>
  <c r="D9" i="3"/>
  <c r="C9" i="13" s="1"/>
  <c r="F9" i="13" s="1"/>
  <c r="D10" i="3"/>
  <c r="C10" i="13" s="1"/>
  <c r="F10" i="13" s="1"/>
  <c r="D11" i="3"/>
  <c r="C11" i="13" s="1"/>
  <c r="F11" i="13" s="1"/>
  <c r="D12" i="3"/>
  <c r="C12" i="13" s="1"/>
  <c r="F12" i="13" s="1"/>
  <c r="D13" i="3"/>
  <c r="C13" i="13" s="1"/>
  <c r="F13" i="13" s="1"/>
  <c r="D14" i="3"/>
  <c r="C14" i="13" s="1"/>
  <c r="F14" i="13" s="1"/>
  <c r="D15" i="3"/>
  <c r="C15" i="13" s="1"/>
  <c r="F15" i="13" s="1"/>
  <c r="D8" i="3"/>
  <c r="C8" i="13" s="1"/>
  <c r="F123" i="4"/>
  <c r="F123" i="12"/>
  <c r="F124" i="12"/>
  <c r="F125" i="12"/>
  <c r="F126" i="12"/>
  <c r="F127" i="12"/>
  <c r="F128" i="12"/>
  <c r="F129" i="12"/>
  <c r="F130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94" i="12"/>
  <c r="F95" i="12"/>
  <c r="F96" i="12"/>
  <c r="F97" i="12"/>
  <c r="F98" i="12"/>
  <c r="F99" i="12"/>
  <c r="F100" i="12"/>
  <c r="F101" i="12"/>
  <c r="F123" i="11"/>
  <c r="F124" i="11"/>
  <c r="F125" i="11"/>
  <c r="F126" i="11"/>
  <c r="F127" i="11"/>
  <c r="F128" i="11"/>
  <c r="F129" i="11"/>
  <c r="F130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93" i="11"/>
  <c r="F94" i="11"/>
  <c r="F95" i="11"/>
  <c r="F96" i="11"/>
  <c r="F97" i="11"/>
  <c r="F98" i="11"/>
  <c r="F99" i="11"/>
  <c r="F100" i="11"/>
  <c r="F101" i="11"/>
  <c r="F123" i="8"/>
  <c r="F124" i="8"/>
  <c r="F125" i="8"/>
  <c r="F126" i="8"/>
  <c r="F127" i="8"/>
  <c r="F128" i="8"/>
  <c r="F129" i="8"/>
  <c r="F130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94" i="8"/>
  <c r="F95" i="8"/>
  <c r="F96" i="8"/>
  <c r="F97" i="8"/>
  <c r="F98" i="8"/>
  <c r="F99" i="8"/>
  <c r="F100" i="8"/>
  <c r="F101" i="8"/>
  <c r="F123" i="10"/>
  <c r="F124" i="10"/>
  <c r="F125" i="10"/>
  <c r="F126" i="10"/>
  <c r="F127" i="10"/>
  <c r="F128" i="10"/>
  <c r="F129" i="10"/>
  <c r="F130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94" i="10"/>
  <c r="F95" i="10"/>
  <c r="F96" i="10"/>
  <c r="F97" i="10"/>
  <c r="F98" i="10"/>
  <c r="F99" i="10"/>
  <c r="F100" i="10"/>
  <c r="F101" i="10"/>
  <c r="F123" i="9"/>
  <c r="F124" i="9"/>
  <c r="F125" i="9"/>
  <c r="F126" i="9"/>
  <c r="F127" i="9"/>
  <c r="F128" i="9"/>
  <c r="F129" i="9"/>
  <c r="F130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94" i="9"/>
  <c r="F95" i="9"/>
  <c r="F96" i="9"/>
  <c r="F97" i="9"/>
  <c r="F98" i="9"/>
  <c r="F99" i="9"/>
  <c r="F100" i="9"/>
  <c r="F101" i="9"/>
  <c r="F123" i="7"/>
  <c r="F124" i="7"/>
  <c r="F125" i="7"/>
  <c r="F126" i="7"/>
  <c r="F127" i="7"/>
  <c r="F128" i="7"/>
  <c r="F129" i="7"/>
  <c r="F130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94" i="7"/>
  <c r="F95" i="7"/>
  <c r="F96" i="7"/>
  <c r="F97" i="7"/>
  <c r="F98" i="7"/>
  <c r="F99" i="7"/>
  <c r="F100" i="7"/>
  <c r="F101" i="7"/>
  <c r="F8" i="7"/>
  <c r="F123" i="6"/>
  <c r="F124" i="6"/>
  <c r="F125" i="6"/>
  <c r="F126" i="6"/>
  <c r="F127" i="6"/>
  <c r="F128" i="6"/>
  <c r="F129" i="6"/>
  <c r="F130" i="6"/>
  <c r="F131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E90" i="6"/>
  <c r="F101" i="6"/>
  <c r="F94" i="6"/>
  <c r="F95" i="6"/>
  <c r="F96" i="6"/>
  <c r="F97" i="6"/>
  <c r="F98" i="6"/>
  <c r="F99" i="6"/>
  <c r="F100" i="6"/>
  <c r="F123" i="5"/>
  <c r="F124" i="5"/>
  <c r="F125" i="5"/>
  <c r="F126" i="5"/>
  <c r="F127" i="5"/>
  <c r="F128" i="5"/>
  <c r="F129" i="5"/>
  <c r="F130" i="5"/>
  <c r="F131" i="5"/>
  <c r="F106" i="5"/>
  <c r="F107" i="5"/>
  <c r="F109" i="5"/>
  <c r="F110" i="5"/>
  <c r="F111" i="5"/>
  <c r="F112" i="5"/>
  <c r="F113" i="5"/>
  <c r="F114" i="5"/>
  <c r="F115" i="5"/>
  <c r="F116" i="5"/>
  <c r="F117" i="5"/>
  <c r="F118" i="5"/>
  <c r="F94" i="5"/>
  <c r="F95" i="5"/>
  <c r="F96" i="5"/>
  <c r="F97" i="5"/>
  <c r="F98" i="5"/>
  <c r="F99" i="5"/>
  <c r="F100" i="5"/>
  <c r="F101" i="5"/>
  <c r="F124" i="4"/>
  <c r="F125" i="4"/>
  <c r="F126" i="4"/>
  <c r="F127" i="4"/>
  <c r="F128" i="4"/>
  <c r="F129" i="4"/>
  <c r="F130" i="4"/>
  <c r="F131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94" i="4"/>
  <c r="F95" i="4"/>
  <c r="F96" i="4"/>
  <c r="F97" i="4"/>
  <c r="F98" i="4"/>
  <c r="F99" i="4"/>
  <c r="F100" i="4"/>
  <c r="F101" i="4"/>
  <c r="F125" i="1"/>
  <c r="F126" i="1"/>
  <c r="F127" i="1"/>
  <c r="F128" i="1"/>
  <c r="F129" i="1"/>
  <c r="F130" i="1"/>
  <c r="F131" i="1"/>
  <c r="F132" i="1"/>
  <c r="F133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95" i="1"/>
  <c r="F96" i="1"/>
  <c r="F97" i="1"/>
  <c r="F98" i="1"/>
  <c r="F99" i="1"/>
  <c r="F100" i="1"/>
  <c r="F101" i="1"/>
  <c r="F102" i="1"/>
  <c r="F103" i="1"/>
  <c r="F123" i="3"/>
  <c r="F124" i="3"/>
  <c r="F125" i="3"/>
  <c r="F126" i="3"/>
  <c r="F127" i="3"/>
  <c r="F128" i="3"/>
  <c r="F129" i="3"/>
  <c r="F130" i="3"/>
  <c r="F131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94" i="3"/>
  <c r="F95" i="3"/>
  <c r="F96" i="3"/>
  <c r="F97" i="3"/>
  <c r="F98" i="3"/>
  <c r="F99" i="3"/>
  <c r="F100" i="3"/>
  <c r="F101" i="3"/>
  <c r="F124" i="2"/>
  <c r="F125" i="2"/>
  <c r="F126" i="2"/>
  <c r="F127" i="2"/>
  <c r="F128" i="2"/>
  <c r="F129" i="2"/>
  <c r="F130" i="2"/>
  <c r="F131" i="2"/>
  <c r="F132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95" i="2"/>
  <c r="F96" i="2"/>
  <c r="F97" i="2"/>
  <c r="F98" i="2"/>
  <c r="F99" i="2"/>
  <c r="F100" i="2"/>
  <c r="F101" i="2"/>
  <c r="F102" i="2"/>
  <c r="E131" i="12"/>
  <c r="D131" i="12"/>
  <c r="F122" i="12"/>
  <c r="F119" i="12"/>
  <c r="F105" i="12"/>
  <c r="E102" i="12"/>
  <c r="D102" i="13" s="1"/>
  <c r="D102" i="12"/>
  <c r="F93" i="12"/>
  <c r="E90" i="12"/>
  <c r="D90" i="12"/>
  <c r="B90" i="13"/>
  <c r="F89" i="12"/>
  <c r="F88" i="12"/>
  <c r="F87" i="12"/>
  <c r="F86" i="12"/>
  <c r="F85" i="12"/>
  <c r="F84" i="12"/>
  <c r="F83" i="12"/>
  <c r="F82" i="12"/>
  <c r="F81" i="12"/>
  <c r="F80" i="12"/>
  <c r="E77" i="12"/>
  <c r="D77" i="12"/>
  <c r="B77" i="13"/>
  <c r="F76" i="12"/>
  <c r="F75" i="12"/>
  <c r="F74" i="12"/>
  <c r="F73" i="12"/>
  <c r="F72" i="12"/>
  <c r="F71" i="12"/>
  <c r="E68" i="12"/>
  <c r="D68" i="12"/>
  <c r="F67" i="12"/>
  <c r="F66" i="12"/>
  <c r="F65" i="12"/>
  <c r="F64" i="12"/>
  <c r="F63" i="12"/>
  <c r="F62" i="12"/>
  <c r="F61" i="12"/>
  <c r="E58" i="12"/>
  <c r="D58" i="12"/>
  <c r="F57" i="12"/>
  <c r="F56" i="12"/>
  <c r="F55" i="12"/>
  <c r="F54" i="12"/>
  <c r="F53" i="12"/>
  <c r="F52" i="12"/>
  <c r="F51" i="12"/>
  <c r="E48" i="12"/>
  <c r="D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E32" i="12"/>
  <c r="D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E16" i="12"/>
  <c r="F16" i="12" s="1"/>
  <c r="D16" i="12"/>
  <c r="F15" i="12"/>
  <c r="F14" i="12"/>
  <c r="F13" i="12"/>
  <c r="F12" i="12"/>
  <c r="F11" i="12"/>
  <c r="F10" i="12"/>
  <c r="F9" i="12"/>
  <c r="F8" i="12"/>
  <c r="E131" i="11"/>
  <c r="D131" i="11"/>
  <c r="C131" i="11"/>
  <c r="F122" i="11"/>
  <c r="E119" i="11"/>
  <c r="D119" i="11"/>
  <c r="F105" i="11"/>
  <c r="E102" i="11"/>
  <c r="D102" i="11"/>
  <c r="C102" i="11"/>
  <c r="F102" i="11" s="1"/>
  <c r="E90" i="11"/>
  <c r="D90" i="11"/>
  <c r="C90" i="11"/>
  <c r="F89" i="11"/>
  <c r="F88" i="11"/>
  <c r="F87" i="11"/>
  <c r="F86" i="11"/>
  <c r="F85" i="11"/>
  <c r="F84" i="11"/>
  <c r="F83" i="11"/>
  <c r="F82" i="11"/>
  <c r="F81" i="11"/>
  <c r="F80" i="11"/>
  <c r="E77" i="11"/>
  <c r="D77" i="11"/>
  <c r="C77" i="11"/>
  <c r="F76" i="11"/>
  <c r="F75" i="11"/>
  <c r="F74" i="11"/>
  <c r="F73" i="11"/>
  <c r="F72" i="11"/>
  <c r="F71" i="11"/>
  <c r="E68" i="11"/>
  <c r="D68" i="11"/>
  <c r="C68" i="11"/>
  <c r="F67" i="11"/>
  <c r="F66" i="11"/>
  <c r="F65" i="11"/>
  <c r="F64" i="11"/>
  <c r="F63" i="11"/>
  <c r="F62" i="11"/>
  <c r="F61" i="11"/>
  <c r="E58" i="11"/>
  <c r="D58" i="11"/>
  <c r="C58" i="11"/>
  <c r="F57" i="11"/>
  <c r="F56" i="11"/>
  <c r="F55" i="11"/>
  <c r="F54" i="11"/>
  <c r="F53" i="11"/>
  <c r="F52" i="11"/>
  <c r="F51" i="11"/>
  <c r="E48" i="11"/>
  <c r="D48" i="11"/>
  <c r="C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E32" i="11"/>
  <c r="D32" i="11"/>
  <c r="C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E16" i="11"/>
  <c r="D16" i="11"/>
  <c r="C16" i="11"/>
  <c r="F15" i="11"/>
  <c r="F14" i="11"/>
  <c r="F13" i="11"/>
  <c r="F12" i="11"/>
  <c r="F11" i="11"/>
  <c r="F10" i="11"/>
  <c r="F9" i="11"/>
  <c r="F8" i="11"/>
  <c r="E131" i="10"/>
  <c r="D131" i="10"/>
  <c r="C131" i="10"/>
  <c r="F122" i="10"/>
  <c r="E119" i="10"/>
  <c r="D119" i="10"/>
  <c r="C119" i="10"/>
  <c r="F105" i="10"/>
  <c r="E102" i="10"/>
  <c r="D102" i="10"/>
  <c r="C102" i="10"/>
  <c r="F102" i="10" s="1"/>
  <c r="F93" i="10"/>
  <c r="E90" i="10"/>
  <c r="D90" i="10"/>
  <c r="C90" i="10"/>
  <c r="F89" i="10"/>
  <c r="F88" i="10"/>
  <c r="F87" i="10"/>
  <c r="F86" i="10"/>
  <c r="F85" i="10"/>
  <c r="F84" i="10"/>
  <c r="F83" i="10"/>
  <c r="F82" i="10"/>
  <c r="F81" i="10"/>
  <c r="F80" i="10"/>
  <c r="E77" i="10"/>
  <c r="D77" i="10"/>
  <c r="C77" i="10"/>
  <c r="F76" i="10"/>
  <c r="F75" i="10"/>
  <c r="F74" i="10"/>
  <c r="F73" i="10"/>
  <c r="F72" i="10"/>
  <c r="F71" i="10"/>
  <c r="E68" i="10"/>
  <c r="D68" i="10"/>
  <c r="C68" i="10"/>
  <c r="F67" i="10"/>
  <c r="F66" i="10"/>
  <c r="F65" i="10"/>
  <c r="F64" i="10"/>
  <c r="F63" i="10"/>
  <c r="F62" i="10"/>
  <c r="F61" i="10"/>
  <c r="E58" i="10"/>
  <c r="D58" i="10"/>
  <c r="C58" i="10"/>
  <c r="F57" i="10"/>
  <c r="F56" i="10"/>
  <c r="F55" i="10"/>
  <c r="F54" i="10"/>
  <c r="F53" i="10"/>
  <c r="F52" i="10"/>
  <c r="F51" i="10"/>
  <c r="E48" i="10"/>
  <c r="D48" i="10"/>
  <c r="C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E32" i="10"/>
  <c r="D32" i="10"/>
  <c r="C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E16" i="10"/>
  <c r="D16" i="10"/>
  <c r="C16" i="10"/>
  <c r="F15" i="10"/>
  <c r="F14" i="10"/>
  <c r="F13" i="10"/>
  <c r="F12" i="10"/>
  <c r="F11" i="10"/>
  <c r="F10" i="10"/>
  <c r="F9" i="10"/>
  <c r="F8" i="10"/>
  <c r="E131" i="9"/>
  <c r="D131" i="9"/>
  <c r="C131" i="9"/>
  <c r="F122" i="9"/>
  <c r="E119" i="9"/>
  <c r="D119" i="9"/>
  <c r="C119" i="9"/>
  <c r="F105" i="9"/>
  <c r="E102" i="9"/>
  <c r="D102" i="9"/>
  <c r="C102" i="9"/>
  <c r="F93" i="9"/>
  <c r="E90" i="9"/>
  <c r="D90" i="9"/>
  <c r="C90" i="9"/>
  <c r="F89" i="9"/>
  <c r="F88" i="9"/>
  <c r="F87" i="9"/>
  <c r="F86" i="9"/>
  <c r="F85" i="9"/>
  <c r="F84" i="9"/>
  <c r="F83" i="9"/>
  <c r="F82" i="9"/>
  <c r="F81" i="9"/>
  <c r="F80" i="9"/>
  <c r="E77" i="9"/>
  <c r="D77" i="9"/>
  <c r="C77" i="9"/>
  <c r="F77" i="9" s="1"/>
  <c r="F76" i="9"/>
  <c r="F75" i="9"/>
  <c r="F74" i="9"/>
  <c r="F73" i="9"/>
  <c r="F72" i="9"/>
  <c r="F71" i="9"/>
  <c r="E68" i="9"/>
  <c r="D68" i="9"/>
  <c r="C68" i="9"/>
  <c r="F67" i="9"/>
  <c r="F66" i="9"/>
  <c r="F65" i="9"/>
  <c r="F64" i="9"/>
  <c r="F63" i="9"/>
  <c r="F62" i="9"/>
  <c r="F61" i="9"/>
  <c r="E58" i="9"/>
  <c r="D58" i="9"/>
  <c r="C58" i="9"/>
  <c r="F57" i="9"/>
  <c r="F56" i="9"/>
  <c r="F55" i="9"/>
  <c r="F54" i="9"/>
  <c r="F53" i="9"/>
  <c r="F52" i="9"/>
  <c r="F51" i="9"/>
  <c r="E48" i="9"/>
  <c r="D48" i="9"/>
  <c r="C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E32" i="9"/>
  <c r="D32" i="9"/>
  <c r="C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E16" i="9"/>
  <c r="D16" i="9"/>
  <c r="C16" i="9"/>
  <c r="F15" i="9"/>
  <c r="F14" i="9"/>
  <c r="F13" i="9"/>
  <c r="F12" i="9"/>
  <c r="F11" i="9"/>
  <c r="F10" i="9"/>
  <c r="F9" i="9"/>
  <c r="F8" i="9"/>
  <c r="E131" i="8"/>
  <c r="D131" i="8"/>
  <c r="C131" i="8"/>
  <c r="F122" i="8"/>
  <c r="E119" i="8"/>
  <c r="D119" i="8"/>
  <c r="C119" i="8"/>
  <c r="F105" i="8"/>
  <c r="E102" i="8"/>
  <c r="D102" i="8"/>
  <c r="C102" i="8"/>
  <c r="F93" i="8"/>
  <c r="E90" i="8"/>
  <c r="D90" i="8"/>
  <c r="C90" i="8"/>
  <c r="F89" i="8"/>
  <c r="F88" i="8"/>
  <c r="F87" i="8"/>
  <c r="F86" i="8"/>
  <c r="F85" i="8"/>
  <c r="F84" i="8"/>
  <c r="F83" i="8"/>
  <c r="F82" i="8"/>
  <c r="F81" i="8"/>
  <c r="F80" i="8"/>
  <c r="E77" i="8"/>
  <c r="D77" i="8"/>
  <c r="C77" i="8"/>
  <c r="F76" i="8"/>
  <c r="F75" i="8"/>
  <c r="F74" i="8"/>
  <c r="F73" i="8"/>
  <c r="F72" i="8"/>
  <c r="F71" i="8"/>
  <c r="E68" i="8"/>
  <c r="D68" i="8"/>
  <c r="C68" i="8"/>
  <c r="F67" i="8"/>
  <c r="F66" i="8"/>
  <c r="F65" i="8"/>
  <c r="F64" i="8"/>
  <c r="F63" i="8"/>
  <c r="F62" i="8"/>
  <c r="F61" i="8"/>
  <c r="E58" i="8"/>
  <c r="D58" i="8"/>
  <c r="C58" i="8"/>
  <c r="F57" i="8"/>
  <c r="F56" i="8"/>
  <c r="F55" i="8"/>
  <c r="F54" i="8"/>
  <c r="F53" i="8"/>
  <c r="F52" i="8"/>
  <c r="F51" i="8"/>
  <c r="E48" i="8"/>
  <c r="D48" i="8"/>
  <c r="C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E32" i="8"/>
  <c r="D32" i="8"/>
  <c r="C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E16" i="8"/>
  <c r="D16" i="8"/>
  <c r="C16" i="8"/>
  <c r="F15" i="8"/>
  <c r="F14" i="8"/>
  <c r="F13" i="8"/>
  <c r="F12" i="8"/>
  <c r="F11" i="8"/>
  <c r="F10" i="8"/>
  <c r="F9" i="8"/>
  <c r="F8" i="8"/>
  <c r="E131" i="7"/>
  <c r="D131" i="7"/>
  <c r="C131" i="7"/>
  <c r="B129" i="13" s="1"/>
  <c r="B131" i="13" s="1"/>
  <c r="F122" i="7"/>
  <c r="E119" i="7"/>
  <c r="D119" i="7"/>
  <c r="C119" i="7"/>
  <c r="F105" i="7"/>
  <c r="E102" i="7"/>
  <c r="D102" i="7"/>
  <c r="C102" i="7"/>
  <c r="F93" i="7"/>
  <c r="E90" i="7"/>
  <c r="D90" i="7"/>
  <c r="C90" i="7"/>
  <c r="F89" i="7"/>
  <c r="F88" i="7"/>
  <c r="F87" i="7"/>
  <c r="F86" i="7"/>
  <c r="F85" i="7"/>
  <c r="F84" i="7"/>
  <c r="F83" i="7"/>
  <c r="F82" i="7"/>
  <c r="F81" i="7"/>
  <c r="F80" i="7"/>
  <c r="E77" i="7"/>
  <c r="D77" i="7"/>
  <c r="C77" i="7"/>
  <c r="F76" i="7"/>
  <c r="F75" i="7"/>
  <c r="F74" i="7"/>
  <c r="F73" i="7"/>
  <c r="F72" i="7"/>
  <c r="F71" i="7"/>
  <c r="E68" i="7"/>
  <c r="D68" i="7"/>
  <c r="C68" i="7"/>
  <c r="F67" i="7"/>
  <c r="F66" i="7"/>
  <c r="F65" i="7"/>
  <c r="F64" i="7"/>
  <c r="F63" i="7"/>
  <c r="F62" i="7"/>
  <c r="F61" i="7"/>
  <c r="E58" i="7"/>
  <c r="D58" i="7"/>
  <c r="C58" i="7"/>
  <c r="F57" i="7"/>
  <c r="F56" i="7"/>
  <c r="F55" i="7"/>
  <c r="F54" i="7"/>
  <c r="F53" i="7"/>
  <c r="F52" i="7"/>
  <c r="F51" i="7"/>
  <c r="E48" i="7"/>
  <c r="D48" i="7"/>
  <c r="C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E32" i="7"/>
  <c r="D32" i="7"/>
  <c r="C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E16" i="7"/>
  <c r="D16" i="7"/>
  <c r="C16" i="7"/>
  <c r="F15" i="7"/>
  <c r="F14" i="7"/>
  <c r="F13" i="7"/>
  <c r="F12" i="7"/>
  <c r="F11" i="7"/>
  <c r="F10" i="7"/>
  <c r="F9" i="7"/>
  <c r="E132" i="6"/>
  <c r="D132" i="6"/>
  <c r="C132" i="6"/>
  <c r="F122" i="6"/>
  <c r="E119" i="6"/>
  <c r="D119" i="6"/>
  <c r="C119" i="6"/>
  <c r="F105" i="6"/>
  <c r="E102" i="6"/>
  <c r="D102" i="6"/>
  <c r="C102" i="6"/>
  <c r="F93" i="6"/>
  <c r="D90" i="6"/>
  <c r="C90" i="6"/>
  <c r="F89" i="6"/>
  <c r="F88" i="6"/>
  <c r="F87" i="6"/>
  <c r="F86" i="6"/>
  <c r="F85" i="6"/>
  <c r="F84" i="6"/>
  <c r="F83" i="6"/>
  <c r="F82" i="6"/>
  <c r="F81" i="6"/>
  <c r="F80" i="6"/>
  <c r="E77" i="6"/>
  <c r="D77" i="6"/>
  <c r="C77" i="6"/>
  <c r="F76" i="6"/>
  <c r="F75" i="6"/>
  <c r="F74" i="6"/>
  <c r="F73" i="6"/>
  <c r="F72" i="6"/>
  <c r="F71" i="6"/>
  <c r="E68" i="6"/>
  <c r="D68" i="6"/>
  <c r="C68" i="6"/>
  <c r="F67" i="6"/>
  <c r="F66" i="6"/>
  <c r="F65" i="6"/>
  <c r="F64" i="6"/>
  <c r="F63" i="6"/>
  <c r="F62" i="6"/>
  <c r="F61" i="6"/>
  <c r="E58" i="6"/>
  <c r="D58" i="6"/>
  <c r="C58" i="6"/>
  <c r="F57" i="6"/>
  <c r="F56" i="6"/>
  <c r="F55" i="6"/>
  <c r="F54" i="6"/>
  <c r="F53" i="6"/>
  <c r="F52" i="6"/>
  <c r="F51" i="6"/>
  <c r="E48" i="6"/>
  <c r="D48" i="6"/>
  <c r="C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E32" i="6"/>
  <c r="D32" i="6"/>
  <c r="C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E16" i="6"/>
  <c r="D16" i="6"/>
  <c r="C16" i="6"/>
  <c r="F15" i="6"/>
  <c r="F14" i="6"/>
  <c r="F13" i="6"/>
  <c r="F12" i="6"/>
  <c r="F11" i="6"/>
  <c r="F10" i="6"/>
  <c r="F9" i="6"/>
  <c r="F8" i="6"/>
  <c r="E132" i="5"/>
  <c r="D132" i="5"/>
  <c r="C132" i="5"/>
  <c r="F122" i="5"/>
  <c r="E119" i="5"/>
  <c r="D119" i="5"/>
  <c r="C119" i="5"/>
  <c r="F105" i="5"/>
  <c r="E102" i="5"/>
  <c r="D102" i="5"/>
  <c r="C102" i="5"/>
  <c r="F93" i="5"/>
  <c r="E90" i="5"/>
  <c r="D90" i="5"/>
  <c r="C90" i="5"/>
  <c r="F89" i="5"/>
  <c r="F88" i="5"/>
  <c r="F87" i="5"/>
  <c r="F86" i="5"/>
  <c r="F85" i="5"/>
  <c r="F84" i="5"/>
  <c r="F83" i="5"/>
  <c r="F82" i="5"/>
  <c r="F81" i="5"/>
  <c r="F80" i="5"/>
  <c r="E77" i="5"/>
  <c r="D77" i="5"/>
  <c r="C77" i="5"/>
  <c r="F76" i="5"/>
  <c r="F75" i="5"/>
  <c r="F74" i="5"/>
  <c r="F73" i="5"/>
  <c r="F72" i="5"/>
  <c r="F71" i="5"/>
  <c r="E68" i="5"/>
  <c r="D68" i="5"/>
  <c r="C68" i="5"/>
  <c r="F67" i="5"/>
  <c r="F66" i="5"/>
  <c r="F65" i="5"/>
  <c r="F64" i="5"/>
  <c r="F63" i="5"/>
  <c r="F62" i="5"/>
  <c r="F61" i="5"/>
  <c r="E58" i="5"/>
  <c r="D58" i="5"/>
  <c r="C58" i="5"/>
  <c r="F57" i="5"/>
  <c r="F56" i="5"/>
  <c r="F55" i="5"/>
  <c r="F54" i="5"/>
  <c r="F53" i="5"/>
  <c r="F52" i="5"/>
  <c r="F51" i="5"/>
  <c r="E48" i="5"/>
  <c r="D48" i="5"/>
  <c r="C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E32" i="5"/>
  <c r="D32" i="5"/>
  <c r="C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E16" i="5"/>
  <c r="D16" i="5"/>
  <c r="C16" i="5"/>
  <c r="F15" i="5"/>
  <c r="F14" i="5"/>
  <c r="F13" i="5"/>
  <c r="F12" i="5"/>
  <c r="F11" i="5"/>
  <c r="F10" i="5"/>
  <c r="F9" i="5"/>
  <c r="F8" i="5"/>
  <c r="F122" i="4"/>
  <c r="F119" i="4"/>
  <c r="F105" i="4"/>
  <c r="F93" i="4"/>
  <c r="F89" i="4"/>
  <c r="F88" i="4"/>
  <c r="F87" i="4"/>
  <c r="F86" i="4"/>
  <c r="F85" i="4"/>
  <c r="F84" i="4"/>
  <c r="F83" i="4"/>
  <c r="F82" i="4"/>
  <c r="F81" i="4"/>
  <c r="F80" i="4"/>
  <c r="F76" i="4"/>
  <c r="F75" i="4"/>
  <c r="F74" i="4"/>
  <c r="F73" i="4"/>
  <c r="F72" i="4"/>
  <c r="F71" i="4"/>
  <c r="F67" i="4"/>
  <c r="F66" i="4"/>
  <c r="F65" i="4"/>
  <c r="F64" i="4"/>
  <c r="F63" i="4"/>
  <c r="F62" i="4"/>
  <c r="F61" i="4"/>
  <c r="F57" i="4"/>
  <c r="F56" i="4"/>
  <c r="F55" i="4"/>
  <c r="F54" i="4"/>
  <c r="F53" i="4"/>
  <c r="F52" i="4"/>
  <c r="F51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5" i="4"/>
  <c r="F14" i="4"/>
  <c r="F13" i="4"/>
  <c r="F12" i="4"/>
  <c r="F11" i="4"/>
  <c r="F10" i="4"/>
  <c r="F9" i="4"/>
  <c r="F8" i="4"/>
  <c r="E132" i="3"/>
  <c r="F122" i="3"/>
  <c r="F105" i="3"/>
  <c r="E102" i="3"/>
  <c r="F93" i="3"/>
  <c r="E90" i="3"/>
  <c r="F89" i="3"/>
  <c r="F88" i="3"/>
  <c r="F87" i="3"/>
  <c r="F86" i="3"/>
  <c r="F85" i="3"/>
  <c r="F84" i="3"/>
  <c r="F83" i="3"/>
  <c r="F82" i="3"/>
  <c r="F81" i="3"/>
  <c r="F80" i="3"/>
  <c r="E77" i="3"/>
  <c r="F77" i="3"/>
  <c r="F76" i="3"/>
  <c r="F75" i="3"/>
  <c r="F74" i="3"/>
  <c r="F73" i="3"/>
  <c r="F72" i="3"/>
  <c r="F71" i="3"/>
  <c r="E68" i="3"/>
  <c r="F67" i="3"/>
  <c r="F66" i="3"/>
  <c r="F65" i="3"/>
  <c r="F64" i="3"/>
  <c r="F63" i="3"/>
  <c r="F62" i="3"/>
  <c r="F61" i="3"/>
  <c r="E58" i="3"/>
  <c r="F57" i="3"/>
  <c r="F56" i="3"/>
  <c r="F55" i="3"/>
  <c r="F54" i="3"/>
  <c r="F53" i="3"/>
  <c r="F52" i="3"/>
  <c r="F51" i="3"/>
  <c r="E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E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E16" i="3"/>
  <c r="F15" i="3"/>
  <c r="F14" i="3"/>
  <c r="F13" i="3"/>
  <c r="F12" i="3"/>
  <c r="F11" i="3"/>
  <c r="F10" i="3"/>
  <c r="F9" i="3"/>
  <c r="F8" i="3"/>
  <c r="E134" i="1"/>
  <c r="D134" i="1"/>
  <c r="C134" i="1"/>
  <c r="F124" i="1"/>
  <c r="E121" i="1"/>
  <c r="D121" i="1"/>
  <c r="C121" i="1"/>
  <c r="E104" i="1"/>
  <c r="D104" i="1"/>
  <c r="C104" i="1"/>
  <c r="F94" i="1"/>
  <c r="E91" i="1"/>
  <c r="D91" i="1"/>
  <c r="C91" i="1"/>
  <c r="F90" i="1"/>
  <c r="F89" i="1"/>
  <c r="F88" i="1"/>
  <c r="F87" i="1"/>
  <c r="F86" i="1"/>
  <c r="F85" i="1"/>
  <c r="F84" i="1"/>
  <c r="F83" i="1"/>
  <c r="F82" i="1"/>
  <c r="F81" i="1"/>
  <c r="E78" i="1"/>
  <c r="D78" i="1"/>
  <c r="C78" i="1"/>
  <c r="F77" i="1"/>
  <c r="F76" i="1"/>
  <c r="F75" i="1"/>
  <c r="F74" i="1"/>
  <c r="F73" i="1"/>
  <c r="F72" i="1"/>
  <c r="E69" i="1"/>
  <c r="D69" i="1"/>
  <c r="C69" i="1"/>
  <c r="F68" i="1"/>
  <c r="F67" i="1"/>
  <c r="F66" i="1"/>
  <c r="F65" i="1"/>
  <c r="F64" i="1"/>
  <c r="F63" i="1"/>
  <c r="F62" i="1"/>
  <c r="F61" i="1"/>
  <c r="E58" i="1"/>
  <c r="D58" i="1"/>
  <c r="C58" i="1"/>
  <c r="F57" i="1"/>
  <c r="F56" i="1"/>
  <c r="F55" i="1"/>
  <c r="F54" i="1"/>
  <c r="F53" i="1"/>
  <c r="F52" i="1"/>
  <c r="F51" i="1"/>
  <c r="E48" i="1"/>
  <c r="D48" i="1"/>
  <c r="C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E32" i="1"/>
  <c r="D32" i="1"/>
  <c r="C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E16" i="1"/>
  <c r="D16" i="1"/>
  <c r="C16" i="1"/>
  <c r="F15" i="1"/>
  <c r="F14" i="1"/>
  <c r="F13" i="1"/>
  <c r="F12" i="1"/>
  <c r="F11" i="1"/>
  <c r="F10" i="1"/>
  <c r="F9" i="1"/>
  <c r="F8" i="1"/>
  <c r="D133" i="2"/>
  <c r="E133" i="2"/>
  <c r="C133" i="2"/>
  <c r="D120" i="2"/>
  <c r="E120" i="2"/>
  <c r="C120" i="2"/>
  <c r="D103" i="2"/>
  <c r="E103" i="2"/>
  <c r="C103" i="2"/>
  <c r="F123" i="2"/>
  <c r="F106" i="2"/>
  <c r="F94" i="2"/>
  <c r="D91" i="2"/>
  <c r="E91" i="2"/>
  <c r="C91" i="2"/>
  <c r="F82" i="2"/>
  <c r="F83" i="2"/>
  <c r="F84" i="2"/>
  <c r="F85" i="2"/>
  <c r="F86" i="2"/>
  <c r="F87" i="2"/>
  <c r="F88" i="2"/>
  <c r="F89" i="2"/>
  <c r="F90" i="2"/>
  <c r="D78" i="2"/>
  <c r="E78" i="2"/>
  <c r="C78" i="2"/>
  <c r="F73" i="2"/>
  <c r="F74" i="2"/>
  <c r="F75" i="2"/>
  <c r="F76" i="2"/>
  <c r="F77" i="2"/>
  <c r="D69" i="2"/>
  <c r="E69" i="2"/>
  <c r="C69" i="2"/>
  <c r="F62" i="2"/>
  <c r="F63" i="2"/>
  <c r="F64" i="2"/>
  <c r="F65" i="2"/>
  <c r="F66" i="2"/>
  <c r="F67" i="2"/>
  <c r="F68" i="2"/>
  <c r="D58" i="2"/>
  <c r="E58" i="2"/>
  <c r="C58" i="2"/>
  <c r="F52" i="2"/>
  <c r="F53" i="2"/>
  <c r="F54" i="2"/>
  <c r="F55" i="2"/>
  <c r="F56" i="2"/>
  <c r="F57" i="2"/>
  <c r="D48" i="2"/>
  <c r="E48" i="2"/>
  <c r="C48" i="2"/>
  <c r="F36" i="2"/>
  <c r="F37" i="2"/>
  <c r="F38" i="2"/>
  <c r="F39" i="2"/>
  <c r="F40" i="2"/>
  <c r="F41" i="2"/>
  <c r="F42" i="2"/>
  <c r="F43" i="2"/>
  <c r="F44" i="2"/>
  <c r="F45" i="2"/>
  <c r="F46" i="2"/>
  <c r="F47" i="2"/>
  <c r="F81" i="2"/>
  <c r="F72" i="2"/>
  <c r="F61" i="2"/>
  <c r="F20" i="2"/>
  <c r="F21" i="2"/>
  <c r="F22" i="2"/>
  <c r="F23" i="2"/>
  <c r="F24" i="2"/>
  <c r="F25" i="2"/>
  <c r="F26" i="2"/>
  <c r="F27" i="2"/>
  <c r="F28" i="2"/>
  <c r="F29" i="2"/>
  <c r="F30" i="2"/>
  <c r="F31" i="2"/>
  <c r="F51" i="2"/>
  <c r="F35" i="2"/>
  <c r="F19" i="2"/>
  <c r="D32" i="2"/>
  <c r="E32" i="2"/>
  <c r="C32" i="2"/>
  <c r="F9" i="2"/>
  <c r="F10" i="2"/>
  <c r="F11" i="2"/>
  <c r="F12" i="2"/>
  <c r="F13" i="2"/>
  <c r="F14" i="2"/>
  <c r="F15" i="2"/>
  <c r="F8" i="2"/>
  <c r="D16" i="2"/>
  <c r="E16" i="2"/>
  <c r="C16" i="2"/>
  <c r="F122" i="13" l="1"/>
  <c r="F119" i="9"/>
  <c r="F32" i="11"/>
  <c r="F68" i="12"/>
  <c r="F58" i="10"/>
  <c r="C68" i="13"/>
  <c r="F68" i="13" s="1"/>
  <c r="C58" i="13"/>
  <c r="F58" i="13" s="1"/>
  <c r="F51" i="13"/>
  <c r="C129" i="13"/>
  <c r="F129" i="13" s="1"/>
  <c r="F102" i="5"/>
  <c r="F68" i="9"/>
  <c r="E68" i="13"/>
  <c r="C102" i="13"/>
  <c r="F102" i="13" s="1"/>
  <c r="E102" i="13"/>
  <c r="D77" i="3"/>
  <c r="F48" i="9"/>
  <c r="E129" i="13"/>
  <c r="F35" i="13"/>
  <c r="C48" i="13"/>
  <c r="F48" i="13" s="1"/>
  <c r="F58" i="6"/>
  <c r="F16" i="10"/>
  <c r="F32" i="10"/>
  <c r="C16" i="13"/>
  <c r="F16" i="13" s="1"/>
  <c r="F8" i="13"/>
  <c r="F19" i="13"/>
  <c r="C32" i="13"/>
  <c r="F32" i="13" s="1"/>
  <c r="F105" i="13"/>
  <c r="C119" i="13"/>
  <c r="F119" i="13" s="1"/>
  <c r="D77" i="13"/>
  <c r="C77" i="13"/>
  <c r="C90" i="13"/>
  <c r="D90" i="13"/>
  <c r="F131" i="11"/>
  <c r="F16" i="9"/>
  <c r="F132" i="5"/>
  <c r="F58" i="5"/>
  <c r="F119" i="3"/>
  <c r="D119" i="3"/>
  <c r="D90" i="3"/>
  <c r="D102" i="3"/>
  <c r="D68" i="3"/>
  <c r="D58" i="3"/>
  <c r="D48" i="3"/>
  <c r="D32" i="3"/>
  <c r="D16" i="3"/>
  <c r="D132" i="3"/>
  <c r="F68" i="4"/>
  <c r="F48" i="4"/>
  <c r="F16" i="4"/>
  <c r="F121" i="1"/>
  <c r="F69" i="1"/>
  <c r="F16" i="1"/>
  <c r="F90" i="12"/>
  <c r="F77" i="12"/>
  <c r="F131" i="12"/>
  <c r="F102" i="12"/>
  <c r="F58" i="12"/>
  <c r="F48" i="12"/>
  <c r="F32" i="12"/>
  <c r="D133" i="12"/>
  <c r="C133" i="12"/>
  <c r="F119" i="11"/>
  <c r="F90" i="11"/>
  <c r="F77" i="11"/>
  <c r="F68" i="11"/>
  <c r="F58" i="11"/>
  <c r="F48" i="11"/>
  <c r="E133" i="11"/>
  <c r="D133" i="11"/>
  <c r="F16" i="11"/>
  <c r="C133" i="11"/>
  <c r="F119" i="8"/>
  <c r="F102" i="8"/>
  <c r="F90" i="8"/>
  <c r="F77" i="8"/>
  <c r="F68" i="8"/>
  <c r="F58" i="8"/>
  <c r="F48" i="8"/>
  <c r="F32" i="8"/>
  <c r="E133" i="8"/>
  <c r="D133" i="8"/>
  <c r="F16" i="8"/>
  <c r="C133" i="8"/>
  <c r="F119" i="10"/>
  <c r="F90" i="10"/>
  <c r="F77" i="10"/>
  <c r="F68" i="10"/>
  <c r="F48" i="10"/>
  <c r="E133" i="10"/>
  <c r="D133" i="10"/>
  <c r="C133" i="10"/>
  <c r="F131" i="9"/>
  <c r="F102" i="9"/>
  <c r="F90" i="9"/>
  <c r="F58" i="9"/>
  <c r="F32" i="9"/>
  <c r="D133" i="9"/>
  <c r="C133" i="9"/>
  <c r="F119" i="7"/>
  <c r="F102" i="7"/>
  <c r="F90" i="7"/>
  <c r="F77" i="7"/>
  <c r="F68" i="7"/>
  <c r="F58" i="7"/>
  <c r="F48" i="7"/>
  <c r="F32" i="7"/>
  <c r="E133" i="7"/>
  <c r="D133" i="7"/>
  <c r="F16" i="7"/>
  <c r="C133" i="7"/>
  <c r="B133" i="13" s="1"/>
  <c r="F132" i="6"/>
  <c r="F119" i="6"/>
  <c r="F102" i="6"/>
  <c r="F90" i="6"/>
  <c r="F77" i="6"/>
  <c r="F68" i="6"/>
  <c r="F48" i="6"/>
  <c r="F32" i="6"/>
  <c r="E134" i="6"/>
  <c r="D134" i="6"/>
  <c r="E139" i="6" s="1"/>
  <c r="F16" i="6"/>
  <c r="C134" i="6"/>
  <c r="F119" i="5"/>
  <c r="F90" i="5"/>
  <c r="F77" i="5"/>
  <c r="F68" i="5"/>
  <c r="F48" i="5"/>
  <c r="F32" i="5"/>
  <c r="E134" i="5"/>
  <c r="D134" i="5"/>
  <c r="C134" i="5"/>
  <c r="F16" i="5"/>
  <c r="F132" i="4"/>
  <c r="F102" i="4"/>
  <c r="F90" i="4"/>
  <c r="F77" i="4"/>
  <c r="F58" i="4"/>
  <c r="F32" i="4"/>
  <c r="D134" i="4"/>
  <c r="F134" i="1"/>
  <c r="F104" i="1"/>
  <c r="F91" i="1"/>
  <c r="F78" i="1"/>
  <c r="F58" i="1"/>
  <c r="F48" i="1"/>
  <c r="F32" i="1"/>
  <c r="D136" i="1"/>
  <c r="C136" i="1"/>
  <c r="F132" i="3"/>
  <c r="F102" i="3"/>
  <c r="F90" i="3"/>
  <c r="F68" i="3"/>
  <c r="F58" i="3"/>
  <c r="F48" i="3"/>
  <c r="F32" i="3"/>
  <c r="F16" i="3"/>
  <c r="C134" i="3"/>
  <c r="F133" i="2"/>
  <c r="F120" i="2"/>
  <c r="F103" i="2"/>
  <c r="F91" i="2"/>
  <c r="F78" i="2"/>
  <c r="F69" i="2"/>
  <c r="F58" i="2"/>
  <c r="F48" i="2"/>
  <c r="E135" i="2"/>
  <c r="F32" i="2"/>
  <c r="D135" i="2"/>
  <c r="F16" i="2"/>
  <c r="C135" i="2"/>
  <c r="E133" i="12"/>
  <c r="F131" i="10"/>
  <c r="E133" i="9"/>
  <c r="F131" i="8"/>
  <c r="F131" i="7"/>
  <c r="E134" i="4"/>
  <c r="E134" i="3"/>
  <c r="E136" i="1"/>
  <c r="C131" i="13" l="1"/>
  <c r="F131" i="13" s="1"/>
  <c r="D133" i="13"/>
  <c r="E131" i="13"/>
  <c r="F77" i="13"/>
  <c r="E77" i="13"/>
  <c r="B138" i="13"/>
  <c r="C136" i="13"/>
  <c r="E90" i="13"/>
  <c r="F90" i="13"/>
  <c r="D136" i="13"/>
  <c r="D138" i="13"/>
  <c r="B136" i="13"/>
  <c r="D134" i="3"/>
  <c r="C138" i="13" s="1"/>
  <c r="F133" i="12"/>
  <c r="F133" i="11"/>
  <c r="F133" i="8"/>
  <c r="F133" i="10"/>
  <c r="F133" i="9"/>
  <c r="F133" i="7"/>
  <c r="F134" i="6"/>
  <c r="F134" i="5"/>
  <c r="F134" i="4"/>
  <c r="F136" i="1"/>
  <c r="F134" i="3"/>
  <c r="F135" i="2"/>
  <c r="C133" i="13" l="1"/>
  <c r="F133" i="13" s="1"/>
  <c r="E133" i="13"/>
</calcChain>
</file>

<file path=xl/sharedStrings.xml><?xml version="1.0" encoding="utf-8"?>
<sst xmlns="http://schemas.openxmlformats.org/spreadsheetml/2006/main" count="1693" uniqueCount="146">
  <si>
    <t>Departamento de la Familia</t>
  </si>
  <si>
    <t>Administración de Desarrollo Socioeconomico</t>
  </si>
  <si>
    <t>Informe Mensual de Beneficios del Programa Asistencia Nutricional</t>
  </si>
  <si>
    <t>Familias</t>
  </si>
  <si>
    <t>Personas</t>
  </si>
  <si>
    <t>Beneficios Pagados</t>
  </si>
  <si>
    <t>Beneficio Promedio por Familia</t>
  </si>
  <si>
    <t>Participantes</t>
  </si>
  <si>
    <t>Aguadilla</t>
  </si>
  <si>
    <t>Masculino</t>
  </si>
  <si>
    <t>Femenino</t>
  </si>
  <si>
    <t>Aguada</t>
  </si>
  <si>
    <t xml:space="preserve">Aguadilla I </t>
  </si>
  <si>
    <t>Aguadilla III</t>
  </si>
  <si>
    <t>Isabela</t>
  </si>
  <si>
    <t>Las Marías</t>
  </si>
  <si>
    <t>Moca</t>
  </si>
  <si>
    <t>Rincón</t>
  </si>
  <si>
    <t>San Sebastian I</t>
  </si>
  <si>
    <t>Total</t>
  </si>
  <si>
    <t>Arecibo</t>
  </si>
  <si>
    <t>Arecibo I</t>
  </si>
  <si>
    <t>Arecibo III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</si>
  <si>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</si>
  <si>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</si>
  <si>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</si>
  <si>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</si>
  <si>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</si>
  <si>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</si>
  <si>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</si>
  <si>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</si>
  <si>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</si>
  <si>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 I</t>
  </si>
  <si>
    <t>Utuado II</t>
  </si>
  <si>
    <t xml:space="preserve">Total  </t>
  </si>
  <si>
    <t>Bayamón</t>
  </si>
  <si>
    <t>Bayamón I</t>
  </si>
  <si>
    <t>Bayamón II</t>
  </si>
  <si>
    <t>Bayamón III</t>
  </si>
  <si>
    <t>Cataño</t>
  </si>
  <si>
    <t>Corozal</t>
  </si>
  <si>
    <t>Dorado</t>
  </si>
  <si>
    <t>Naranjito</t>
  </si>
  <si>
    <t>Toa Alta</t>
  </si>
  <si>
    <t>Toa Baja I</t>
  </si>
  <si>
    <t>Toa Baja II</t>
  </si>
  <si>
    <t>Vega Alta</t>
  </si>
  <si>
    <t>Vega Baja I</t>
  </si>
  <si>
    <t>Vega Baja II</t>
  </si>
  <si>
    <t xml:space="preserve">Total </t>
  </si>
  <si>
    <t>Caguas</t>
  </si>
  <si>
    <t>Aguas Buenas</t>
  </si>
  <si>
    <t>Barranquitas</t>
  </si>
  <si>
    <t>Caguas I, II, III</t>
  </si>
  <si>
    <t>Cidra</t>
  </si>
  <si>
    <t>Comerío</t>
  </si>
  <si>
    <t>Gurabo</t>
  </si>
  <si>
    <t>San Lorenzo</t>
  </si>
  <si>
    <t>Carolina</t>
  </si>
  <si>
    <t>Canóvanas</t>
  </si>
  <si>
    <t>Carolina I</t>
  </si>
  <si>
    <t>Carolina II</t>
  </si>
  <si>
    <t>Loíza I, II</t>
  </si>
  <si>
    <t>Luquillo</t>
  </si>
  <si>
    <t>Río Grande I</t>
  </si>
  <si>
    <t>Río Grande II</t>
  </si>
  <si>
    <t>Trujillo Alto I</t>
  </si>
  <si>
    <t>Guayama</t>
  </si>
  <si>
    <t>Arroyo</t>
  </si>
  <si>
    <t>Cayey</t>
  </si>
  <si>
    <t>Patillas</t>
  </si>
  <si>
    <t>Salinas</t>
  </si>
  <si>
    <t>Santa Isabel</t>
  </si>
  <si>
    <t>Humacao</t>
  </si>
  <si>
    <t>Ceiba</t>
  </si>
  <si>
    <t>Culebras</t>
  </si>
  <si>
    <t>Fajardo</t>
  </si>
  <si>
    <t>Juncos I</t>
  </si>
  <si>
    <t>Las Piedras</t>
  </si>
  <si>
    <t>Maunabo</t>
  </si>
  <si>
    <t>Naguabo</t>
  </si>
  <si>
    <t>Vieques</t>
  </si>
  <si>
    <t>Yabucoa</t>
  </si>
  <si>
    <t>Mayagüez</t>
  </si>
  <si>
    <t>Añasco</t>
  </si>
  <si>
    <t>Cabo Rojo</t>
  </si>
  <si>
    <t>Guánica</t>
  </si>
  <si>
    <t>Hormigueros</t>
  </si>
  <si>
    <t>Lajas</t>
  </si>
  <si>
    <t>Maricao</t>
  </si>
  <si>
    <t>Mayagüez I</t>
  </si>
  <si>
    <t>Mayagüez II</t>
  </si>
  <si>
    <t>Sabana Grande</t>
  </si>
  <si>
    <t>San Germán</t>
  </si>
  <si>
    <t>Ponce</t>
  </si>
  <si>
    <t xml:space="preserve">Adjuntas </t>
  </si>
  <si>
    <t>Aibonito</t>
  </si>
  <si>
    <t>Castañer</t>
  </si>
  <si>
    <t>Coamo</t>
  </si>
  <si>
    <t>Guayanilla</t>
  </si>
  <si>
    <t>Jayuya</t>
  </si>
  <si>
    <t>Juana Díaz</t>
  </si>
  <si>
    <t>Orocovis</t>
  </si>
  <si>
    <t>Peñuelas</t>
  </si>
  <si>
    <t>Ponce I</t>
  </si>
  <si>
    <t>Ponce II</t>
  </si>
  <si>
    <t>Ponce III</t>
  </si>
  <si>
    <t>Villalba</t>
  </si>
  <si>
    <t>Yauco</t>
  </si>
  <si>
    <t>San Juan</t>
  </si>
  <si>
    <t>Cupey</t>
  </si>
  <si>
    <t>Guaynabo I</t>
  </si>
  <si>
    <t>Guaynabo II</t>
  </si>
  <si>
    <t>Guaynabo III</t>
  </si>
  <si>
    <t>Río Piedras I</t>
  </si>
  <si>
    <t>Río Piedras II</t>
  </si>
  <si>
    <t>Río Piedras III</t>
  </si>
  <si>
    <t>Río Piedras IV</t>
  </si>
  <si>
    <t>San Juan I</t>
  </si>
  <si>
    <t>San Juan II</t>
  </si>
  <si>
    <t>Total PR</t>
  </si>
  <si>
    <t>Octubre 10</t>
  </si>
  <si>
    <t>Noviembre 10</t>
  </si>
  <si>
    <t>Diciembre 10</t>
  </si>
  <si>
    <t>Enero 11</t>
  </si>
  <si>
    <t>Febrero 2011</t>
  </si>
  <si>
    <t>Enero 2011</t>
  </si>
  <si>
    <t>Diciembre 2010</t>
  </si>
  <si>
    <t>Noviembre 2010</t>
  </si>
  <si>
    <t>Octubre 2010</t>
  </si>
  <si>
    <t>Marzo 2011</t>
  </si>
  <si>
    <t>Abril 2011</t>
  </si>
  <si>
    <t>Mayo 2011</t>
  </si>
  <si>
    <t>Junio 2011</t>
  </si>
  <si>
    <t>Julio 2011</t>
  </si>
  <si>
    <t>Agosto 2011</t>
  </si>
  <si>
    <t>Septiembre 2011</t>
  </si>
  <si>
    <t>Febrero 11</t>
  </si>
  <si>
    <t>Marzo 11</t>
  </si>
  <si>
    <t>Mes</t>
  </si>
  <si>
    <t>Oficina de Planes y Programas</t>
  </si>
  <si>
    <t>Informe Anual de Beneficios del Programa Asistencia Nutricional</t>
  </si>
  <si>
    <t>Culebra</t>
  </si>
  <si>
    <t>2009-2010</t>
  </si>
  <si>
    <t>2010-2011</t>
  </si>
  <si>
    <t>Año Fiscal Federal 2010-2011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</si>
</sst>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2"/>
      <name val="Californian FB"/>
      <family val="1"/>
    </font>
    <font>
      <sz val="11"/>
      <color theme="1"/>
      <name val="Californian FB"/>
      <family val="1"/>
    </font>
    <font>
      <b/>
      <sz val="14"/>
      <name val="Californian FB"/>
      <family val="1"/>
    </font>
    <font>
      <b/>
      <sz val="11"/>
      <color theme="1"/>
      <name val="Californian FB"/>
      <family val="1"/>
    </font>
    <font>
      <b/>
      <sz val="12"/>
      <color indexed="40"/>
      <name val="Californian FB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/>
    <xf numFmtId="0" fontId="1" fillId="0" borderId="0" xfId="1"/>
    <xf numFmtId="3" fontId="3" fillId="0" borderId="2" xfId="2" applyNumberFormat="1" applyFont="1" applyFill="1" applyBorder="1" applyProtection="1">
      <protection locked="0"/>
    </xf>
    <xf numFmtId="3" fontId="3" fillId="0" borderId="3" xfId="2" applyNumberFormat="1" applyFont="1" applyFill="1" applyBorder="1" applyProtection="1">
      <protection locked="0"/>
    </xf>
    <xf numFmtId="3" fontId="3" fillId="0" borderId="4" xfId="2" applyNumberFormat="1" applyFont="1" applyFill="1" applyBorder="1" applyProtection="1">
      <protection locked="0"/>
    </xf>
    <xf numFmtId="3" fontId="3" fillId="0" borderId="5" xfId="2" applyNumberFormat="1" applyFont="1" applyFill="1" applyBorder="1" applyProtection="1">
      <protection locked="0"/>
    </xf>
    <xf numFmtId="3" fontId="3" fillId="0" borderId="6" xfId="1" applyNumberFormat="1" applyFont="1" applyFill="1" applyBorder="1" applyProtection="1">
      <protection locked="0"/>
    </xf>
    <xf numFmtId="3" fontId="3" fillId="0" borderId="7" xfId="1" applyNumberFormat="1" applyFont="1" applyFill="1" applyBorder="1" applyProtection="1">
      <protection locked="0"/>
    </xf>
    <xf numFmtId="3" fontId="3" fillId="0" borderId="2" xfId="1" applyNumberFormat="1" applyFont="1" applyFill="1" applyBorder="1" applyProtection="1">
      <protection locked="0"/>
    </xf>
    <xf numFmtId="3" fontId="3" fillId="0" borderId="3" xfId="1" applyNumberFormat="1" applyFont="1" applyFill="1" applyBorder="1" applyProtection="1">
      <protection locked="0"/>
    </xf>
    <xf numFmtId="3" fontId="3" fillId="0" borderId="8" xfId="2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3" fillId="0" borderId="6" xfId="2" applyNumberFormat="1" applyFont="1" applyFill="1" applyBorder="1" applyProtection="1">
      <protection locked="0"/>
    </xf>
    <xf numFmtId="3" fontId="3" fillId="0" borderId="7" xfId="2" applyNumberFormat="1" applyFont="1" applyFill="1" applyBorder="1" applyProtection="1">
      <protection locked="0"/>
    </xf>
    <xf numFmtId="3" fontId="3" fillId="0" borderId="9" xfId="2" applyNumberFormat="1" applyFont="1" applyFill="1" applyBorder="1" applyProtection="1">
      <protection locked="0"/>
    </xf>
    <xf numFmtId="3" fontId="3" fillId="0" borderId="9" xfId="1" applyNumberFormat="1" applyFont="1" applyFill="1" applyBorder="1" applyProtection="1">
      <protection locked="0"/>
    </xf>
    <xf numFmtId="0" fontId="3" fillId="0" borderId="0" xfId="1" applyFont="1" applyProtection="1"/>
    <xf numFmtId="0" fontId="4" fillId="2" borderId="11" xfId="1" applyFont="1" applyFill="1" applyBorder="1" applyAlignment="1" applyProtection="1">
      <alignment vertical="center"/>
    </xf>
    <xf numFmtId="164" fontId="3" fillId="2" borderId="12" xfId="2" applyNumberFormat="1" applyFont="1" applyFill="1" applyBorder="1" applyAlignment="1" applyProtection="1">
      <alignment horizontal="center" wrapText="1"/>
    </xf>
    <xf numFmtId="164" fontId="3" fillId="2" borderId="10" xfId="2" applyNumberFormat="1" applyFont="1" applyFill="1" applyBorder="1" applyAlignment="1" applyProtection="1">
      <alignment horizontal="center" wrapText="1"/>
    </xf>
    <xf numFmtId="164" fontId="4" fillId="2" borderId="13" xfId="2" applyNumberFormat="1" applyFont="1" applyFill="1" applyBorder="1" applyAlignment="1" applyProtection="1">
      <alignment vertical="center"/>
    </xf>
    <xf numFmtId="0" fontId="3" fillId="2" borderId="14" xfId="1" applyFont="1" applyFill="1" applyBorder="1" applyProtection="1"/>
    <xf numFmtId="0" fontId="3" fillId="2" borderId="15" xfId="1" applyFont="1" applyFill="1" applyBorder="1" applyProtection="1"/>
    <xf numFmtId="164" fontId="5" fillId="0" borderId="16" xfId="2" applyNumberFormat="1" applyFont="1" applyFill="1" applyBorder="1" applyAlignment="1" applyProtection="1">
      <alignment vertical="center"/>
    </xf>
    <xf numFmtId="3" fontId="3" fillId="0" borderId="7" xfId="2" applyNumberFormat="1" applyFont="1" applyFill="1" applyBorder="1" applyProtection="1"/>
    <xf numFmtId="164" fontId="5" fillId="0" borderId="17" xfId="2" applyNumberFormat="1" applyFont="1" applyFill="1" applyBorder="1" applyAlignment="1" applyProtection="1">
      <alignment vertical="center"/>
    </xf>
    <xf numFmtId="3" fontId="3" fillId="0" borderId="2" xfId="2" applyNumberFormat="1" applyFont="1" applyFill="1" applyBorder="1" applyProtection="1"/>
    <xf numFmtId="164" fontId="5" fillId="0" borderId="18" xfId="2" applyNumberFormat="1" applyFont="1" applyFill="1" applyBorder="1" applyAlignment="1" applyProtection="1">
      <alignment vertical="center"/>
    </xf>
    <xf numFmtId="164" fontId="4" fillId="2" borderId="19" xfId="2" applyNumberFormat="1" applyFont="1" applyFill="1" applyBorder="1" applyAlignment="1" applyProtection="1">
      <alignment vertical="center"/>
    </xf>
    <xf numFmtId="3" fontId="2" fillId="2" borderId="20" xfId="2" applyNumberFormat="1" applyFont="1" applyFill="1" applyBorder="1" applyProtection="1"/>
    <xf numFmtId="3" fontId="3" fillId="2" borderId="21" xfId="2" applyNumberFormat="1" applyFont="1" applyFill="1" applyBorder="1" applyProtection="1"/>
    <xf numFmtId="164" fontId="5" fillId="0" borderId="0" xfId="2" applyNumberFormat="1" applyFont="1" applyFill="1" applyBorder="1" applyAlignment="1" applyProtection="1">
      <alignment vertical="center"/>
    </xf>
    <xf numFmtId="3" fontId="3" fillId="0" borderId="0" xfId="2" applyNumberFormat="1" applyFont="1" applyFill="1" applyBorder="1" applyProtection="1"/>
    <xf numFmtId="0" fontId="4" fillId="2" borderId="13" xfId="1" applyFont="1" applyFill="1" applyBorder="1" applyAlignment="1" applyProtection="1">
      <alignment vertical="center"/>
    </xf>
    <xf numFmtId="3" fontId="3" fillId="2" borderId="14" xfId="2" applyNumberFormat="1" applyFont="1" applyFill="1" applyBorder="1" applyProtection="1"/>
    <xf numFmtId="3" fontId="3" fillId="2" borderId="15" xfId="2" applyNumberFormat="1" applyFont="1" applyFill="1" applyBorder="1" applyProtection="1"/>
    <xf numFmtId="0" fontId="5" fillId="0" borderId="22" xfId="1" applyFont="1" applyFill="1" applyBorder="1" applyAlignment="1" applyProtection="1">
      <alignment vertical="center"/>
    </xf>
    <xf numFmtId="0" fontId="3" fillId="0" borderId="0" xfId="1" applyFont="1" applyFill="1" applyProtection="1"/>
    <xf numFmtId="164" fontId="5" fillId="0" borderId="23" xfId="2" applyNumberFormat="1" applyFont="1" applyFill="1" applyBorder="1" applyAlignment="1" applyProtection="1">
      <alignment vertical="center"/>
    </xf>
    <xf numFmtId="3" fontId="2" fillId="2" borderId="20" xfId="1" applyNumberFormat="1" applyFont="1" applyFill="1" applyBorder="1" applyProtection="1"/>
    <xf numFmtId="3" fontId="3" fillId="0" borderId="0" xfId="1" applyNumberFormat="1" applyFont="1" applyFill="1" applyBorder="1" applyProtection="1"/>
    <xf numFmtId="3" fontId="3" fillId="2" borderId="14" xfId="1" applyNumberFormat="1" applyFont="1" applyFill="1" applyBorder="1" applyProtection="1"/>
    <xf numFmtId="3" fontId="3" fillId="2" borderId="15" xfId="1" applyNumberFormat="1" applyFont="1" applyFill="1" applyBorder="1" applyProtection="1"/>
    <xf numFmtId="0" fontId="5" fillId="0" borderId="24" xfId="1" applyFont="1" applyFill="1" applyBorder="1" applyAlignment="1" applyProtection="1">
      <alignment vertical="center" wrapText="1"/>
    </xf>
    <xf numFmtId="3" fontId="3" fillId="0" borderId="24" xfId="1" applyNumberFormat="1" applyFont="1" applyFill="1" applyBorder="1" applyProtection="1"/>
    <xf numFmtId="3" fontId="3" fillId="0" borderId="24" xfId="2" applyNumberFormat="1" applyFont="1" applyFill="1" applyBorder="1" applyProtection="1"/>
    <xf numFmtId="164" fontId="5" fillId="0" borderId="17" xfId="2" applyNumberFormat="1" applyFont="1" applyFill="1" applyBorder="1" applyAlignment="1" applyProtection="1">
      <alignment vertical="center" wrapText="1"/>
    </xf>
    <xf numFmtId="164" fontId="6" fillId="0" borderId="16" xfId="2" applyNumberFormat="1" applyFont="1" applyFill="1" applyBorder="1" applyAlignment="1" applyProtection="1">
      <alignment vertical="center"/>
    </xf>
    <xf numFmtId="164" fontId="6" fillId="0" borderId="17" xfId="2" applyNumberFormat="1" applyFont="1" applyFill="1" applyBorder="1" applyAlignment="1" applyProtection="1">
      <alignment vertical="center"/>
    </xf>
    <xf numFmtId="3" fontId="2" fillId="2" borderId="19" xfId="1" applyNumberFormat="1" applyFont="1" applyFill="1" applyBorder="1" applyProtection="1"/>
    <xf numFmtId="0" fontId="5" fillId="0" borderId="0" xfId="1" applyFont="1" applyAlignment="1" applyProtection="1">
      <alignment vertical="center"/>
    </xf>
    <xf numFmtId="0" fontId="4" fillId="2" borderId="19" xfId="1" applyFont="1" applyFill="1" applyBorder="1" applyAlignment="1" applyProtection="1">
      <alignment vertical="center"/>
    </xf>
    <xf numFmtId="0" fontId="3" fillId="3" borderId="0" xfId="1" applyFont="1" applyFill="1" applyProtection="1"/>
    <xf numFmtId="0" fontId="2" fillId="3" borderId="2" xfId="1" applyFont="1" applyFill="1" applyBorder="1" applyProtection="1"/>
    <xf numFmtId="0" fontId="3" fillId="3" borderId="2" xfId="1" applyFont="1" applyFill="1" applyBorder="1" applyProtection="1"/>
    <xf numFmtId="3" fontId="3" fillId="0" borderId="27" xfId="1" applyNumberFormat="1" applyFont="1" applyFill="1" applyBorder="1" applyProtection="1">
      <protection locked="0"/>
    </xf>
    <xf numFmtId="3" fontId="3" fillId="0" borderId="5" xfId="1" applyNumberFormat="1" applyFont="1" applyFill="1" applyBorder="1" applyProtection="1">
      <protection locked="0"/>
    </xf>
    <xf numFmtId="164" fontId="5" fillId="0" borderId="2" xfId="2" applyNumberFormat="1" applyFont="1" applyFill="1" applyBorder="1" applyAlignment="1" applyProtection="1">
      <alignment vertical="center"/>
    </xf>
    <xf numFmtId="0" fontId="5" fillId="0" borderId="2" xfId="1" applyFont="1" applyFill="1" applyBorder="1" applyAlignment="1" applyProtection="1">
      <alignment vertical="center"/>
    </xf>
    <xf numFmtId="3" fontId="3" fillId="0" borderId="10" xfId="1" applyNumberFormat="1" applyFont="1" applyFill="1" applyBorder="1" applyProtection="1">
      <protection locked="0"/>
    </xf>
    <xf numFmtId="164" fontId="3" fillId="0" borderId="0" xfId="12" applyNumberFormat="1" applyFont="1" applyAlignment="1" applyProtection="1">
      <alignment horizontal="center" vertical="center"/>
    </xf>
    <xf numFmtId="164" fontId="2" fillId="3" borderId="2" xfId="12" applyNumberFormat="1" applyFont="1" applyFill="1" applyBorder="1" applyAlignment="1" applyProtection="1">
      <alignment horizontal="center" vertical="center"/>
    </xf>
    <xf numFmtId="164" fontId="3" fillId="3" borderId="2" xfId="12" applyNumberFormat="1" applyFont="1" applyFill="1" applyBorder="1" applyAlignment="1" applyProtection="1">
      <alignment horizontal="center" vertical="center"/>
    </xf>
    <xf numFmtId="164" fontId="3" fillId="3" borderId="0" xfId="12" applyNumberFormat="1" applyFont="1" applyFill="1" applyAlignment="1" applyProtection="1">
      <alignment horizontal="center" vertical="center"/>
    </xf>
    <xf numFmtId="164" fontId="0" fillId="0" borderId="0" xfId="12" applyNumberFormat="1" applyFont="1" applyAlignment="1">
      <alignment horizontal="center" vertical="center"/>
    </xf>
    <xf numFmtId="164" fontId="0" fillId="0" borderId="2" xfId="12" applyNumberFormat="1" applyFont="1" applyBorder="1"/>
    <xf numFmtId="0" fontId="9" fillId="4" borderId="28" xfId="0" applyFont="1" applyFill="1" applyBorder="1"/>
    <xf numFmtId="0" fontId="9" fillId="4" borderId="10" xfId="0" applyFont="1" applyFill="1" applyBorder="1"/>
    <xf numFmtId="0" fontId="9" fillId="4" borderId="29" xfId="0" applyFont="1" applyFill="1" applyBorder="1"/>
    <xf numFmtId="164" fontId="0" fillId="0" borderId="9" xfId="12" applyNumberFormat="1" applyFont="1" applyBorder="1"/>
    <xf numFmtId="164" fontId="0" fillId="0" borderId="30" xfId="12" applyNumberFormat="1" applyFont="1" applyBorder="1"/>
    <xf numFmtId="164" fontId="0" fillId="0" borderId="31" xfId="12" applyNumberFormat="1" applyFont="1" applyBorder="1"/>
    <xf numFmtId="0" fontId="9" fillId="4" borderId="32" xfId="0" applyFont="1" applyFill="1" applyBorder="1"/>
    <xf numFmtId="0" fontId="9" fillId="4" borderId="33" xfId="0" applyFont="1" applyFill="1" applyBorder="1"/>
    <xf numFmtId="3" fontId="3" fillId="0" borderId="0" xfId="1" applyNumberFormat="1" applyFont="1" applyProtection="1"/>
    <xf numFmtId="0" fontId="9" fillId="4" borderId="34" xfId="0" applyFont="1" applyFill="1" applyBorder="1"/>
    <xf numFmtId="164" fontId="0" fillId="0" borderId="27" xfId="12" applyNumberFormat="1" applyFont="1" applyBorder="1"/>
    <xf numFmtId="164" fontId="0" fillId="0" borderId="35" xfId="12" applyNumberFormat="1" applyFont="1" applyBorder="1"/>
    <xf numFmtId="164" fontId="0" fillId="0" borderId="36" xfId="12" applyNumberFormat="1" applyFont="1" applyBorder="1"/>
    <xf numFmtId="164" fontId="0" fillId="0" borderId="37" xfId="12" applyNumberFormat="1" applyFont="1" applyBorder="1"/>
    <xf numFmtId="164" fontId="0" fillId="0" borderId="38" xfId="12" applyNumberFormat="1" applyFont="1" applyBorder="1"/>
    <xf numFmtId="164" fontId="10" fillId="2" borderId="10" xfId="2" applyNumberFormat="1" applyFont="1" applyFill="1" applyBorder="1" applyAlignment="1" applyProtection="1">
      <alignment horizontal="center" vertical="center" wrapText="1"/>
    </xf>
    <xf numFmtId="164" fontId="10" fillId="2" borderId="29" xfId="2" applyNumberFormat="1" applyFont="1" applyFill="1" applyBorder="1" applyAlignment="1" applyProtection="1">
      <alignment horizontal="center" vertical="center" wrapText="1"/>
    </xf>
    <xf numFmtId="0" fontId="11" fillId="0" borderId="32" xfId="0" applyFont="1" applyBorder="1"/>
    <xf numFmtId="0" fontId="11" fillId="0" borderId="33" xfId="0" applyFont="1" applyBorder="1"/>
    <xf numFmtId="0" fontId="11" fillId="0" borderId="33" xfId="0" applyFont="1" applyFill="1" applyBorder="1"/>
    <xf numFmtId="0" fontId="11" fillId="0" borderId="42" xfId="0" applyFont="1" applyFill="1" applyBorder="1"/>
    <xf numFmtId="164" fontId="10" fillId="2" borderId="43" xfId="2" applyNumberFormat="1" applyFont="1" applyFill="1" applyBorder="1" applyAlignment="1" applyProtection="1">
      <alignment horizontal="center" vertical="center" wrapText="1"/>
    </xf>
    <xf numFmtId="164" fontId="10" fillId="2" borderId="19" xfId="2" applyNumberFormat="1" applyFont="1" applyFill="1" applyBorder="1" applyAlignment="1" applyProtection="1">
      <alignment horizontal="center" vertical="center" wrapText="1"/>
    </xf>
    <xf numFmtId="164" fontId="11" fillId="0" borderId="40" xfId="12" applyNumberFormat="1" applyFont="1" applyBorder="1"/>
    <xf numFmtId="164" fontId="11" fillId="0" borderId="9" xfId="12" applyNumberFormat="1" applyFont="1" applyBorder="1"/>
    <xf numFmtId="164" fontId="11" fillId="0" borderId="1" xfId="12" applyNumberFormat="1" applyFont="1" applyBorder="1"/>
    <xf numFmtId="164" fontId="11" fillId="0" borderId="2" xfId="12" applyNumberFormat="1" applyFont="1" applyBorder="1"/>
    <xf numFmtId="164" fontId="11" fillId="0" borderId="41" xfId="12" applyNumberFormat="1" applyFont="1" applyBorder="1"/>
    <xf numFmtId="164" fontId="11" fillId="0" borderId="3" xfId="12" applyNumberFormat="1" applyFont="1" applyBorder="1"/>
    <xf numFmtId="165" fontId="11" fillId="0" borderId="30" xfId="13" applyNumberFormat="1" applyFont="1" applyBorder="1"/>
    <xf numFmtId="165" fontId="11" fillId="0" borderId="31" xfId="13" applyNumberFormat="1" applyFont="1" applyBorder="1"/>
    <xf numFmtId="165" fontId="11" fillId="0" borderId="39" xfId="13" applyNumberFormat="1" applyFont="1" applyBorder="1"/>
    <xf numFmtId="9" fontId="0" fillId="0" borderId="0" xfId="14" applyFont="1"/>
    <xf numFmtId="44" fontId="0" fillId="0" borderId="0" xfId="13" applyFont="1"/>
    <xf numFmtId="44" fontId="0" fillId="0" borderId="0" xfId="0" applyNumberFormat="1"/>
    <xf numFmtId="0" fontId="0" fillId="0" borderId="0" xfId="13" applyNumberFormat="1" applyFont="1"/>
    <xf numFmtId="9" fontId="3" fillId="0" borderId="0" xfId="14" applyFont="1" applyProtection="1"/>
    <xf numFmtId="0" fontId="13" fillId="0" borderId="0" xfId="0" applyFont="1"/>
    <xf numFmtId="0" fontId="12" fillId="5" borderId="19" xfId="6" applyFont="1" applyFill="1" applyBorder="1" applyAlignment="1" applyProtection="1">
      <alignment vertical="center"/>
    </xf>
    <xf numFmtId="164" fontId="12" fillId="5" borderId="44" xfId="7" applyNumberFormat="1" applyFont="1" applyFill="1" applyBorder="1" applyAlignment="1" applyProtection="1">
      <alignment horizontal="center" vertical="center" wrapText="1"/>
    </xf>
    <xf numFmtId="164" fontId="12" fillId="5" borderId="45" xfId="7" applyNumberFormat="1" applyFont="1" applyFill="1" applyBorder="1" applyAlignment="1" applyProtection="1">
      <alignment horizontal="center" vertical="center" wrapText="1"/>
    </xf>
    <xf numFmtId="43" fontId="12" fillId="5" borderId="19" xfId="7" applyFont="1" applyFill="1" applyBorder="1" applyAlignment="1" applyProtection="1">
      <alignment horizontal="center" vertical="center" wrapText="1"/>
    </xf>
    <xf numFmtId="17" fontId="12" fillId="0" borderId="2" xfId="6" applyNumberFormat="1" applyFont="1" applyFill="1" applyBorder="1" applyAlignment="1" applyProtection="1">
      <alignment horizontal="center" vertical="center"/>
    </xf>
    <xf numFmtId="164" fontId="12" fillId="0" borderId="2" xfId="7" applyNumberFormat="1" applyFont="1" applyFill="1" applyBorder="1" applyAlignment="1" applyProtection="1">
      <alignment horizontal="center" vertical="center" wrapText="1"/>
    </xf>
    <xf numFmtId="43" fontId="12" fillId="0" borderId="2" xfId="7" applyFont="1" applyFill="1" applyBorder="1" applyAlignment="1" applyProtection="1">
      <alignment horizontal="center" vertical="center" wrapText="1"/>
    </xf>
    <xf numFmtId="164" fontId="12" fillId="5" borderId="13" xfId="7" applyNumberFormat="1" applyFont="1" applyFill="1" applyBorder="1" applyAlignment="1" applyProtection="1">
      <alignment vertical="center"/>
    </xf>
    <xf numFmtId="0" fontId="12" fillId="5" borderId="14" xfId="6" applyFont="1" applyFill="1" applyBorder="1" applyProtection="1"/>
    <xf numFmtId="43" fontId="12" fillId="5" borderId="24" xfId="7" applyFont="1" applyFill="1" applyBorder="1" applyProtection="1"/>
    <xf numFmtId="0" fontId="15" fillId="0" borderId="2" xfId="0" applyFont="1" applyBorder="1" applyAlignment="1">
      <alignment horizontal="center"/>
    </xf>
    <xf numFmtId="164" fontId="13" fillId="0" borderId="2" xfId="12" applyNumberFormat="1" applyFont="1" applyBorder="1"/>
    <xf numFmtId="164" fontId="12" fillId="0" borderId="19" xfId="7" applyNumberFormat="1" applyFont="1" applyFill="1" applyBorder="1" applyAlignment="1" applyProtection="1">
      <alignment vertical="center"/>
    </xf>
    <xf numFmtId="3" fontId="12" fillId="0" borderId="19" xfId="7" applyNumberFormat="1" applyFont="1" applyFill="1" applyBorder="1" applyProtection="1"/>
    <xf numFmtId="3" fontId="12" fillId="0" borderId="13" xfId="7" applyNumberFormat="1" applyFont="1" applyFill="1" applyBorder="1" applyProtection="1"/>
    <xf numFmtId="3" fontId="12" fillId="0" borderId="32" xfId="7" applyNumberFormat="1" applyFont="1" applyFill="1" applyBorder="1" applyProtection="1"/>
    <xf numFmtId="166" fontId="13" fillId="0" borderId="0" xfId="0" applyNumberFormat="1" applyFont="1"/>
    <xf numFmtId="2" fontId="13" fillId="0" borderId="0" xfId="0" applyNumberFormat="1" applyFont="1"/>
    <xf numFmtId="164" fontId="13" fillId="0" borderId="0" xfId="12" applyNumberFormat="1" applyFont="1"/>
    <xf numFmtId="164" fontId="13" fillId="0" borderId="0" xfId="0" applyNumberFormat="1" applyFont="1"/>
    <xf numFmtId="164" fontId="12" fillId="5" borderId="19" xfId="7" applyNumberFormat="1" applyFont="1" applyFill="1" applyBorder="1" applyAlignment="1" applyProtection="1">
      <alignment vertical="center"/>
    </xf>
    <xf numFmtId="3" fontId="12" fillId="5" borderId="19" xfId="7" applyNumberFormat="1" applyFont="1" applyFill="1" applyBorder="1" applyProtection="1"/>
    <xf numFmtId="3" fontId="12" fillId="5" borderId="34" xfId="7" applyNumberFormat="1" applyFont="1" applyFill="1" applyBorder="1" applyProtection="1"/>
    <xf numFmtId="164" fontId="12" fillId="0" borderId="0" xfId="7" applyNumberFormat="1" applyFont="1" applyFill="1" applyBorder="1" applyAlignment="1" applyProtection="1">
      <alignment vertical="center"/>
    </xf>
    <xf numFmtId="3" fontId="12" fillId="0" borderId="0" xfId="7" applyNumberFormat="1" applyFont="1" applyFill="1" applyBorder="1" applyProtection="1"/>
    <xf numFmtId="43" fontId="12" fillId="0" borderId="0" xfId="7" applyFont="1" applyFill="1" applyBorder="1" applyProtection="1"/>
    <xf numFmtId="0" fontId="12" fillId="5" borderId="13" xfId="6" applyFont="1" applyFill="1" applyBorder="1" applyAlignment="1" applyProtection="1">
      <alignment vertical="center"/>
    </xf>
    <xf numFmtId="3" fontId="12" fillId="5" borderId="14" xfId="7" applyNumberFormat="1" applyFont="1" applyFill="1" applyBorder="1" applyProtection="1"/>
    <xf numFmtId="3" fontId="16" fillId="5" borderId="14" xfId="7" applyNumberFormat="1" applyFont="1" applyFill="1" applyBorder="1" applyProtection="1"/>
    <xf numFmtId="43" fontId="16" fillId="5" borderId="15" xfId="7" applyFont="1" applyFill="1" applyBorder="1" applyProtection="1"/>
    <xf numFmtId="0" fontId="12" fillId="0" borderId="19" xfId="6" applyFont="1" applyFill="1" applyBorder="1" applyAlignment="1" applyProtection="1">
      <alignment vertical="center"/>
    </xf>
    <xf numFmtId="3" fontId="12" fillId="0" borderId="1" xfId="7" applyNumberFormat="1" applyFont="1" applyFill="1" applyBorder="1" applyProtection="1"/>
    <xf numFmtId="3" fontId="12" fillId="0" borderId="46" xfId="7" applyNumberFormat="1" applyFont="1" applyFill="1" applyBorder="1" applyProtection="1"/>
    <xf numFmtId="3" fontId="12" fillId="5" borderId="20" xfId="6" applyNumberFormat="1" applyFont="1" applyFill="1" applyBorder="1" applyProtection="1"/>
    <xf numFmtId="3" fontId="12" fillId="0" borderId="0" xfId="6" applyNumberFormat="1" applyFont="1" applyFill="1" applyBorder="1" applyProtection="1"/>
    <xf numFmtId="3" fontId="12" fillId="5" borderId="14" xfId="6" applyNumberFormat="1" applyFont="1" applyFill="1" applyBorder="1" applyProtection="1"/>
    <xf numFmtId="43" fontId="12" fillId="5" borderId="14" xfId="7" applyFont="1" applyFill="1" applyBorder="1" applyProtection="1"/>
    <xf numFmtId="0" fontId="12" fillId="0" borderId="24" xfId="6" applyFont="1" applyFill="1" applyBorder="1" applyAlignment="1" applyProtection="1">
      <alignment vertical="center" wrapText="1"/>
    </xf>
    <xf numFmtId="3" fontId="12" fillId="0" borderId="24" xfId="6" applyNumberFormat="1" applyFont="1" applyFill="1" applyBorder="1" applyProtection="1"/>
    <xf numFmtId="43" fontId="12" fillId="0" borderId="24" xfId="7" applyFont="1" applyFill="1" applyBorder="1" applyProtection="1"/>
    <xf numFmtId="3" fontId="12" fillId="0" borderId="36" xfId="7" applyNumberFormat="1" applyFont="1" applyFill="1" applyBorder="1" applyProtection="1"/>
    <xf numFmtId="3" fontId="12" fillId="0" borderId="40" xfId="7" applyNumberFormat="1" applyFont="1" applyFill="1" applyBorder="1" applyProtection="1"/>
    <xf numFmtId="3" fontId="12" fillId="0" borderId="47" xfId="7" applyNumberFormat="1" applyFont="1" applyFill="1" applyBorder="1" applyProtection="1"/>
    <xf numFmtId="3" fontId="12" fillId="0" borderId="37" xfId="7" applyNumberFormat="1" applyFont="1" applyFill="1" applyBorder="1" applyProtection="1"/>
    <xf numFmtId="3" fontId="12" fillId="0" borderId="48" xfId="7" applyNumberFormat="1" applyFont="1" applyFill="1" applyBorder="1" applyProtection="1"/>
    <xf numFmtId="3" fontId="12" fillId="0" borderId="41" xfId="7" applyNumberFormat="1" applyFont="1" applyFill="1" applyBorder="1" applyProtection="1"/>
    <xf numFmtId="3" fontId="16" fillId="5" borderId="14" xfId="6" applyNumberFormat="1" applyFont="1" applyFill="1" applyBorder="1" applyProtection="1"/>
    <xf numFmtId="43" fontId="16" fillId="5" borderId="14" xfId="7" applyFont="1" applyFill="1" applyBorder="1" applyProtection="1"/>
    <xf numFmtId="3" fontId="12" fillId="0" borderId="20" xfId="7" applyNumberFormat="1" applyFont="1" applyFill="1" applyBorder="1" applyProtection="1"/>
    <xf numFmtId="3" fontId="12" fillId="5" borderId="19" xfId="6" applyNumberFormat="1" applyFont="1" applyFill="1" applyBorder="1" applyProtection="1"/>
    <xf numFmtId="164" fontId="12" fillId="0" borderId="34" xfId="7" applyNumberFormat="1" applyFont="1" applyFill="1" applyBorder="1" applyAlignment="1" applyProtection="1">
      <alignment vertical="center"/>
    </xf>
    <xf numFmtId="164" fontId="12" fillId="0" borderId="19" xfId="7" applyNumberFormat="1" applyFont="1" applyFill="1" applyBorder="1" applyAlignment="1" applyProtection="1">
      <alignment vertical="center" wrapText="1"/>
    </xf>
    <xf numFmtId="3" fontId="12" fillId="0" borderId="44" xfId="7" applyNumberFormat="1" applyFont="1" applyFill="1" applyBorder="1" applyProtection="1"/>
    <xf numFmtId="3" fontId="12" fillId="0" borderId="14" xfId="7" applyNumberFormat="1" applyFont="1" applyFill="1" applyBorder="1" applyProtection="1"/>
    <xf numFmtId="3" fontId="13" fillId="0" borderId="0" xfId="0" applyNumberFormat="1" applyFont="1"/>
    <xf numFmtId="0" fontId="2" fillId="3" borderId="25" xfId="1" applyFont="1" applyFill="1" applyBorder="1" applyAlignment="1" applyProtection="1">
      <alignment horizontal="center"/>
    </xf>
    <xf numFmtId="0" fontId="2" fillId="3" borderId="1" xfId="1" applyFont="1" applyFill="1" applyBorder="1" applyAlignment="1" applyProtection="1">
      <alignment horizontal="center"/>
    </xf>
    <xf numFmtId="0" fontId="3" fillId="0" borderId="0" xfId="1" applyFont="1" applyAlignment="1" applyProtection="1">
      <alignment horizontal="center"/>
    </xf>
    <xf numFmtId="0" fontId="7" fillId="0" borderId="0" xfId="1" applyFont="1" applyAlignment="1" applyProtection="1">
      <alignment horizontal="center"/>
    </xf>
    <xf numFmtId="0" fontId="2" fillId="0" borderId="26" xfId="1" applyFont="1" applyBorder="1" applyAlignment="1" applyProtection="1">
      <alignment horizontal="center"/>
    </xf>
    <xf numFmtId="164" fontId="2" fillId="3" borderId="25" xfId="12" applyNumberFormat="1" applyFont="1" applyFill="1" applyBorder="1" applyAlignment="1" applyProtection="1">
      <alignment horizontal="center" vertical="center"/>
    </xf>
    <xf numFmtId="164" fontId="2" fillId="3" borderId="1" xfId="12" applyNumberFormat="1" applyFont="1" applyFill="1" applyBorder="1" applyAlignment="1" applyProtection="1">
      <alignment horizontal="center" vertical="center"/>
    </xf>
    <xf numFmtId="0" fontId="12" fillId="0" borderId="0" xfId="6" applyFont="1" applyAlignment="1" applyProtection="1">
      <alignment horizontal="center"/>
    </xf>
    <xf numFmtId="0" fontId="14" fillId="0" borderId="0" xfId="6" applyFont="1" applyAlignment="1">
      <alignment horizontal="center"/>
    </xf>
    <xf numFmtId="0" fontId="12" fillId="0" borderId="26" xfId="6" applyFont="1" applyBorder="1" applyAlignment="1" applyProtection="1">
      <alignment horizontal="center"/>
    </xf>
  </cellXfs>
  <cellStyles count="15">
    <cellStyle name="Comma" xfId="12" builtinId="3"/>
    <cellStyle name="Comma 2" xfId="2"/>
    <cellStyle name="Comma 4" xfId="5"/>
    <cellStyle name="Comma 5" xfId="7"/>
    <cellStyle name="Comma 6" xfId="10"/>
    <cellStyle name="Currency" xfId="13" builtinId="4"/>
    <cellStyle name="Currency 5" xfId="8"/>
    <cellStyle name="Normal" xfId="0" builtinId="0"/>
    <cellStyle name="Normal 2" xfId="1"/>
    <cellStyle name="Normal 3" xfId="3"/>
    <cellStyle name="Normal 4" xfId="4"/>
    <cellStyle name="Normal 5" xfId="6"/>
    <cellStyle name="Normal 6" xfId="9"/>
    <cellStyle name="Percent" xfId="14" builtinId="5"/>
    <cellStyle name="Percent 6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42"/>
  <sheetViews>
    <sheetView topLeftCell="A22" workbookViewId="0">
      <selection activeCell="B90" sqref="B90"/>
    </sheetView>
  </sheetViews>
  <sheetFormatPr defaultRowHeight="15" x14ac:dyDescent="0.25"/>
  <cols>
    <col min="1" max="1" width="9.140625" style="1"/>
    <col min="2" max="2" width="18.7109375" style="1" bestFit="1" customWidth="1"/>
    <col min="3" max="3" width="10.5703125" style="1" bestFit="1" customWidth="1"/>
    <col min="4" max="4" width="12.7109375" style="1" bestFit="1" customWidth="1"/>
    <col min="5" max="5" width="15.7109375" style="1" bestFit="1" customWidth="1"/>
    <col min="6" max="6" width="15.85546875" style="1" customWidth="1"/>
    <col min="7" max="12" width="9.140625" style="1"/>
    <col min="13" max="13" width="13.5703125" style="1" hidden="1" customWidth="1"/>
    <col min="14" max="14" width="11.5703125" style="1" hidden="1" customWidth="1"/>
    <col min="15" max="15" width="13.28515625" style="1" hidden="1" customWidth="1"/>
    <col min="16" max="16" width="18.42578125" style="1" hidden="1" customWidth="1"/>
    <col min="17" max="16384" width="9.140625" style="1"/>
  </cols>
  <sheetData>
    <row r="1" spans="2:10" ht="18.75" x14ac:dyDescent="0.3">
      <c r="B1" s="162" t="s">
        <v>0</v>
      </c>
      <c r="C1" s="162"/>
      <c r="D1" s="162"/>
      <c r="E1" s="162"/>
      <c r="F1" s="162"/>
      <c r="G1" s="17"/>
      <c r="H1" s="17"/>
      <c r="I1" s="17"/>
      <c r="J1" s="17"/>
    </row>
    <row r="2" spans="2:10" ht="18.75" x14ac:dyDescent="0.3">
      <c r="B2" s="162" t="s">
        <v>1</v>
      </c>
      <c r="C2" s="162"/>
      <c r="D2" s="162"/>
      <c r="E2" s="162"/>
      <c r="F2" s="162"/>
      <c r="G2" s="17"/>
      <c r="H2" s="17"/>
      <c r="I2" s="17"/>
      <c r="J2" s="17"/>
    </row>
    <row r="3" spans="2:10" ht="18.75" x14ac:dyDescent="0.3">
      <c r="B3" s="163" t="s">
        <v>2</v>
      </c>
      <c r="C3" s="163"/>
      <c r="D3" s="163"/>
      <c r="E3" s="163"/>
      <c r="F3" s="163"/>
      <c r="G3" s="17"/>
      <c r="H3" s="17"/>
      <c r="I3" s="17"/>
      <c r="J3" s="17"/>
    </row>
    <row r="4" spans="2:10" ht="18.75" x14ac:dyDescent="0.3">
      <c r="B4" s="162" t="s">
        <v>129</v>
      </c>
      <c r="C4" s="162"/>
      <c r="D4" s="162"/>
      <c r="E4" s="162"/>
      <c r="F4" s="162"/>
      <c r="G4" s="17"/>
      <c r="H4" s="17"/>
      <c r="I4" s="17"/>
      <c r="J4" s="17"/>
    </row>
    <row r="5" spans="2:10" ht="19.5" thickBot="1" x14ac:dyDescent="0.35">
      <c r="B5" s="164"/>
      <c r="C5" s="164"/>
      <c r="D5" s="164"/>
      <c r="E5" s="164"/>
      <c r="F5" s="164"/>
      <c r="G5" s="17"/>
      <c r="H5" s="17"/>
      <c r="I5" s="17"/>
      <c r="J5" s="17"/>
    </row>
    <row r="6" spans="2:10" ht="57" thickBot="1" x14ac:dyDescent="0.35">
      <c r="B6" s="18"/>
      <c r="C6" s="19" t="s">
        <v>3</v>
      </c>
      <c r="D6" s="20" t="s">
        <v>4</v>
      </c>
      <c r="E6" s="20" t="s">
        <v>5</v>
      </c>
      <c r="F6" s="20" t="s">
        <v>6</v>
      </c>
      <c r="G6" s="17"/>
      <c r="H6" s="17"/>
      <c r="I6" s="160" t="s">
        <v>7</v>
      </c>
      <c r="J6" s="161"/>
    </row>
    <row r="7" spans="2:10" ht="19.5" thickBot="1" x14ac:dyDescent="0.35">
      <c r="B7" s="21" t="s">
        <v>8</v>
      </c>
      <c r="C7" s="22"/>
      <c r="D7" s="22"/>
      <c r="E7" s="22"/>
      <c r="F7" s="23"/>
      <c r="G7" s="17"/>
      <c r="H7" s="17"/>
      <c r="I7" s="54" t="s">
        <v>9</v>
      </c>
      <c r="J7" s="54" t="s">
        <v>10</v>
      </c>
    </row>
    <row r="8" spans="2:10" ht="18.75" x14ac:dyDescent="0.3">
      <c r="B8" s="24" t="s">
        <v>11</v>
      </c>
      <c r="C8" s="15">
        <v>7313</v>
      </c>
      <c r="D8" s="13">
        <v>16347</v>
      </c>
      <c r="E8" s="14">
        <v>1703926</v>
      </c>
      <c r="F8" s="25">
        <f>E8/C8</f>
        <v>232.99958977163953</v>
      </c>
      <c r="G8" s="17"/>
      <c r="H8" s="17"/>
      <c r="I8" s="55"/>
      <c r="J8" s="55"/>
    </row>
    <row r="9" spans="2:10" ht="18.75" x14ac:dyDescent="0.3">
      <c r="B9" s="26" t="s">
        <v>12</v>
      </c>
      <c r="C9" s="3">
        <v>5673</v>
      </c>
      <c r="D9" s="13">
        <v>11744</v>
      </c>
      <c r="E9" s="13">
        <v>1263655</v>
      </c>
      <c r="F9" s="25">
        <f t="shared" ref="F9:F16" si="0">E9/C9</f>
        <v>222.74898642693461</v>
      </c>
      <c r="G9" s="17"/>
      <c r="H9" s="17"/>
      <c r="I9" s="55"/>
      <c r="J9" s="55"/>
    </row>
    <row r="10" spans="2:10" ht="18.75" x14ac:dyDescent="0.3">
      <c r="B10" s="26" t="s">
        <v>13</v>
      </c>
      <c r="C10" s="3">
        <v>6238</v>
      </c>
      <c r="D10" s="13">
        <v>12512</v>
      </c>
      <c r="E10" s="3">
        <v>1354172</v>
      </c>
      <c r="F10" s="25">
        <f t="shared" si="0"/>
        <v>217.08432189804424</v>
      </c>
      <c r="G10" s="17"/>
      <c r="H10" s="17"/>
      <c r="I10" s="55"/>
      <c r="J10" s="55"/>
    </row>
    <row r="11" spans="2:10" ht="18.75" x14ac:dyDescent="0.3">
      <c r="B11" s="26" t="s">
        <v>14</v>
      </c>
      <c r="C11" s="3">
        <v>8053</v>
      </c>
      <c r="D11" s="13">
        <v>17022</v>
      </c>
      <c r="E11" s="3">
        <v>1791885</v>
      </c>
      <c r="F11" s="25">
        <f t="shared" si="0"/>
        <v>222.51148640258288</v>
      </c>
      <c r="G11" s="17"/>
      <c r="H11" s="17"/>
      <c r="I11" s="55"/>
      <c r="J11" s="55"/>
    </row>
    <row r="12" spans="2:10" ht="18.75" x14ac:dyDescent="0.3">
      <c r="B12" s="26" t="s">
        <v>15</v>
      </c>
      <c r="C12" s="3">
        <v>1998</v>
      </c>
      <c r="D12" s="13">
        <v>4467</v>
      </c>
      <c r="E12" s="3">
        <v>472405</v>
      </c>
      <c r="F12" s="25">
        <f t="shared" si="0"/>
        <v>236.43893893893895</v>
      </c>
      <c r="G12" s="17"/>
      <c r="H12" s="17"/>
      <c r="I12" s="55"/>
      <c r="J12" s="55"/>
    </row>
    <row r="13" spans="2:10" ht="18.75" x14ac:dyDescent="0.3">
      <c r="B13" s="26" t="s">
        <v>16</v>
      </c>
      <c r="C13" s="3">
        <v>8481</v>
      </c>
      <c r="D13" s="13">
        <v>18683</v>
      </c>
      <c r="E13" s="3">
        <v>1976310</v>
      </c>
      <c r="F13" s="25">
        <f t="shared" si="0"/>
        <v>233.02794481782809</v>
      </c>
      <c r="G13" s="17"/>
      <c r="H13" s="17"/>
      <c r="I13" s="55"/>
      <c r="J13" s="55"/>
    </row>
    <row r="14" spans="2:10" ht="18.75" x14ac:dyDescent="0.3">
      <c r="B14" s="26" t="s">
        <v>17</v>
      </c>
      <c r="C14" s="3">
        <v>3001</v>
      </c>
      <c r="D14" s="13">
        <v>5999</v>
      </c>
      <c r="E14" s="3">
        <v>642433</v>
      </c>
      <c r="F14" s="25">
        <f t="shared" si="0"/>
        <v>214.07297567477508</v>
      </c>
      <c r="G14" s="17"/>
      <c r="H14" s="17"/>
      <c r="I14" s="55"/>
      <c r="J14" s="55"/>
    </row>
    <row r="15" spans="2:10" ht="19.5" thickBot="1" x14ac:dyDescent="0.35">
      <c r="B15" s="28" t="s">
        <v>18</v>
      </c>
      <c r="C15" s="4">
        <v>9909</v>
      </c>
      <c r="D15" s="13">
        <v>20300</v>
      </c>
      <c r="E15" s="11">
        <v>2199105</v>
      </c>
      <c r="F15" s="25">
        <f t="shared" si="0"/>
        <v>221.93006357856495</v>
      </c>
      <c r="G15" s="17"/>
      <c r="H15" s="17"/>
      <c r="I15" s="55"/>
      <c r="J15" s="55"/>
    </row>
    <row r="16" spans="2:10" ht="19.5" thickBot="1" x14ac:dyDescent="0.35">
      <c r="B16" s="29" t="s">
        <v>19</v>
      </c>
      <c r="C16" s="30">
        <f>SUM(C8:C15)</f>
        <v>50666</v>
      </c>
      <c r="D16" s="30">
        <f t="shared" ref="D16:E16" si="1">SUM(D8:D15)</f>
        <v>107074</v>
      </c>
      <c r="E16" s="30">
        <f t="shared" si="1"/>
        <v>11403891</v>
      </c>
      <c r="F16" s="31">
        <f t="shared" si="0"/>
        <v>225.07975762838984</v>
      </c>
      <c r="G16" s="17"/>
      <c r="H16" s="17"/>
      <c r="I16" s="55"/>
      <c r="J16" s="55"/>
    </row>
    <row r="17" spans="2:17" ht="19.5" thickBot="1" x14ac:dyDescent="0.35">
      <c r="B17" s="32"/>
      <c r="C17" s="33"/>
      <c r="D17" s="33"/>
      <c r="E17" s="33"/>
      <c r="F17" s="33"/>
      <c r="G17" s="2"/>
      <c r="H17" s="2"/>
      <c r="I17" s="55"/>
      <c r="J17" s="55"/>
      <c r="K17" s="2"/>
      <c r="L17" s="2"/>
      <c r="M17" s="2"/>
      <c r="N17" s="2"/>
      <c r="O17" s="2"/>
      <c r="P17" s="2"/>
      <c r="Q17" s="2"/>
    </row>
    <row r="18" spans="2:17" ht="19.5" thickBot="1" x14ac:dyDescent="0.35">
      <c r="B18" s="34" t="s">
        <v>20</v>
      </c>
      <c r="C18" s="35"/>
      <c r="D18" s="35"/>
      <c r="E18" s="35"/>
      <c r="F18" s="36"/>
      <c r="G18" s="2"/>
      <c r="H18" s="2"/>
      <c r="I18" s="55"/>
      <c r="J18" s="55"/>
      <c r="K18" s="2"/>
      <c r="L18" s="2"/>
      <c r="M18" s="2"/>
      <c r="N18" s="2"/>
      <c r="O18" s="2"/>
      <c r="P18" s="2"/>
      <c r="Q18" s="2"/>
    </row>
    <row r="19" spans="2:17" ht="18.75" x14ac:dyDescent="0.3">
      <c r="B19" s="37" t="s">
        <v>21</v>
      </c>
      <c r="C19" s="3">
        <v>14407</v>
      </c>
      <c r="D19" s="3">
        <v>28564</v>
      </c>
      <c r="E19" s="6">
        <v>3082309</v>
      </c>
      <c r="F19" s="27">
        <f t="shared" ref="F19:F32" si="2">E19/C19</f>
        <v>213.94523495523009</v>
      </c>
      <c r="G19" s="38"/>
      <c r="H19" s="38"/>
      <c r="I19" s="55"/>
      <c r="J19" s="55"/>
      <c r="K19" s="38"/>
      <c r="L19" s="38"/>
      <c r="M19" s="38"/>
      <c r="N19" s="38"/>
      <c r="O19" s="38"/>
      <c r="P19" s="38"/>
      <c r="Q19" s="38"/>
    </row>
    <row r="20" spans="2:17" ht="18.75" x14ac:dyDescent="0.3">
      <c r="B20" s="59" t="s">
        <v>22</v>
      </c>
      <c r="C20" s="3">
        <v>6793</v>
      </c>
      <c r="D20" s="3">
        <v>12814</v>
      </c>
      <c r="E20" s="3">
        <v>1391665</v>
      </c>
      <c r="F20" s="27">
        <f t="shared" si="2"/>
        <v>204.86751067275137</v>
      </c>
      <c r="G20" s="38"/>
      <c r="H20" s="38"/>
      <c r="I20" s="55"/>
      <c r="J20" s="55"/>
      <c r="K20" s="38"/>
      <c r="L20" s="38"/>
      <c r="M20" s="38"/>
      <c r="N20" s="38"/>
      <c r="O20" s="38"/>
      <c r="P20" s="38"/>
      <c r="Q20" s="38"/>
    </row>
    <row r="21" spans="2:17" ht="18.75" x14ac:dyDescent="0.3">
      <c r="B21" s="58" t="s">
        <v>23</v>
      </c>
      <c r="C21" s="9">
        <v>5783</v>
      </c>
      <c r="D21" s="3">
        <v>11818</v>
      </c>
      <c r="E21" s="9">
        <v>1260073</v>
      </c>
      <c r="F21" s="27">
        <f t="shared" si="2"/>
        <v>217.89261628912328</v>
      </c>
      <c r="G21" s="2"/>
      <c r="H21" s="2"/>
      <c r="I21" s="55"/>
      <c r="J21" s="55"/>
      <c r="K21" s="2"/>
      <c r="L21" s="2"/>
      <c r="M21" s="2"/>
      <c r="N21" s="2"/>
      <c r="O21" s="2"/>
      <c r="P21" s="2"/>
      <c r="Q21" s="2"/>
    </row>
    <row r="22" spans="2:17" ht="18.75" x14ac:dyDescent="0.3">
      <c r="B22" s="26" t="s">
        <v>24</v>
      </c>
      <c r="C22" s="9">
        <v>7497</v>
      </c>
      <c r="D22" s="3">
        <v>15658</v>
      </c>
      <c r="E22" s="9">
        <v>1653227</v>
      </c>
      <c r="F22" s="27">
        <f t="shared" si="2"/>
        <v>220.51847405628919</v>
      </c>
      <c r="G22" s="2"/>
      <c r="H22" s="2"/>
      <c r="I22" s="55"/>
      <c r="J22" s="55"/>
      <c r="K22" s="2"/>
      <c r="L22" s="2"/>
      <c r="M22" s="2"/>
      <c r="N22" s="2"/>
      <c r="O22" s="2"/>
      <c r="P22" s="2"/>
      <c r="Q22" s="2"/>
    </row>
    <row r="23" spans="2:17" ht="18.75" x14ac:dyDescent="0.3">
      <c r="B23" s="26" t="s">
        <v>25</v>
      </c>
      <c r="C23" s="9">
        <v>4687</v>
      </c>
      <c r="D23" s="3">
        <v>10344</v>
      </c>
      <c r="E23" s="9">
        <v>1085354</v>
      </c>
      <c r="F23" s="27">
        <f t="shared" si="2"/>
        <v>231.56688713462771</v>
      </c>
      <c r="G23" s="2"/>
      <c r="H23" s="2"/>
      <c r="I23" s="55"/>
      <c r="J23" s="55"/>
      <c r="K23" s="2"/>
      <c r="L23" s="2"/>
      <c r="M23" s="2"/>
      <c r="N23" s="2"/>
      <c r="O23" s="2"/>
      <c r="P23" s="2"/>
      <c r="Q23" s="2"/>
    </row>
    <row r="24" spans="2:17" ht="18.75" x14ac:dyDescent="0.3">
      <c r="B24" s="26" t="s">
        <v>26</v>
      </c>
      <c r="C24" s="9">
        <v>3136</v>
      </c>
      <c r="D24" s="3">
        <v>6789</v>
      </c>
      <c r="E24" s="9">
        <v>718991</v>
      </c>
      <c r="F24" s="27">
        <f t="shared" si="2"/>
        <v>229.27008928571428</v>
      </c>
      <c r="G24" s="2"/>
      <c r="H24" s="2"/>
      <c r="I24" s="55"/>
      <c r="J24" s="55"/>
      <c r="K24" s="2"/>
      <c r="L24" s="2"/>
      <c r="M24" s="2"/>
      <c r="N24" s="2"/>
      <c r="O24" s="2"/>
      <c r="P24" s="2"/>
      <c r="Q24" s="2"/>
    </row>
    <row r="25" spans="2:17" ht="18.75" x14ac:dyDescent="0.3">
      <c r="B25" s="26" t="s">
        <v>27</v>
      </c>
      <c r="C25" s="9">
        <v>8174</v>
      </c>
      <c r="D25" s="3">
        <v>17055</v>
      </c>
      <c r="E25" s="9">
        <v>1817075</v>
      </c>
      <c r="F25" s="27">
        <f t="shared" si="2"/>
        <v>222.29936383655493</v>
      </c>
      <c r="G25" s="2"/>
      <c r="H25" s="2"/>
      <c r="I25" s="55"/>
      <c r="J25" s="55"/>
      <c r="K25" s="2"/>
      <c r="L25" s="2"/>
      <c r="M25" s="2"/>
      <c r="N25" s="2"/>
      <c r="O25" s="2"/>
      <c r="P25" s="2"/>
      <c r="Q25" s="2"/>
    </row>
    <row r="26" spans="2:17" ht="18.75" x14ac:dyDescent="0.3">
      <c r="B26" s="26" t="s">
        <v>28</v>
      </c>
      <c r="C26" s="9">
        <v>7312</v>
      </c>
      <c r="D26" s="3">
        <v>16000</v>
      </c>
      <c r="E26" s="9">
        <v>1701472</v>
      </c>
      <c r="F26" s="27">
        <f t="shared" si="2"/>
        <v>232.69584245076587</v>
      </c>
      <c r="G26" s="2"/>
      <c r="H26" s="2"/>
      <c r="I26" s="55"/>
      <c r="J26" s="55"/>
      <c r="K26" s="2"/>
      <c r="L26" s="2"/>
      <c r="M26" s="2"/>
      <c r="N26" s="2"/>
      <c r="O26" s="2"/>
      <c r="P26" s="2"/>
      <c r="Q26" s="2"/>
    </row>
    <row r="27" spans="2:17" ht="18.75" x14ac:dyDescent="0.3">
      <c r="B27" s="26" t="s">
        <v>29</v>
      </c>
      <c r="C27" s="9">
        <v>9554</v>
      </c>
      <c r="D27" s="3">
        <v>19407</v>
      </c>
      <c r="E27" s="9">
        <v>2068694</v>
      </c>
      <c r="F27" s="27">
        <f t="shared" si="2"/>
        <v>216.52648105505548</v>
      </c>
      <c r="G27" s="2"/>
      <c r="H27" s="2"/>
      <c r="I27" s="55"/>
      <c r="J27" s="55"/>
      <c r="K27" s="2"/>
      <c r="L27" s="2"/>
      <c r="M27" s="2"/>
      <c r="N27" s="2"/>
      <c r="O27" s="2"/>
      <c r="P27" s="2"/>
      <c r="Q27" s="2"/>
    </row>
    <row r="28" spans="2:17" ht="18.75" x14ac:dyDescent="0.3">
      <c r="B28" s="26" t="s">
        <v>30</v>
      </c>
      <c r="C28" s="9">
        <v>6430</v>
      </c>
      <c r="D28" s="3">
        <v>14926</v>
      </c>
      <c r="E28" s="9">
        <v>1558702</v>
      </c>
      <c r="F28" s="27">
        <f t="shared" si="2"/>
        <v>242.41088646967341</v>
      </c>
      <c r="G28" s="2"/>
      <c r="H28" s="2"/>
      <c r="I28" s="55"/>
      <c r="J28" s="55"/>
      <c r="K28" s="2"/>
      <c r="L28" s="2"/>
      <c r="M28" s="2"/>
      <c r="N28" s="2"/>
      <c r="O28" s="2"/>
      <c r="P28" s="2"/>
      <c r="Q28" s="2"/>
    </row>
    <row r="29" spans="2:17" ht="18.75" x14ac:dyDescent="0.3">
      <c r="B29" s="26" t="s">
        <v>31</v>
      </c>
      <c r="C29" s="9">
        <v>5472</v>
      </c>
      <c r="D29" s="3">
        <v>11922</v>
      </c>
      <c r="E29" s="9">
        <v>1254297</v>
      </c>
      <c r="F29" s="27">
        <f t="shared" si="2"/>
        <v>229.22094298245614</v>
      </c>
      <c r="G29" s="2"/>
      <c r="H29" s="2"/>
      <c r="I29" s="55"/>
      <c r="J29" s="55"/>
      <c r="K29" s="2"/>
      <c r="L29" s="2"/>
      <c r="M29" s="2"/>
      <c r="N29" s="2"/>
      <c r="O29" s="2"/>
      <c r="P29" s="2"/>
      <c r="Q29" s="2"/>
    </row>
    <row r="30" spans="2:17" ht="18.75" x14ac:dyDescent="0.3">
      <c r="B30" s="39" t="s">
        <v>32</v>
      </c>
      <c r="C30" s="8">
        <v>5464</v>
      </c>
      <c r="D30" s="13">
        <v>12163</v>
      </c>
      <c r="E30" s="8">
        <v>1293156</v>
      </c>
      <c r="F30" s="27">
        <f t="shared" si="2"/>
        <v>236.66837481698389</v>
      </c>
      <c r="G30" s="2"/>
      <c r="H30" s="2"/>
      <c r="I30" s="55"/>
      <c r="J30" s="55"/>
      <c r="K30" s="2"/>
      <c r="L30" s="2"/>
      <c r="M30" s="2"/>
      <c r="N30" s="2"/>
      <c r="O30" s="2"/>
      <c r="P30" s="2"/>
      <c r="Q30" s="2"/>
    </row>
    <row r="31" spans="2:17" ht="19.5" thickBot="1" x14ac:dyDescent="0.35">
      <c r="B31" s="39" t="s">
        <v>33</v>
      </c>
      <c r="C31" s="56">
        <v>1892</v>
      </c>
      <c r="D31" s="5">
        <v>4132</v>
      </c>
      <c r="E31" s="57">
        <v>442101</v>
      </c>
      <c r="F31" s="27">
        <f t="shared" si="2"/>
        <v>233.66860465116278</v>
      </c>
      <c r="G31" s="2"/>
      <c r="H31" s="2"/>
      <c r="I31" s="55"/>
      <c r="J31" s="55"/>
      <c r="K31" s="2"/>
      <c r="L31" s="2"/>
      <c r="M31" s="2"/>
      <c r="N31" s="2"/>
      <c r="O31" s="2"/>
      <c r="P31" s="2"/>
      <c r="Q31" s="2"/>
    </row>
    <row r="32" spans="2:17" ht="19.5" thickBot="1" x14ac:dyDescent="0.35">
      <c r="B32" s="29" t="s">
        <v>34</v>
      </c>
      <c r="C32" s="40">
        <f>SUM(C19:C31)</f>
        <v>86601</v>
      </c>
      <c r="D32" s="40">
        <f t="shared" ref="D32:E32" si="3">SUM(D19:D31)</f>
        <v>181592</v>
      </c>
      <c r="E32" s="40">
        <f t="shared" si="3"/>
        <v>19327116</v>
      </c>
      <c r="F32" s="31">
        <f t="shared" si="2"/>
        <v>223.1742820521703</v>
      </c>
      <c r="G32" s="2"/>
      <c r="H32" s="2"/>
      <c r="I32" s="55"/>
      <c r="J32" s="55"/>
      <c r="K32" s="2"/>
      <c r="L32" s="2"/>
      <c r="M32" s="2"/>
      <c r="N32" s="2"/>
      <c r="O32" s="2"/>
      <c r="P32" s="2"/>
      <c r="Q32" s="2"/>
    </row>
    <row r="33" spans="2:10" ht="19.5" thickBot="1" x14ac:dyDescent="0.35">
      <c r="B33" s="32"/>
      <c r="C33" s="41"/>
      <c r="D33" s="41"/>
      <c r="E33" s="41"/>
      <c r="F33" s="33"/>
      <c r="G33" s="17"/>
      <c r="H33" s="17"/>
      <c r="I33" s="55"/>
      <c r="J33" s="55"/>
    </row>
    <row r="34" spans="2:10" ht="19.5" thickBot="1" x14ac:dyDescent="0.35">
      <c r="B34" s="21" t="s">
        <v>35</v>
      </c>
      <c r="C34" s="42"/>
      <c r="D34" s="42"/>
      <c r="E34" s="42"/>
      <c r="F34" s="43"/>
      <c r="G34" s="17"/>
      <c r="H34" s="17"/>
      <c r="I34" s="55"/>
      <c r="J34" s="55"/>
    </row>
    <row r="35" spans="2:10" ht="18.75" x14ac:dyDescent="0.3">
      <c r="B35" s="24" t="s">
        <v>36</v>
      </c>
      <c r="C35" s="16">
        <v>8654</v>
      </c>
      <c r="D35" s="8">
        <v>18505</v>
      </c>
      <c r="E35" s="8">
        <v>1961592</v>
      </c>
      <c r="F35" s="27">
        <f t="shared" ref="F35:F48" si="4">E35/C35</f>
        <v>226.66882366535705</v>
      </c>
      <c r="G35" s="17"/>
      <c r="H35" s="17"/>
      <c r="I35" s="55"/>
      <c r="J35" s="55"/>
    </row>
    <row r="36" spans="2:10" ht="18.75" x14ac:dyDescent="0.3">
      <c r="B36" s="26" t="s">
        <v>37</v>
      </c>
      <c r="C36" s="9">
        <v>8653</v>
      </c>
      <c r="D36" s="7">
        <v>17674</v>
      </c>
      <c r="E36" s="7">
        <v>1866657</v>
      </c>
      <c r="F36" s="27">
        <f t="shared" si="4"/>
        <v>215.72367964867675</v>
      </c>
      <c r="G36" s="17"/>
      <c r="H36" s="17"/>
      <c r="I36" s="55"/>
      <c r="J36" s="55"/>
    </row>
    <row r="37" spans="2:10" ht="18.75" x14ac:dyDescent="0.3">
      <c r="B37" s="26" t="s">
        <v>38</v>
      </c>
      <c r="C37" s="9">
        <v>10084</v>
      </c>
      <c r="D37" s="7">
        <v>21121</v>
      </c>
      <c r="E37" s="9">
        <v>2210970</v>
      </c>
      <c r="F37" s="27">
        <f t="shared" si="4"/>
        <v>219.25525585085285</v>
      </c>
      <c r="G37" s="17"/>
      <c r="H37" s="17"/>
      <c r="I37" s="55"/>
      <c r="J37" s="55"/>
    </row>
    <row r="38" spans="2:10" ht="18.75" x14ac:dyDescent="0.3">
      <c r="B38" s="26" t="s">
        <v>39</v>
      </c>
      <c r="C38" s="9">
        <v>5027</v>
      </c>
      <c r="D38" s="7">
        <v>10729</v>
      </c>
      <c r="E38" s="9">
        <v>1152832</v>
      </c>
      <c r="F38" s="27">
        <f t="shared" si="4"/>
        <v>229.3280286453153</v>
      </c>
      <c r="G38" s="17"/>
      <c r="H38" s="17"/>
      <c r="I38" s="55"/>
      <c r="J38" s="55"/>
    </row>
    <row r="39" spans="2:10" ht="18.75" x14ac:dyDescent="0.3">
      <c r="B39" s="26" t="s">
        <v>40</v>
      </c>
      <c r="C39" s="9">
        <v>7800</v>
      </c>
      <c r="D39" s="7">
        <v>17075</v>
      </c>
      <c r="E39" s="9">
        <v>1804970</v>
      </c>
      <c r="F39" s="27">
        <f t="shared" si="4"/>
        <v>231.40641025641025</v>
      </c>
      <c r="G39" s="17"/>
      <c r="H39" s="17"/>
      <c r="I39" s="55"/>
      <c r="J39" s="55"/>
    </row>
    <row r="40" spans="2:10" ht="18.75" x14ac:dyDescent="0.3">
      <c r="B40" s="26" t="s">
        <v>41</v>
      </c>
      <c r="C40" s="9">
        <v>5581</v>
      </c>
      <c r="D40" s="7">
        <v>11609</v>
      </c>
      <c r="E40" s="9">
        <v>1215301</v>
      </c>
      <c r="F40" s="27">
        <f t="shared" si="4"/>
        <v>217.75685361046408</v>
      </c>
      <c r="G40" s="17"/>
      <c r="H40" s="17"/>
      <c r="I40" s="55"/>
      <c r="J40" s="55"/>
    </row>
    <row r="41" spans="2:10" ht="18.75" x14ac:dyDescent="0.3">
      <c r="B41" s="26" t="s">
        <v>42</v>
      </c>
      <c r="C41" s="9">
        <v>6681</v>
      </c>
      <c r="D41" s="7">
        <v>14694</v>
      </c>
      <c r="E41" s="9">
        <v>1531641</v>
      </c>
      <c r="F41" s="27">
        <f t="shared" si="4"/>
        <v>229.25325550067356</v>
      </c>
      <c r="G41" s="17"/>
      <c r="H41" s="17"/>
      <c r="I41" s="55"/>
      <c r="J41" s="55"/>
    </row>
    <row r="42" spans="2:10" ht="18.75" x14ac:dyDescent="0.3">
      <c r="B42" s="26" t="s">
        <v>43</v>
      </c>
      <c r="C42" s="9">
        <v>9869</v>
      </c>
      <c r="D42" s="7">
        <v>22058</v>
      </c>
      <c r="E42" s="9">
        <v>2311066</v>
      </c>
      <c r="F42" s="27">
        <f t="shared" si="4"/>
        <v>234.1742831087243</v>
      </c>
      <c r="G42" s="17"/>
      <c r="H42" s="17"/>
      <c r="I42" s="55"/>
      <c r="J42" s="55"/>
    </row>
    <row r="43" spans="2:10" ht="18.75" x14ac:dyDescent="0.3">
      <c r="B43" s="26" t="s">
        <v>44</v>
      </c>
      <c r="C43" s="9">
        <v>6567</v>
      </c>
      <c r="D43" s="7">
        <v>14137</v>
      </c>
      <c r="E43" s="9">
        <v>1486750</v>
      </c>
      <c r="F43" s="27">
        <f t="shared" si="4"/>
        <v>226.39713720115731</v>
      </c>
      <c r="G43" s="17"/>
      <c r="H43" s="17"/>
      <c r="I43" s="55"/>
      <c r="J43" s="55"/>
    </row>
    <row r="44" spans="2:10" ht="18.75" x14ac:dyDescent="0.3">
      <c r="B44" s="26" t="s">
        <v>45</v>
      </c>
      <c r="C44" s="9">
        <v>5443</v>
      </c>
      <c r="D44" s="7">
        <v>11223</v>
      </c>
      <c r="E44" s="9">
        <v>1168427</v>
      </c>
      <c r="F44" s="27">
        <f t="shared" si="4"/>
        <v>214.66599301855595</v>
      </c>
      <c r="G44" s="17"/>
      <c r="H44" s="17"/>
      <c r="I44" s="55"/>
      <c r="J44" s="55"/>
    </row>
    <row r="45" spans="2:10" ht="18.75" x14ac:dyDescent="0.3">
      <c r="B45" s="26" t="s">
        <v>46</v>
      </c>
      <c r="C45" s="9">
        <v>7120</v>
      </c>
      <c r="D45" s="7">
        <v>15517</v>
      </c>
      <c r="E45" s="9">
        <v>1640738</v>
      </c>
      <c r="F45" s="27">
        <f t="shared" si="4"/>
        <v>230.44073033707866</v>
      </c>
      <c r="G45" s="17"/>
      <c r="H45" s="17"/>
      <c r="I45" s="55"/>
      <c r="J45" s="55"/>
    </row>
    <row r="46" spans="2:10" ht="18.75" x14ac:dyDescent="0.3">
      <c r="B46" s="39" t="s">
        <v>47</v>
      </c>
      <c r="C46" s="9">
        <v>6510</v>
      </c>
      <c r="D46" s="7">
        <v>13737</v>
      </c>
      <c r="E46" s="12">
        <v>1449723</v>
      </c>
      <c r="F46" s="27">
        <f t="shared" si="4"/>
        <v>222.69170506912442</v>
      </c>
      <c r="G46" s="17"/>
      <c r="H46" s="17"/>
      <c r="I46" s="55"/>
      <c r="J46" s="55"/>
    </row>
    <row r="47" spans="2:10" ht="19.5" thickBot="1" x14ac:dyDescent="0.35">
      <c r="B47" s="39" t="s">
        <v>48</v>
      </c>
      <c r="C47" s="56">
        <v>4988</v>
      </c>
      <c r="D47" s="7">
        <v>10489</v>
      </c>
      <c r="E47" s="12">
        <v>1102909</v>
      </c>
      <c r="F47" s="27">
        <f t="shared" si="4"/>
        <v>221.11246992782679</v>
      </c>
      <c r="G47" s="17"/>
      <c r="H47" s="17"/>
      <c r="I47" s="55"/>
      <c r="J47" s="55"/>
    </row>
    <row r="48" spans="2:10" ht="19.5" thickBot="1" x14ac:dyDescent="0.35">
      <c r="B48" s="29" t="s">
        <v>49</v>
      </c>
      <c r="C48" s="40">
        <f>SUM(C35:C47)</f>
        <v>92977</v>
      </c>
      <c r="D48" s="40">
        <f t="shared" ref="D48:E48" si="5">SUM(D35:D47)</f>
        <v>198568</v>
      </c>
      <c r="E48" s="40">
        <f t="shared" si="5"/>
        <v>20903576</v>
      </c>
      <c r="F48" s="31">
        <f t="shared" si="4"/>
        <v>224.82523634877444</v>
      </c>
      <c r="G48" s="17"/>
      <c r="H48" s="17"/>
      <c r="I48" s="55"/>
      <c r="J48" s="55"/>
    </row>
    <row r="49" spans="2:10" ht="19.5" thickBot="1" x14ac:dyDescent="0.35">
      <c r="B49" s="44"/>
      <c r="C49" s="45"/>
      <c r="D49" s="45"/>
      <c r="E49" s="45"/>
      <c r="F49" s="46"/>
      <c r="G49" s="17"/>
      <c r="H49" s="17"/>
      <c r="I49" s="55"/>
      <c r="J49" s="55"/>
    </row>
    <row r="50" spans="2:10" ht="19.5" thickBot="1" x14ac:dyDescent="0.35">
      <c r="B50" s="21" t="s">
        <v>50</v>
      </c>
      <c r="C50" s="42"/>
      <c r="D50" s="42"/>
      <c r="E50" s="42"/>
      <c r="F50" s="43"/>
      <c r="G50" s="17"/>
      <c r="H50" s="17"/>
      <c r="I50" s="55"/>
      <c r="J50" s="55"/>
    </row>
    <row r="51" spans="2:10" ht="18.75" x14ac:dyDescent="0.3">
      <c r="B51" s="24" t="s">
        <v>51</v>
      </c>
      <c r="C51" s="16">
        <v>5044</v>
      </c>
      <c r="D51" s="7">
        <v>10646</v>
      </c>
      <c r="E51" s="8">
        <v>1133790</v>
      </c>
      <c r="F51" s="27">
        <f t="shared" ref="F51:F58" si="6">E51/C51</f>
        <v>224.77993655828706</v>
      </c>
      <c r="G51" s="17"/>
      <c r="H51" s="17"/>
      <c r="I51" s="55"/>
      <c r="J51" s="55"/>
    </row>
    <row r="52" spans="2:10" ht="18.75" x14ac:dyDescent="0.3">
      <c r="B52" s="26" t="s">
        <v>52</v>
      </c>
      <c r="C52" s="9">
        <v>7818</v>
      </c>
      <c r="D52" s="7">
        <v>17521</v>
      </c>
      <c r="E52" s="9">
        <v>1860687</v>
      </c>
      <c r="F52" s="27">
        <f t="shared" si="6"/>
        <v>238.00038372985418</v>
      </c>
      <c r="G52" s="17"/>
      <c r="H52" s="17"/>
      <c r="I52" s="55"/>
      <c r="J52" s="55"/>
    </row>
    <row r="53" spans="2:10" ht="18.75" x14ac:dyDescent="0.3">
      <c r="B53" s="26" t="s">
        <v>53</v>
      </c>
      <c r="C53" s="9">
        <v>20851</v>
      </c>
      <c r="D53" s="7">
        <v>42693</v>
      </c>
      <c r="E53" s="9">
        <v>4501168</v>
      </c>
      <c r="F53" s="27">
        <f t="shared" si="6"/>
        <v>215.87300369286845</v>
      </c>
      <c r="G53" s="17"/>
      <c r="H53" s="17"/>
      <c r="I53" s="55"/>
      <c r="J53" s="55"/>
    </row>
    <row r="54" spans="2:10" ht="18.75" x14ac:dyDescent="0.3">
      <c r="B54" s="26" t="s">
        <v>54</v>
      </c>
      <c r="C54" s="9">
        <v>6646</v>
      </c>
      <c r="D54" s="7">
        <v>14413</v>
      </c>
      <c r="E54" s="9">
        <v>1504742</v>
      </c>
      <c r="F54" s="27">
        <f t="shared" si="6"/>
        <v>226.41318086066806</v>
      </c>
      <c r="G54" s="17"/>
      <c r="H54" s="17"/>
      <c r="I54" s="55"/>
      <c r="J54" s="55"/>
    </row>
    <row r="55" spans="2:10" ht="18.75" x14ac:dyDescent="0.3">
      <c r="B55" s="26" t="s">
        <v>55</v>
      </c>
      <c r="C55" s="9">
        <v>5214</v>
      </c>
      <c r="D55" s="7">
        <v>10809</v>
      </c>
      <c r="E55" s="9">
        <v>1165771</v>
      </c>
      <c r="F55" s="27">
        <f t="shared" si="6"/>
        <v>223.58477176831607</v>
      </c>
      <c r="G55" s="17"/>
      <c r="H55" s="17"/>
      <c r="I55" s="55"/>
      <c r="J55" s="55"/>
    </row>
    <row r="56" spans="2:10" ht="18.75" x14ac:dyDescent="0.3">
      <c r="B56" s="26" t="s">
        <v>56</v>
      </c>
      <c r="C56" s="9">
        <v>5222</v>
      </c>
      <c r="D56" s="7">
        <v>10815</v>
      </c>
      <c r="E56" s="9">
        <v>1136792</v>
      </c>
      <c r="F56" s="27">
        <f t="shared" si="6"/>
        <v>217.69283799310608</v>
      </c>
      <c r="G56" s="17"/>
      <c r="H56" s="17"/>
      <c r="I56" s="55"/>
      <c r="J56" s="55"/>
    </row>
    <row r="57" spans="2:10" ht="19.5" thickBot="1" x14ac:dyDescent="0.35">
      <c r="B57" s="26" t="s">
        <v>57</v>
      </c>
      <c r="C57" s="10">
        <v>7405</v>
      </c>
      <c r="D57" s="7">
        <v>15274</v>
      </c>
      <c r="E57" s="9">
        <v>1606836</v>
      </c>
      <c r="F57" s="27">
        <f t="shared" si="6"/>
        <v>216.99338284942607</v>
      </c>
      <c r="G57" s="17"/>
      <c r="H57" s="17"/>
      <c r="I57" s="55"/>
      <c r="J57" s="55"/>
    </row>
    <row r="58" spans="2:10" ht="19.5" thickBot="1" x14ac:dyDescent="0.35">
      <c r="B58" s="29" t="s">
        <v>49</v>
      </c>
      <c r="C58" s="40">
        <f>SUM(C51:C57)</f>
        <v>58200</v>
      </c>
      <c r="D58" s="40">
        <f t="shared" ref="D58:E58" si="7">SUM(D51:D57)</f>
        <v>122171</v>
      </c>
      <c r="E58" s="40">
        <f t="shared" si="7"/>
        <v>12909786</v>
      </c>
      <c r="F58" s="31">
        <f t="shared" si="6"/>
        <v>221.81762886597937</v>
      </c>
      <c r="G58" s="17"/>
      <c r="H58" s="17"/>
      <c r="I58" s="55"/>
      <c r="J58" s="55"/>
    </row>
    <row r="59" spans="2:10" ht="19.5" thickBot="1" x14ac:dyDescent="0.35">
      <c r="B59" s="44"/>
      <c r="C59" s="45"/>
      <c r="D59" s="45"/>
      <c r="E59" s="45"/>
      <c r="F59" s="46"/>
      <c r="G59" s="17"/>
      <c r="H59" s="17"/>
      <c r="I59" s="55"/>
      <c r="J59" s="55"/>
    </row>
    <row r="60" spans="2:10" ht="19.5" thickBot="1" x14ac:dyDescent="0.35">
      <c r="B60" s="21" t="s">
        <v>58</v>
      </c>
      <c r="C60" s="42"/>
      <c r="D60" s="42"/>
      <c r="E60" s="42"/>
      <c r="F60" s="43"/>
      <c r="G60" s="17"/>
      <c r="H60" s="17"/>
      <c r="I60" s="55"/>
      <c r="J60" s="55"/>
    </row>
    <row r="61" spans="2:10" ht="18.75" x14ac:dyDescent="0.3">
      <c r="B61" s="24" t="s">
        <v>59</v>
      </c>
      <c r="C61" s="16">
        <v>8196</v>
      </c>
      <c r="D61" s="7">
        <v>17623</v>
      </c>
      <c r="E61" s="8">
        <v>1848557</v>
      </c>
      <c r="F61" s="27">
        <f t="shared" ref="F61:F69" si="8">E61/C61</f>
        <v>225.54380185456321</v>
      </c>
      <c r="G61" s="17"/>
      <c r="H61" s="17"/>
      <c r="I61" s="55"/>
      <c r="J61" s="55"/>
    </row>
    <row r="62" spans="2:10" ht="18.75" x14ac:dyDescent="0.3">
      <c r="B62" s="26" t="s">
        <v>60</v>
      </c>
      <c r="C62" s="9">
        <v>9085</v>
      </c>
      <c r="D62" s="7">
        <v>19049</v>
      </c>
      <c r="E62" s="9">
        <v>2007686</v>
      </c>
      <c r="F62" s="27">
        <f t="shared" si="8"/>
        <v>220.98910291689597</v>
      </c>
      <c r="G62" s="17"/>
      <c r="H62" s="17"/>
      <c r="I62" s="55"/>
      <c r="J62" s="55"/>
    </row>
    <row r="63" spans="2:10" ht="18.75" x14ac:dyDescent="0.3">
      <c r="B63" s="26" t="s">
        <v>61</v>
      </c>
      <c r="C63" s="9">
        <v>10882</v>
      </c>
      <c r="D63" s="7">
        <v>22223</v>
      </c>
      <c r="E63" s="9">
        <v>2338198</v>
      </c>
      <c r="F63" s="27">
        <f t="shared" si="8"/>
        <v>214.8684065429149</v>
      </c>
      <c r="G63" s="17"/>
      <c r="H63" s="17"/>
      <c r="I63" s="55"/>
      <c r="J63" s="55"/>
    </row>
    <row r="64" spans="2:10" ht="18.75" x14ac:dyDescent="0.3">
      <c r="B64" s="26" t="s">
        <v>62</v>
      </c>
      <c r="C64" s="9">
        <v>5020</v>
      </c>
      <c r="D64" s="7">
        <v>11319</v>
      </c>
      <c r="E64" s="9">
        <v>1202842</v>
      </c>
      <c r="F64" s="27">
        <f t="shared" si="8"/>
        <v>239.60996015936254</v>
      </c>
      <c r="G64" s="17"/>
      <c r="H64" s="17"/>
      <c r="I64" s="55"/>
      <c r="J64" s="55"/>
    </row>
    <row r="65" spans="2:10" ht="18.75" x14ac:dyDescent="0.3">
      <c r="B65" s="26" t="s">
        <v>63</v>
      </c>
      <c r="C65" s="9">
        <v>3760</v>
      </c>
      <c r="D65" s="7">
        <v>7840</v>
      </c>
      <c r="E65" s="9">
        <v>822529</v>
      </c>
      <c r="F65" s="27">
        <f t="shared" si="8"/>
        <v>218.75771276595745</v>
      </c>
      <c r="G65" s="17"/>
      <c r="H65" s="17"/>
      <c r="I65" s="55"/>
      <c r="J65" s="55"/>
    </row>
    <row r="66" spans="2:10" ht="18.75" x14ac:dyDescent="0.3">
      <c r="B66" s="26" t="s">
        <v>64</v>
      </c>
      <c r="C66" s="9">
        <v>6946</v>
      </c>
      <c r="D66" s="7">
        <v>14672</v>
      </c>
      <c r="E66" s="9">
        <v>1540965</v>
      </c>
      <c r="F66" s="27">
        <f t="shared" si="8"/>
        <v>221.84926576446875</v>
      </c>
      <c r="G66" s="75">
        <f>D66+D67</f>
        <v>19845</v>
      </c>
      <c r="H66" s="17"/>
      <c r="I66" s="55"/>
      <c r="J66" s="55"/>
    </row>
    <row r="67" spans="2:10" ht="18.75" x14ac:dyDescent="0.3">
      <c r="B67" s="26" t="s">
        <v>65</v>
      </c>
      <c r="C67" s="9">
        <v>2402</v>
      </c>
      <c r="D67" s="7">
        <v>5173</v>
      </c>
      <c r="E67" s="9">
        <v>540244</v>
      </c>
      <c r="F67" s="27">
        <f t="shared" si="8"/>
        <v>224.9142381348876</v>
      </c>
      <c r="G67" s="75">
        <f>D68</f>
        <v>18815</v>
      </c>
      <c r="H67" s="17"/>
      <c r="I67" s="55"/>
      <c r="J67" s="55"/>
    </row>
    <row r="68" spans="2:10" ht="19.5" thickBot="1" x14ac:dyDescent="0.35">
      <c r="B68" s="26" t="s">
        <v>66</v>
      </c>
      <c r="C68" s="9">
        <v>9077</v>
      </c>
      <c r="D68" s="7">
        <v>18815</v>
      </c>
      <c r="E68" s="9">
        <v>1991976</v>
      </c>
      <c r="F68" s="27">
        <f t="shared" si="8"/>
        <v>219.45312327861629</v>
      </c>
      <c r="G68" s="17"/>
      <c r="H68" s="17"/>
      <c r="I68" s="55"/>
      <c r="J68" s="55"/>
    </row>
    <row r="69" spans="2:10" ht="19.5" thickBot="1" x14ac:dyDescent="0.35">
      <c r="B69" s="29" t="s">
        <v>49</v>
      </c>
      <c r="C69" s="40">
        <f>SUM(C61:C68)</f>
        <v>55368</v>
      </c>
      <c r="D69" s="40">
        <f>SUM(D61:D68)</f>
        <v>116714</v>
      </c>
      <c r="E69" s="40">
        <f>SUM(E61:E68)</f>
        <v>12292997</v>
      </c>
      <c r="F69" s="31">
        <f t="shared" si="8"/>
        <v>222.02349732697587</v>
      </c>
      <c r="G69" s="17"/>
      <c r="H69" s="17"/>
      <c r="I69" s="55"/>
      <c r="J69" s="55"/>
    </row>
    <row r="70" spans="2:10" ht="19.5" thickBot="1" x14ac:dyDescent="0.35">
      <c r="B70" s="44"/>
      <c r="C70" s="45"/>
      <c r="D70" s="45"/>
      <c r="E70" s="45"/>
      <c r="F70" s="46"/>
      <c r="G70" s="17"/>
      <c r="H70" s="17"/>
      <c r="I70" s="55"/>
      <c r="J70" s="55"/>
    </row>
    <row r="71" spans="2:10" ht="19.5" thickBot="1" x14ac:dyDescent="0.35">
      <c r="B71" s="21" t="s">
        <v>67</v>
      </c>
      <c r="C71" s="42"/>
      <c r="D71" s="42"/>
      <c r="E71" s="42"/>
      <c r="F71" s="43"/>
      <c r="G71" s="17"/>
      <c r="H71" s="17"/>
      <c r="I71" s="55"/>
      <c r="J71" s="55"/>
    </row>
    <row r="72" spans="2:10" ht="18.75" x14ac:dyDescent="0.3">
      <c r="B72" s="24" t="s">
        <v>68</v>
      </c>
      <c r="C72" s="16">
        <v>3943</v>
      </c>
      <c r="D72" s="7">
        <v>8577</v>
      </c>
      <c r="E72" s="8">
        <v>896087</v>
      </c>
      <c r="F72" s="27">
        <f t="shared" ref="F72:F78" si="9">E72/C72</f>
        <v>227.26020796347959</v>
      </c>
      <c r="G72" s="17"/>
      <c r="H72" s="17"/>
      <c r="I72" s="55"/>
      <c r="J72" s="55"/>
    </row>
    <row r="73" spans="2:10" ht="18.75" x14ac:dyDescent="0.3">
      <c r="B73" s="26" t="s">
        <v>69</v>
      </c>
      <c r="C73" s="9">
        <v>6719</v>
      </c>
      <c r="D73" s="7">
        <v>13218</v>
      </c>
      <c r="E73" s="9">
        <v>1380374</v>
      </c>
      <c r="F73" s="27">
        <f t="shared" si="9"/>
        <v>205.44336954904003</v>
      </c>
      <c r="G73" s="17"/>
      <c r="H73" s="17"/>
      <c r="I73" s="55"/>
      <c r="J73" s="55"/>
    </row>
    <row r="74" spans="2:10" ht="18.75" x14ac:dyDescent="0.3">
      <c r="B74" s="26" t="s">
        <v>67</v>
      </c>
      <c r="C74" s="9">
        <v>7973</v>
      </c>
      <c r="D74" s="7">
        <v>16949</v>
      </c>
      <c r="E74" s="9">
        <v>1770597</v>
      </c>
      <c r="F74" s="27">
        <f t="shared" si="9"/>
        <v>222.07412517245703</v>
      </c>
      <c r="G74" s="17"/>
      <c r="H74" s="17"/>
      <c r="I74" s="55"/>
      <c r="J74" s="55"/>
    </row>
    <row r="75" spans="2:10" ht="18.75" x14ac:dyDescent="0.3">
      <c r="B75" s="26" t="s">
        <v>70</v>
      </c>
      <c r="C75" s="9">
        <v>4184</v>
      </c>
      <c r="D75" s="7">
        <v>8697</v>
      </c>
      <c r="E75" s="9">
        <v>911610</v>
      </c>
      <c r="F75" s="27">
        <f t="shared" si="9"/>
        <v>217.88001912045888</v>
      </c>
      <c r="G75" s="17"/>
      <c r="H75" s="17"/>
      <c r="I75" s="55"/>
      <c r="J75" s="55"/>
    </row>
    <row r="76" spans="2:10" ht="18.75" x14ac:dyDescent="0.3">
      <c r="B76" s="26" t="s">
        <v>71</v>
      </c>
      <c r="C76" s="9">
        <v>6027</v>
      </c>
      <c r="D76" s="7">
        <v>12782</v>
      </c>
      <c r="E76" s="9">
        <v>1338579</v>
      </c>
      <c r="F76" s="27">
        <f t="shared" si="9"/>
        <v>222.09706321553011</v>
      </c>
      <c r="G76" s="17"/>
      <c r="H76" s="17"/>
      <c r="I76" s="55"/>
      <c r="J76" s="55"/>
    </row>
    <row r="77" spans="2:10" ht="19.5" thickBot="1" x14ac:dyDescent="0.35">
      <c r="B77" s="28" t="s">
        <v>72</v>
      </c>
      <c r="C77" s="10">
        <v>3903</v>
      </c>
      <c r="D77" s="7">
        <v>8579</v>
      </c>
      <c r="E77" s="10">
        <v>883508</v>
      </c>
      <c r="F77" s="27">
        <f t="shared" si="9"/>
        <v>226.36638483218039</v>
      </c>
      <c r="G77" s="17"/>
      <c r="H77" s="17"/>
      <c r="I77" s="55"/>
      <c r="J77" s="55"/>
    </row>
    <row r="78" spans="2:10" ht="19.5" thickBot="1" x14ac:dyDescent="0.35">
      <c r="B78" s="29" t="s">
        <v>49</v>
      </c>
      <c r="C78" s="40">
        <f>SUM(C72:C77)</f>
        <v>32749</v>
      </c>
      <c r="D78" s="40">
        <f t="shared" ref="D78:E78" si="10">SUM(D72:D77)</f>
        <v>68802</v>
      </c>
      <c r="E78" s="40">
        <f t="shared" si="10"/>
        <v>7180755</v>
      </c>
      <c r="F78" s="31">
        <f t="shared" si="9"/>
        <v>219.26638981342941</v>
      </c>
      <c r="G78" s="17"/>
      <c r="H78" s="17"/>
      <c r="I78" s="55"/>
      <c r="J78" s="55"/>
    </row>
    <row r="79" spans="2:10" ht="19.5" thickBot="1" x14ac:dyDescent="0.35">
      <c r="B79" s="44"/>
      <c r="C79" s="45"/>
      <c r="D79" s="45"/>
      <c r="E79" s="45"/>
      <c r="F79" s="46"/>
      <c r="G79" s="17"/>
      <c r="H79" s="17"/>
      <c r="I79" s="55"/>
      <c r="J79" s="55"/>
    </row>
    <row r="80" spans="2:10" ht="19.5" thickBot="1" x14ac:dyDescent="0.35">
      <c r="B80" s="21" t="s">
        <v>73</v>
      </c>
      <c r="C80" s="42"/>
      <c r="D80" s="42"/>
      <c r="E80" s="42"/>
      <c r="F80" s="43"/>
      <c r="G80" s="17"/>
      <c r="H80" s="17"/>
      <c r="I80" s="55"/>
      <c r="J80" s="55"/>
    </row>
    <row r="81" spans="2:10" ht="18.75" x14ac:dyDescent="0.3">
      <c r="B81" s="24" t="s">
        <v>74</v>
      </c>
      <c r="C81" s="16">
        <v>2303</v>
      </c>
      <c r="D81" s="7">
        <v>4739</v>
      </c>
      <c r="E81" s="8">
        <v>492434</v>
      </c>
      <c r="F81" s="27">
        <f t="shared" ref="F81:F91" si="11">E81/C81</f>
        <v>213.82283977420755</v>
      </c>
      <c r="G81" s="17"/>
      <c r="H81" s="17"/>
      <c r="I81" s="55"/>
      <c r="J81" s="55"/>
    </row>
    <row r="82" spans="2:10" ht="18.75" x14ac:dyDescent="0.3">
      <c r="B82" s="26" t="s">
        <v>75</v>
      </c>
      <c r="C82" s="9">
        <v>232</v>
      </c>
      <c r="D82" s="7">
        <v>521</v>
      </c>
      <c r="E82" s="9">
        <v>51198</v>
      </c>
      <c r="F82" s="27">
        <f t="shared" si="11"/>
        <v>220.68103448275863</v>
      </c>
      <c r="G82" s="17"/>
      <c r="H82" s="17"/>
      <c r="I82" s="55"/>
      <c r="J82" s="55"/>
    </row>
    <row r="83" spans="2:10" ht="18.75" x14ac:dyDescent="0.3">
      <c r="B83" s="26" t="s">
        <v>76</v>
      </c>
      <c r="C83" s="9">
        <v>6557</v>
      </c>
      <c r="D83" s="7">
        <v>13548</v>
      </c>
      <c r="E83" s="9">
        <v>1443655</v>
      </c>
      <c r="F83" s="27">
        <f t="shared" si="11"/>
        <v>220.17004727771848</v>
      </c>
      <c r="G83" s="17"/>
      <c r="H83" s="17"/>
      <c r="I83" s="55"/>
      <c r="J83" s="55"/>
    </row>
    <row r="84" spans="2:10" ht="18.75" x14ac:dyDescent="0.3">
      <c r="B84" s="26" t="s">
        <v>73</v>
      </c>
      <c r="C84" s="9">
        <v>10891</v>
      </c>
      <c r="D84" s="7">
        <v>21689</v>
      </c>
      <c r="E84" s="9">
        <v>2300404</v>
      </c>
      <c r="F84" s="27">
        <f t="shared" si="11"/>
        <v>211.22064089615279</v>
      </c>
      <c r="G84" s="17"/>
      <c r="H84" s="17"/>
      <c r="I84" s="55"/>
      <c r="J84" s="55"/>
    </row>
    <row r="85" spans="2:10" ht="18.75" x14ac:dyDescent="0.3">
      <c r="B85" s="26" t="s">
        <v>77</v>
      </c>
      <c r="C85" s="9">
        <v>7950</v>
      </c>
      <c r="D85" s="7">
        <v>16841</v>
      </c>
      <c r="E85" s="9">
        <v>1794643</v>
      </c>
      <c r="F85" s="27">
        <f t="shared" si="11"/>
        <v>225.74125786163523</v>
      </c>
      <c r="G85" s="17"/>
      <c r="H85" s="17"/>
      <c r="I85" s="55"/>
      <c r="J85" s="55"/>
    </row>
    <row r="86" spans="2:10" ht="18.75" x14ac:dyDescent="0.3">
      <c r="B86" s="26" t="s">
        <v>78</v>
      </c>
      <c r="C86" s="9">
        <v>6941</v>
      </c>
      <c r="D86" s="7">
        <v>14222</v>
      </c>
      <c r="E86" s="9">
        <v>1519906</v>
      </c>
      <c r="F86" s="27">
        <f t="shared" si="11"/>
        <v>218.9750756375162</v>
      </c>
      <c r="G86" s="17"/>
      <c r="H86" s="17"/>
      <c r="I86" s="55"/>
      <c r="J86" s="55"/>
    </row>
    <row r="87" spans="2:10" ht="18.75" x14ac:dyDescent="0.3">
      <c r="B87" s="26" t="s">
        <v>79</v>
      </c>
      <c r="C87" s="9">
        <v>2822</v>
      </c>
      <c r="D87" s="7">
        <v>5824</v>
      </c>
      <c r="E87" s="9">
        <v>609563</v>
      </c>
      <c r="F87" s="27">
        <f t="shared" si="11"/>
        <v>216.00389794472005</v>
      </c>
      <c r="G87" s="17"/>
      <c r="H87" s="17"/>
      <c r="I87" s="55"/>
      <c r="J87" s="55"/>
    </row>
    <row r="88" spans="2:10" ht="18.75" x14ac:dyDescent="0.3">
      <c r="B88" s="26" t="s">
        <v>80</v>
      </c>
      <c r="C88" s="9">
        <v>5198</v>
      </c>
      <c r="D88" s="7">
        <v>10970</v>
      </c>
      <c r="E88" s="9">
        <v>1156332</v>
      </c>
      <c r="F88" s="27">
        <f t="shared" si="11"/>
        <v>222.45709888418622</v>
      </c>
      <c r="G88" s="17"/>
      <c r="H88" s="17"/>
      <c r="I88" s="55"/>
      <c r="J88" s="55"/>
    </row>
    <row r="89" spans="2:10" ht="18.75" x14ac:dyDescent="0.3">
      <c r="B89" s="26" t="s">
        <v>81</v>
      </c>
      <c r="C89" s="9">
        <v>2058</v>
      </c>
      <c r="D89" s="7">
        <v>4164</v>
      </c>
      <c r="E89" s="9">
        <v>445174</v>
      </c>
      <c r="F89" s="27">
        <f t="shared" si="11"/>
        <v>216.31389698736638</v>
      </c>
      <c r="G89" s="17"/>
      <c r="H89" s="17"/>
      <c r="I89" s="55"/>
      <c r="J89" s="55"/>
    </row>
    <row r="90" spans="2:10" ht="19.5" thickBot="1" x14ac:dyDescent="0.35">
      <c r="B90" s="28" t="s">
        <v>82</v>
      </c>
      <c r="C90" s="10">
        <v>9063</v>
      </c>
      <c r="D90" s="7">
        <v>18404</v>
      </c>
      <c r="E90" s="10">
        <v>1939046</v>
      </c>
      <c r="F90" s="27">
        <f t="shared" si="11"/>
        <v>213.95189230938982</v>
      </c>
      <c r="G90" s="17"/>
      <c r="H90" s="17"/>
      <c r="I90" s="55"/>
      <c r="J90" s="55"/>
    </row>
    <row r="91" spans="2:10" ht="19.5" thickBot="1" x14ac:dyDescent="0.35">
      <c r="B91" s="29" t="s">
        <v>49</v>
      </c>
      <c r="C91" s="40">
        <f>SUM(C81:C90)</f>
        <v>54015</v>
      </c>
      <c r="D91" s="40">
        <f t="shared" ref="D91:E91" si="12">SUM(D81:D90)</f>
        <v>110922</v>
      </c>
      <c r="E91" s="40">
        <f t="shared" si="12"/>
        <v>11752355</v>
      </c>
      <c r="F91" s="31">
        <f t="shared" si="11"/>
        <v>217.57576599092846</v>
      </c>
      <c r="G91" s="17"/>
      <c r="H91" s="17"/>
      <c r="I91" s="55"/>
      <c r="J91" s="55"/>
    </row>
    <row r="92" spans="2:10" ht="19.5" thickBot="1" x14ac:dyDescent="0.35">
      <c r="B92" s="44"/>
      <c r="C92" s="45"/>
      <c r="D92" s="45"/>
      <c r="E92" s="45"/>
      <c r="F92" s="46"/>
      <c r="G92" s="17"/>
      <c r="H92" s="17"/>
      <c r="I92" s="55"/>
      <c r="J92" s="55"/>
    </row>
    <row r="93" spans="2:10" ht="19.5" thickBot="1" x14ac:dyDescent="0.35">
      <c r="B93" s="21" t="s">
        <v>83</v>
      </c>
      <c r="C93" s="42"/>
      <c r="D93" s="42"/>
      <c r="E93" s="42"/>
      <c r="F93" s="43"/>
      <c r="G93" s="17"/>
      <c r="H93" s="17"/>
      <c r="I93" s="55"/>
      <c r="J93" s="55"/>
    </row>
    <row r="94" spans="2:10" ht="18.75" x14ac:dyDescent="0.3">
      <c r="B94" s="24" t="s">
        <v>84</v>
      </c>
      <c r="C94" s="16">
        <v>5480</v>
      </c>
      <c r="D94" s="7">
        <v>11274</v>
      </c>
      <c r="E94" s="8">
        <v>1179196</v>
      </c>
      <c r="F94" s="27">
        <f t="shared" ref="F94:F103" si="13">E94/C94</f>
        <v>215.18175182481752</v>
      </c>
      <c r="G94" s="17"/>
      <c r="H94" s="17"/>
      <c r="I94" s="55"/>
      <c r="J94" s="55"/>
    </row>
    <row r="95" spans="2:10" ht="18.75" x14ac:dyDescent="0.3">
      <c r="B95" s="26" t="s">
        <v>85</v>
      </c>
      <c r="C95" s="9">
        <v>7471</v>
      </c>
      <c r="D95" s="7">
        <v>15792</v>
      </c>
      <c r="E95" s="9">
        <v>1668236</v>
      </c>
      <c r="F95" s="27">
        <f t="shared" si="13"/>
        <v>223.29487351090884</v>
      </c>
      <c r="G95" s="17"/>
      <c r="H95" s="17"/>
      <c r="I95" s="55"/>
      <c r="J95" s="55"/>
    </row>
    <row r="96" spans="2:10" ht="18.75" x14ac:dyDescent="0.3">
      <c r="B96" s="26" t="s">
        <v>86</v>
      </c>
      <c r="C96" s="9">
        <v>4045</v>
      </c>
      <c r="D96" s="7">
        <v>8749</v>
      </c>
      <c r="E96" s="9">
        <v>922470</v>
      </c>
      <c r="F96" s="27">
        <f t="shared" si="13"/>
        <v>228.05191594561185</v>
      </c>
      <c r="G96" s="17"/>
      <c r="H96" s="17"/>
      <c r="I96" s="55"/>
      <c r="J96" s="55"/>
    </row>
    <row r="97" spans="2:10" ht="18.75" x14ac:dyDescent="0.3">
      <c r="B97" s="26" t="s">
        <v>87</v>
      </c>
      <c r="C97" s="9">
        <v>2537</v>
      </c>
      <c r="D97" s="7">
        <v>4886</v>
      </c>
      <c r="E97" s="9">
        <v>517848</v>
      </c>
      <c r="F97" s="27">
        <f t="shared" si="13"/>
        <v>204.11824990145843</v>
      </c>
      <c r="G97" s="17"/>
      <c r="H97" s="17"/>
      <c r="I97" s="55"/>
      <c r="J97" s="55"/>
    </row>
    <row r="98" spans="2:10" ht="18.75" x14ac:dyDescent="0.3">
      <c r="B98" s="26" t="s">
        <v>88</v>
      </c>
      <c r="C98" s="9">
        <v>4937</v>
      </c>
      <c r="D98" s="7">
        <v>10598</v>
      </c>
      <c r="E98" s="9">
        <v>1122777</v>
      </c>
      <c r="F98" s="27">
        <f t="shared" si="13"/>
        <v>227.42090338262102</v>
      </c>
      <c r="G98" s="17"/>
      <c r="H98" s="17"/>
      <c r="I98" s="55"/>
      <c r="J98" s="55"/>
    </row>
    <row r="99" spans="2:10" ht="18.75" x14ac:dyDescent="0.3">
      <c r="B99" s="26" t="s">
        <v>89</v>
      </c>
      <c r="C99" s="9">
        <v>1128</v>
      </c>
      <c r="D99" s="7">
        <v>2706</v>
      </c>
      <c r="E99" s="9">
        <v>284716</v>
      </c>
      <c r="F99" s="27">
        <f t="shared" si="13"/>
        <v>252.4078014184397</v>
      </c>
      <c r="G99" s="17"/>
      <c r="H99" s="17"/>
      <c r="I99" s="55"/>
      <c r="J99" s="55"/>
    </row>
    <row r="100" spans="2:10" ht="18.75" x14ac:dyDescent="0.3">
      <c r="B100" s="26" t="s">
        <v>90</v>
      </c>
      <c r="C100" s="9">
        <v>8062</v>
      </c>
      <c r="D100" s="7">
        <v>16656</v>
      </c>
      <c r="E100" s="9">
        <v>1774600</v>
      </c>
      <c r="F100" s="27">
        <f t="shared" si="13"/>
        <v>220.11907715207144</v>
      </c>
      <c r="G100" s="75">
        <f>D100+D101</f>
        <v>29956</v>
      </c>
      <c r="H100" s="17"/>
      <c r="I100" s="55"/>
      <c r="J100" s="55"/>
    </row>
    <row r="101" spans="2:10" ht="18.75" x14ac:dyDescent="0.3">
      <c r="B101" s="26" t="s">
        <v>91</v>
      </c>
      <c r="C101" s="9">
        <v>6969</v>
      </c>
      <c r="D101" s="7">
        <v>13300</v>
      </c>
      <c r="E101" s="9">
        <v>1445494</v>
      </c>
      <c r="F101" s="27">
        <f t="shared" si="13"/>
        <v>207.41770698809012</v>
      </c>
      <c r="G101" s="17"/>
      <c r="H101" s="17"/>
      <c r="I101" s="55"/>
      <c r="J101" s="55"/>
    </row>
    <row r="102" spans="2:10" ht="18.75" x14ac:dyDescent="0.3">
      <c r="B102" s="47" t="s">
        <v>92</v>
      </c>
      <c r="C102" s="9">
        <v>4225</v>
      </c>
      <c r="D102" s="7">
        <v>9178</v>
      </c>
      <c r="E102" s="9">
        <v>953438</v>
      </c>
      <c r="F102" s="27">
        <f t="shared" si="13"/>
        <v>225.66579881656804</v>
      </c>
      <c r="G102" s="17"/>
      <c r="H102" s="17"/>
      <c r="I102" s="55"/>
      <c r="J102" s="55"/>
    </row>
    <row r="103" spans="2:10" ht="19.5" thickBot="1" x14ac:dyDescent="0.35">
      <c r="B103" s="26" t="s">
        <v>93</v>
      </c>
      <c r="C103" s="10">
        <v>6357</v>
      </c>
      <c r="D103" s="7">
        <v>13281</v>
      </c>
      <c r="E103" s="9">
        <v>1399992</v>
      </c>
      <c r="F103" s="27">
        <f t="shared" si="13"/>
        <v>220.22840962718263</v>
      </c>
      <c r="G103" s="17"/>
      <c r="H103" s="17"/>
      <c r="I103" s="55"/>
      <c r="J103" s="55"/>
    </row>
    <row r="104" spans="2:10" ht="19.5" thickBot="1" x14ac:dyDescent="0.35">
      <c r="B104" s="29" t="s">
        <v>49</v>
      </c>
      <c r="C104" s="40">
        <f>SUM(C94:C103)</f>
        <v>51211</v>
      </c>
      <c r="D104" s="40">
        <f t="shared" ref="D104:E104" si="14">SUM(D94:D103)</f>
        <v>106420</v>
      </c>
      <c r="E104" s="40">
        <f t="shared" si="14"/>
        <v>11268767</v>
      </c>
      <c r="F104" s="31">
        <f t="shared" ref="F104" si="15">E104/C104</f>
        <v>220.04582999746148</v>
      </c>
      <c r="G104" s="17"/>
      <c r="H104" s="17"/>
      <c r="I104" s="55"/>
      <c r="J104" s="55"/>
    </row>
    <row r="105" spans="2:10" ht="19.5" thickBot="1" x14ac:dyDescent="0.35">
      <c r="B105" s="44"/>
      <c r="C105" s="45"/>
      <c r="D105" s="45"/>
      <c r="E105" s="45"/>
      <c r="F105" s="46"/>
      <c r="G105" s="17"/>
      <c r="H105" s="17"/>
      <c r="I105" s="55"/>
      <c r="J105" s="55"/>
    </row>
    <row r="106" spans="2:10" ht="19.5" thickBot="1" x14ac:dyDescent="0.35">
      <c r="B106" s="34" t="s">
        <v>94</v>
      </c>
      <c r="C106" s="42"/>
      <c r="D106" s="42"/>
      <c r="E106" s="42"/>
      <c r="F106" s="43"/>
      <c r="G106" s="17"/>
      <c r="H106" s="17"/>
      <c r="I106" s="55"/>
      <c r="J106" s="55"/>
    </row>
    <row r="107" spans="2:10" ht="18.75" x14ac:dyDescent="0.3">
      <c r="B107" s="48" t="s">
        <v>95</v>
      </c>
      <c r="C107" s="60">
        <v>3843</v>
      </c>
      <c r="D107" s="7">
        <v>9201</v>
      </c>
      <c r="E107" s="8">
        <v>972823</v>
      </c>
      <c r="F107" s="27">
        <f t="shared" ref="F107:F120" si="16">E107/C107</f>
        <v>253.14155607598229</v>
      </c>
      <c r="G107" s="17"/>
      <c r="H107" s="17"/>
      <c r="I107" s="55"/>
      <c r="J107" s="55"/>
    </row>
    <row r="108" spans="2:10" ht="18.75" x14ac:dyDescent="0.3">
      <c r="B108" s="49" t="s">
        <v>96</v>
      </c>
      <c r="C108" s="9">
        <v>5484</v>
      </c>
      <c r="D108" s="7">
        <v>11186</v>
      </c>
      <c r="E108" s="8">
        <v>1182359</v>
      </c>
      <c r="F108" s="27">
        <f t="shared" si="16"/>
        <v>215.60156819839534</v>
      </c>
      <c r="G108" s="17"/>
      <c r="H108" s="17"/>
      <c r="I108" s="55"/>
      <c r="J108" s="55"/>
    </row>
    <row r="109" spans="2:10" ht="18.75" x14ac:dyDescent="0.3">
      <c r="B109" s="49" t="s">
        <v>97</v>
      </c>
      <c r="C109" s="9">
        <v>860</v>
      </c>
      <c r="D109" s="7">
        <v>1969</v>
      </c>
      <c r="E109" s="7">
        <v>215976</v>
      </c>
      <c r="F109" s="27">
        <f t="shared" si="16"/>
        <v>251.13488372093022</v>
      </c>
      <c r="G109" s="17"/>
      <c r="H109" s="17"/>
      <c r="I109" s="55"/>
      <c r="J109" s="55"/>
    </row>
    <row r="110" spans="2:10" ht="18.75" x14ac:dyDescent="0.3">
      <c r="B110" s="49" t="s">
        <v>98</v>
      </c>
      <c r="C110" s="9">
        <v>7458</v>
      </c>
      <c r="D110" s="7">
        <v>16135</v>
      </c>
      <c r="E110" s="9">
        <v>1700523</v>
      </c>
      <c r="F110" s="27">
        <f t="shared" si="16"/>
        <v>228.01327433628319</v>
      </c>
      <c r="G110" s="17"/>
      <c r="H110" s="17"/>
      <c r="I110" s="55"/>
      <c r="J110" s="55"/>
    </row>
    <row r="111" spans="2:10" ht="18.75" x14ac:dyDescent="0.3">
      <c r="B111" s="26" t="s">
        <v>99</v>
      </c>
      <c r="C111" s="9">
        <v>4602</v>
      </c>
      <c r="D111" s="7">
        <v>10153</v>
      </c>
      <c r="E111" s="9">
        <v>1073839</v>
      </c>
      <c r="F111" s="27">
        <f t="shared" si="16"/>
        <v>233.34180790960451</v>
      </c>
      <c r="G111" s="17"/>
      <c r="H111" s="17"/>
      <c r="I111" s="55"/>
      <c r="J111" s="55"/>
    </row>
    <row r="112" spans="2:10" ht="18.75" x14ac:dyDescent="0.3">
      <c r="B112" s="26" t="s">
        <v>100</v>
      </c>
      <c r="C112" s="9">
        <v>3699</v>
      </c>
      <c r="D112" s="7">
        <v>8888</v>
      </c>
      <c r="E112" s="9">
        <v>940216</v>
      </c>
      <c r="F112" s="27">
        <f t="shared" si="16"/>
        <v>254.18113003514463</v>
      </c>
      <c r="G112" s="17"/>
      <c r="H112" s="17"/>
      <c r="I112" s="55"/>
      <c r="J112" s="55"/>
    </row>
    <row r="113" spans="2:10" ht="18.75" x14ac:dyDescent="0.3">
      <c r="B113" s="26" t="s">
        <v>101</v>
      </c>
      <c r="C113" s="9">
        <v>8576</v>
      </c>
      <c r="D113" s="7">
        <v>19593</v>
      </c>
      <c r="E113" s="9">
        <v>2040315</v>
      </c>
      <c r="F113" s="27">
        <f t="shared" si="16"/>
        <v>237.90986473880596</v>
      </c>
      <c r="G113" s="17"/>
      <c r="H113" s="17"/>
      <c r="I113" s="55"/>
      <c r="J113" s="55"/>
    </row>
    <row r="114" spans="2:10" ht="18.75" x14ac:dyDescent="0.3">
      <c r="B114" s="26" t="s">
        <v>102</v>
      </c>
      <c r="C114" s="9">
        <v>5713</v>
      </c>
      <c r="D114" s="7">
        <v>13180</v>
      </c>
      <c r="E114" s="9">
        <v>1383989</v>
      </c>
      <c r="F114" s="27">
        <f t="shared" si="16"/>
        <v>242.25258183091196</v>
      </c>
      <c r="G114" s="17"/>
      <c r="H114" s="17"/>
      <c r="I114" s="55"/>
      <c r="J114" s="55"/>
    </row>
    <row r="115" spans="2:10" ht="18.75" x14ac:dyDescent="0.3">
      <c r="B115" s="26" t="s">
        <v>103</v>
      </c>
      <c r="C115" s="9">
        <v>4901</v>
      </c>
      <c r="D115" s="7">
        <v>11686</v>
      </c>
      <c r="E115" s="9">
        <v>1208425</v>
      </c>
      <c r="F115" s="27">
        <f t="shared" si="16"/>
        <v>246.56702713731892</v>
      </c>
      <c r="G115" s="17"/>
      <c r="H115" s="17"/>
      <c r="I115" s="55"/>
      <c r="J115" s="55"/>
    </row>
    <row r="116" spans="2:10" ht="18.75" x14ac:dyDescent="0.3">
      <c r="B116" s="26" t="s">
        <v>104</v>
      </c>
      <c r="C116" s="9">
        <v>7115</v>
      </c>
      <c r="D116" s="7">
        <v>14560</v>
      </c>
      <c r="E116" s="9">
        <v>1545431</v>
      </c>
      <c r="F116" s="27">
        <f t="shared" si="16"/>
        <v>217.20744905130007</v>
      </c>
      <c r="G116" s="17"/>
      <c r="H116" s="17"/>
      <c r="I116" s="55"/>
      <c r="J116" s="55"/>
    </row>
    <row r="117" spans="2:10" ht="18.75" x14ac:dyDescent="0.3">
      <c r="B117" s="26" t="s">
        <v>105</v>
      </c>
      <c r="C117" s="9">
        <v>8321</v>
      </c>
      <c r="D117" s="7">
        <v>19378</v>
      </c>
      <c r="E117" s="9">
        <v>2033602</v>
      </c>
      <c r="F117" s="27">
        <f t="shared" si="16"/>
        <v>244.39394303569281</v>
      </c>
      <c r="G117" s="17"/>
      <c r="H117" s="17"/>
      <c r="I117" s="55"/>
      <c r="J117" s="55"/>
    </row>
    <row r="118" spans="2:10" ht="18.75" x14ac:dyDescent="0.3">
      <c r="B118" s="26" t="s">
        <v>106</v>
      </c>
      <c r="C118" s="9">
        <v>15808</v>
      </c>
      <c r="D118" s="7">
        <v>34893</v>
      </c>
      <c r="E118" s="9">
        <v>3728041</v>
      </c>
      <c r="F118" s="27">
        <f t="shared" si="16"/>
        <v>235.83255313765181</v>
      </c>
      <c r="G118" s="17"/>
      <c r="H118" s="17"/>
      <c r="I118" s="55"/>
      <c r="J118" s="55"/>
    </row>
    <row r="119" spans="2:10" ht="18.75" x14ac:dyDescent="0.3">
      <c r="B119" s="26" t="s">
        <v>107</v>
      </c>
      <c r="C119" s="9">
        <v>5276</v>
      </c>
      <c r="D119" s="7">
        <v>12199</v>
      </c>
      <c r="E119" s="9">
        <v>1279686</v>
      </c>
      <c r="F119" s="27">
        <f t="shared" si="16"/>
        <v>242.54852160727825</v>
      </c>
      <c r="G119" s="17"/>
      <c r="H119" s="17"/>
      <c r="I119" s="55"/>
      <c r="J119" s="55"/>
    </row>
    <row r="120" spans="2:10" ht="19.5" thickBot="1" x14ac:dyDescent="0.35">
      <c r="B120" s="26" t="s">
        <v>108</v>
      </c>
      <c r="C120" s="10">
        <v>8140</v>
      </c>
      <c r="D120" s="7">
        <v>17543</v>
      </c>
      <c r="E120" s="9">
        <v>1844479</v>
      </c>
      <c r="F120" s="27">
        <f t="shared" si="16"/>
        <v>226.59447174447175</v>
      </c>
      <c r="G120" s="17"/>
      <c r="H120" s="17"/>
      <c r="I120" s="55"/>
      <c r="J120" s="55"/>
    </row>
    <row r="121" spans="2:10" ht="19.5" thickBot="1" x14ac:dyDescent="0.35">
      <c r="B121" s="29" t="s">
        <v>49</v>
      </c>
      <c r="C121" s="40">
        <f>SUM(C107:C120)</f>
        <v>89796</v>
      </c>
      <c r="D121" s="40">
        <f t="shared" ref="D121:E121" si="17">SUM(D107:D120)</f>
        <v>200564</v>
      </c>
      <c r="E121" s="40">
        <f t="shared" si="17"/>
        <v>21149704</v>
      </c>
      <c r="F121" s="31">
        <f t="shared" ref="F121" si="18">E121/C121</f>
        <v>235.53058042674508</v>
      </c>
      <c r="G121" s="17"/>
      <c r="H121" s="17"/>
      <c r="I121" s="55"/>
      <c r="J121" s="55"/>
    </row>
    <row r="122" spans="2:10" ht="19.5" thickBot="1" x14ac:dyDescent="0.35">
      <c r="B122" s="44"/>
      <c r="C122" s="45"/>
      <c r="D122" s="45"/>
      <c r="E122" s="45"/>
      <c r="F122" s="46"/>
      <c r="G122" s="17"/>
      <c r="H122" s="17"/>
      <c r="I122" s="55"/>
      <c r="J122" s="55"/>
    </row>
    <row r="123" spans="2:10" ht="19.5" thickBot="1" x14ac:dyDescent="0.35">
      <c r="B123" s="21" t="s">
        <v>109</v>
      </c>
      <c r="C123" s="42"/>
      <c r="D123" s="42"/>
      <c r="E123" s="42"/>
      <c r="F123" s="43"/>
      <c r="G123" s="17"/>
      <c r="H123" s="17"/>
      <c r="I123" s="55"/>
      <c r="J123" s="55"/>
    </row>
    <row r="124" spans="2:10" ht="18.75" x14ac:dyDescent="0.3">
      <c r="B124" s="24" t="s">
        <v>110</v>
      </c>
      <c r="C124" s="16">
        <v>1478</v>
      </c>
      <c r="D124" s="7">
        <v>3336</v>
      </c>
      <c r="E124" s="8">
        <v>355097</v>
      </c>
      <c r="F124" s="27">
        <f t="shared" ref="F124:F133" si="19">E124/C124</f>
        <v>240.25507442489851</v>
      </c>
      <c r="G124" s="17"/>
      <c r="H124" s="17"/>
      <c r="I124" s="55"/>
      <c r="J124" s="55"/>
    </row>
    <row r="125" spans="2:10" ht="18.75" x14ac:dyDescent="0.3">
      <c r="B125" s="26" t="s">
        <v>111</v>
      </c>
      <c r="C125" s="9">
        <v>4715</v>
      </c>
      <c r="D125" s="7">
        <v>9681</v>
      </c>
      <c r="E125" s="9">
        <v>1030129</v>
      </c>
      <c r="F125" s="27">
        <f t="shared" si="19"/>
        <v>218.47910922587488</v>
      </c>
      <c r="G125" s="17"/>
      <c r="H125" s="17"/>
      <c r="I125" s="55"/>
      <c r="J125" s="55"/>
    </row>
    <row r="126" spans="2:10" ht="18.75" x14ac:dyDescent="0.3">
      <c r="B126" s="26" t="s">
        <v>112</v>
      </c>
      <c r="C126" s="9">
        <v>1629</v>
      </c>
      <c r="D126" s="7">
        <v>3451</v>
      </c>
      <c r="E126" s="9">
        <v>364787</v>
      </c>
      <c r="F126" s="27">
        <f t="shared" si="19"/>
        <v>223.93308778391651</v>
      </c>
      <c r="G126" s="17"/>
      <c r="H126" s="17"/>
      <c r="I126" s="55"/>
      <c r="J126" s="55"/>
    </row>
    <row r="127" spans="2:10" ht="18.75" x14ac:dyDescent="0.3">
      <c r="B127" s="26" t="s">
        <v>113</v>
      </c>
      <c r="C127" s="9">
        <v>4738</v>
      </c>
      <c r="D127" s="7">
        <v>9502</v>
      </c>
      <c r="E127" s="9">
        <v>1016599</v>
      </c>
      <c r="F127" s="27">
        <f t="shared" si="19"/>
        <v>214.56289573659771</v>
      </c>
      <c r="G127" s="17"/>
      <c r="H127" s="17"/>
      <c r="I127" s="55"/>
      <c r="J127" s="55"/>
    </row>
    <row r="128" spans="2:10" ht="18.75" x14ac:dyDescent="0.3">
      <c r="B128" s="26" t="s">
        <v>114</v>
      </c>
      <c r="C128" s="9">
        <v>7547</v>
      </c>
      <c r="D128" s="7">
        <v>13060</v>
      </c>
      <c r="E128" s="9">
        <v>1461786</v>
      </c>
      <c r="F128" s="27">
        <f t="shared" si="19"/>
        <v>193.69100304756856</v>
      </c>
      <c r="G128" s="17"/>
      <c r="H128" s="17"/>
      <c r="I128" s="55"/>
      <c r="J128" s="55"/>
    </row>
    <row r="129" spans="2:16" ht="18.75" x14ac:dyDescent="0.3">
      <c r="B129" s="26" t="s">
        <v>115</v>
      </c>
      <c r="C129" s="9">
        <v>10572</v>
      </c>
      <c r="D129" s="7">
        <v>23112</v>
      </c>
      <c r="E129" s="9">
        <v>2473853</v>
      </c>
      <c r="F129" s="27">
        <f t="shared" si="19"/>
        <v>234.00047294740824</v>
      </c>
      <c r="G129" s="17"/>
      <c r="H129" s="17"/>
      <c r="I129" s="55"/>
      <c r="J129" s="55"/>
    </row>
    <row r="130" spans="2:16" ht="18.75" x14ac:dyDescent="0.3">
      <c r="B130" s="26" t="s">
        <v>116</v>
      </c>
      <c r="C130" s="9">
        <v>9276</v>
      </c>
      <c r="D130" s="7">
        <v>19431</v>
      </c>
      <c r="E130" s="9">
        <v>2079712</v>
      </c>
      <c r="F130" s="27">
        <f t="shared" si="19"/>
        <v>224.20353600689953</v>
      </c>
      <c r="G130" s="17"/>
      <c r="H130" s="17"/>
      <c r="I130" s="55"/>
      <c r="J130" s="55"/>
    </row>
    <row r="131" spans="2:16" ht="18.75" x14ac:dyDescent="0.3">
      <c r="B131" s="26" t="s">
        <v>117</v>
      </c>
      <c r="C131" s="9">
        <v>7067</v>
      </c>
      <c r="D131" s="7">
        <v>15731</v>
      </c>
      <c r="E131" s="9">
        <v>1686234</v>
      </c>
      <c r="F131" s="27">
        <f t="shared" si="19"/>
        <v>238.60676383189471</v>
      </c>
      <c r="G131" s="17"/>
      <c r="H131" s="17"/>
      <c r="I131" s="55"/>
      <c r="J131" s="55"/>
    </row>
    <row r="132" spans="2:16" ht="18.75" x14ac:dyDescent="0.3">
      <c r="B132" s="47" t="s">
        <v>118</v>
      </c>
      <c r="C132" s="9">
        <v>8031</v>
      </c>
      <c r="D132" s="7">
        <v>16934</v>
      </c>
      <c r="E132" s="9">
        <v>1847310</v>
      </c>
      <c r="F132" s="27">
        <f t="shared" si="19"/>
        <v>230.02241314904745</v>
      </c>
      <c r="G132" s="17"/>
      <c r="H132" s="17"/>
      <c r="I132" s="55"/>
      <c r="J132" s="55"/>
    </row>
    <row r="133" spans="2:16" ht="19.5" thickBot="1" x14ac:dyDescent="0.35">
      <c r="B133" s="47" t="s">
        <v>119</v>
      </c>
      <c r="C133" s="56">
        <v>5708</v>
      </c>
      <c r="D133" s="7">
        <v>9942</v>
      </c>
      <c r="E133" s="9">
        <v>1074234</v>
      </c>
      <c r="F133" s="27">
        <f t="shared" si="19"/>
        <v>188.197967764541</v>
      </c>
      <c r="G133" s="17"/>
      <c r="H133" s="17"/>
      <c r="I133" s="55"/>
      <c r="J133" s="55"/>
    </row>
    <row r="134" spans="2:16" ht="19.5" thickBot="1" x14ac:dyDescent="0.35">
      <c r="B134" s="29" t="s">
        <v>49</v>
      </c>
      <c r="C134" s="40">
        <f>SUM(C124:C133)</f>
        <v>60761</v>
      </c>
      <c r="D134" s="40">
        <f t="shared" ref="D134:E134" si="20">SUM(D124:D133)</f>
        <v>124180</v>
      </c>
      <c r="E134" s="40">
        <f t="shared" si="20"/>
        <v>13389741</v>
      </c>
      <c r="F134" s="31">
        <f t="shared" ref="F134" si="21">E134/C134</f>
        <v>220.36735735093234</v>
      </c>
      <c r="G134" s="17"/>
      <c r="H134" s="17"/>
      <c r="I134" s="55"/>
      <c r="J134" s="55"/>
    </row>
    <row r="135" spans="2:16" ht="19.5" thickBot="1" x14ac:dyDescent="0.35">
      <c r="B135" s="44"/>
      <c r="C135" s="45"/>
      <c r="D135" s="45"/>
      <c r="E135" s="45"/>
      <c r="F135" s="46"/>
      <c r="G135" s="17"/>
      <c r="H135" s="17"/>
      <c r="I135" s="55"/>
      <c r="J135" s="55"/>
      <c r="M135" s="67"/>
      <c r="N135" s="68" t="s">
        <v>3</v>
      </c>
      <c r="O135" s="68" t="s">
        <v>4</v>
      </c>
      <c r="P135" s="69" t="s">
        <v>5</v>
      </c>
    </row>
    <row r="136" spans="2:16" ht="19.5" thickBot="1" x14ac:dyDescent="0.35">
      <c r="B136" s="52" t="s">
        <v>120</v>
      </c>
      <c r="C136" s="50">
        <f>SUM(C134+C121+C104+C91+C78+C69+C58+C48+C32+C16)</f>
        <v>632344</v>
      </c>
      <c r="D136" s="50">
        <f>SUM(D134+D121+D104+D91+D78+D69+D58+D48+D32+D16)</f>
        <v>1337007</v>
      </c>
      <c r="E136" s="50">
        <f>SUM(E134+E121+E104+E91+E78+E69+E58+E48+E32+E16)</f>
        <v>141578688</v>
      </c>
      <c r="F136" s="43">
        <f t="shared" ref="F136" si="22">E136/C136</f>
        <v>223.895044469466</v>
      </c>
      <c r="G136" s="17"/>
      <c r="H136" s="17"/>
      <c r="I136" s="55"/>
      <c r="J136" s="55"/>
      <c r="M136" s="73" t="s">
        <v>121</v>
      </c>
      <c r="N136" s="79">
        <v>632344</v>
      </c>
      <c r="O136" s="70">
        <v>1337007</v>
      </c>
      <c r="P136" s="71">
        <v>141578688</v>
      </c>
    </row>
    <row r="137" spans="2:16" ht="18.75" x14ac:dyDescent="0.3">
      <c r="B137" s="51"/>
      <c r="C137" s="17"/>
      <c r="D137" s="17"/>
      <c r="E137" s="17"/>
      <c r="F137" s="17"/>
      <c r="G137" s="17"/>
      <c r="H137" s="17"/>
      <c r="I137" s="53"/>
      <c r="J137" s="53"/>
      <c r="M137" s="74" t="s">
        <v>122</v>
      </c>
      <c r="N137" s="80">
        <v>635259</v>
      </c>
      <c r="O137" s="66">
        <v>1341743</v>
      </c>
      <c r="P137" s="72">
        <v>171600097</v>
      </c>
    </row>
    <row r="138" spans="2:16" ht="18.75" x14ac:dyDescent="0.3">
      <c r="B138" s="51"/>
      <c r="C138" s="17"/>
      <c r="D138" s="17"/>
      <c r="E138" s="17"/>
      <c r="F138" s="17"/>
      <c r="G138" s="17"/>
      <c r="H138" s="17"/>
      <c r="I138" s="53"/>
      <c r="J138" s="53"/>
      <c r="M138" s="74" t="s">
        <v>123</v>
      </c>
      <c r="N138" s="80">
        <v>630265</v>
      </c>
      <c r="O138" s="66">
        <v>1330498</v>
      </c>
      <c r="P138" s="72">
        <v>132967759</v>
      </c>
    </row>
    <row r="139" spans="2:16" ht="18.75" x14ac:dyDescent="0.3">
      <c r="B139" s="51"/>
      <c r="C139" s="17"/>
      <c r="D139" s="17"/>
      <c r="E139" s="17"/>
      <c r="F139" s="17"/>
      <c r="G139" s="17"/>
      <c r="H139" s="17"/>
      <c r="I139" s="53"/>
      <c r="J139" s="53"/>
      <c r="M139" s="74" t="s">
        <v>124</v>
      </c>
      <c r="N139" s="80">
        <v>630265</v>
      </c>
      <c r="O139" s="66">
        <v>1331007</v>
      </c>
      <c r="P139" s="72">
        <v>132978475</v>
      </c>
    </row>
    <row r="140" spans="2:16" ht="18.75" x14ac:dyDescent="0.3">
      <c r="B140" s="51"/>
      <c r="C140" s="17"/>
      <c r="D140" s="17"/>
      <c r="E140" s="17"/>
      <c r="F140" s="17"/>
      <c r="G140" s="17"/>
      <c r="H140" s="17"/>
      <c r="I140" s="53"/>
      <c r="J140" s="53"/>
      <c r="M140" s="74" t="s">
        <v>137</v>
      </c>
      <c r="N140" s="80">
        <v>640979</v>
      </c>
      <c r="O140" s="66">
        <v>1349467</v>
      </c>
      <c r="P140" s="72">
        <v>159264608</v>
      </c>
    </row>
    <row r="141" spans="2:16" ht="19.5" thickBot="1" x14ac:dyDescent="0.35">
      <c r="B141" s="51"/>
      <c r="C141" s="17"/>
      <c r="D141" s="17"/>
      <c r="E141" s="17"/>
      <c r="F141" s="17"/>
      <c r="G141" s="17"/>
      <c r="H141" s="17"/>
      <c r="I141" s="53"/>
      <c r="J141" s="53"/>
      <c r="M141" s="76" t="s">
        <v>138</v>
      </c>
      <c r="N141" s="81">
        <v>643491</v>
      </c>
      <c r="O141" s="77">
        <v>1352614</v>
      </c>
      <c r="P141" s="78">
        <v>155066725</v>
      </c>
    </row>
    <row r="142" spans="2:16" ht="18.75" x14ac:dyDescent="0.3">
      <c r="B142" s="51"/>
      <c r="C142" s="17"/>
      <c r="D142" s="17"/>
      <c r="E142" s="17"/>
      <c r="F142" s="17"/>
      <c r="G142" s="17"/>
      <c r="H142" s="17"/>
      <c r="I142" s="53"/>
      <c r="J142" s="53"/>
    </row>
  </sheetData>
  <mergeCells count="6">
    <mergeCell ref="I6:J6"/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34"/>
  <sheetViews>
    <sheetView topLeftCell="A118" workbookViewId="0">
      <selection activeCell="C133" sqref="C133"/>
    </sheetView>
  </sheetViews>
  <sheetFormatPr defaultRowHeight="15" x14ac:dyDescent="0.25"/>
  <cols>
    <col min="1" max="1" width="9.140625" style="1"/>
    <col min="2" max="2" width="18.7109375" style="1" bestFit="1" customWidth="1"/>
    <col min="3" max="3" width="11.42578125" style="1" bestFit="1" customWidth="1"/>
    <col min="4" max="4" width="13.5703125" style="1" bestFit="1" customWidth="1"/>
    <col min="5" max="5" width="16.140625" style="1" bestFit="1" customWidth="1"/>
    <col min="6" max="6" width="15.85546875" style="1" customWidth="1"/>
    <col min="7" max="16384" width="9.140625" style="1"/>
  </cols>
  <sheetData>
    <row r="1" spans="2:10" ht="18.75" x14ac:dyDescent="0.3">
      <c r="B1" s="162" t="s">
        <v>0</v>
      </c>
      <c r="C1" s="162"/>
      <c r="D1" s="162"/>
      <c r="E1" s="162"/>
      <c r="F1" s="162"/>
      <c r="G1" s="17"/>
      <c r="H1" s="17"/>
      <c r="I1" s="17"/>
      <c r="J1" s="17"/>
    </row>
    <row r="2" spans="2:10" ht="18.75" x14ac:dyDescent="0.3">
      <c r="B2" s="162" t="s">
        <v>1</v>
      </c>
      <c r="C2" s="162"/>
      <c r="D2" s="162"/>
      <c r="E2" s="162"/>
      <c r="F2" s="162"/>
      <c r="G2" s="17"/>
      <c r="H2" s="17"/>
      <c r="I2" s="17"/>
      <c r="J2" s="17"/>
    </row>
    <row r="3" spans="2:10" ht="18.75" x14ac:dyDescent="0.3">
      <c r="B3" s="163" t="s">
        <v>2</v>
      </c>
      <c r="C3" s="163"/>
      <c r="D3" s="163"/>
      <c r="E3" s="163"/>
      <c r="F3" s="163"/>
      <c r="G3" s="17"/>
      <c r="H3" s="17"/>
      <c r="I3" s="17"/>
      <c r="J3" s="17"/>
    </row>
    <row r="4" spans="2:10" ht="18.75" x14ac:dyDescent="0.3">
      <c r="B4" s="162" t="s">
        <v>134</v>
      </c>
      <c r="C4" s="162"/>
      <c r="D4" s="162"/>
      <c r="E4" s="162"/>
      <c r="F4" s="162"/>
      <c r="G4" s="17"/>
      <c r="H4" s="17"/>
      <c r="I4" s="17"/>
      <c r="J4" s="17"/>
    </row>
    <row r="5" spans="2:10" ht="19.5" thickBot="1" x14ac:dyDescent="0.35">
      <c r="B5" s="164"/>
      <c r="C5" s="164"/>
      <c r="D5" s="164"/>
      <c r="E5" s="164"/>
      <c r="F5" s="164"/>
      <c r="G5" s="17"/>
      <c r="H5" s="17"/>
      <c r="I5" s="17"/>
      <c r="J5" s="17"/>
    </row>
    <row r="6" spans="2:10" ht="57" thickBot="1" x14ac:dyDescent="0.35">
      <c r="B6" s="18"/>
      <c r="C6" s="19" t="s">
        <v>3</v>
      </c>
      <c r="D6" s="20" t="s">
        <v>4</v>
      </c>
      <c r="E6" s="20" t="s">
        <v>5</v>
      </c>
      <c r="F6" s="20" t="s">
        <v>6</v>
      </c>
      <c r="G6" s="17"/>
      <c r="H6" s="17"/>
      <c r="I6" s="160" t="s">
        <v>7</v>
      </c>
      <c r="J6" s="161"/>
    </row>
    <row r="7" spans="2:10" ht="19.5" thickBot="1" x14ac:dyDescent="0.35">
      <c r="B7" s="21" t="s">
        <v>8</v>
      </c>
      <c r="C7" s="22"/>
      <c r="D7" s="22"/>
      <c r="E7" s="22"/>
      <c r="F7" s="23"/>
      <c r="G7" s="17"/>
      <c r="H7" s="17"/>
      <c r="I7" s="54" t="s">
        <v>9</v>
      </c>
      <c r="J7" s="54" t="s">
        <v>10</v>
      </c>
    </row>
    <row r="8" spans="2:10" ht="18.75" x14ac:dyDescent="0.3">
      <c r="B8" s="24" t="s">
        <v>11</v>
      </c>
      <c r="C8" s="15">
        <v>7640</v>
      </c>
      <c r="D8" s="13">
        <v>16990</v>
      </c>
      <c r="E8" s="14">
        <v>2003704</v>
      </c>
      <c r="F8" s="25">
        <f>E8/C8</f>
        <v>262.2649214659686</v>
      </c>
      <c r="G8" s="17"/>
      <c r="H8" s="17"/>
      <c r="I8" s="55"/>
      <c r="J8" s="55"/>
    </row>
    <row r="9" spans="2:10" ht="18.75" x14ac:dyDescent="0.3">
      <c r="B9" s="26" t="s">
        <v>12</v>
      </c>
      <c r="C9" s="3">
        <v>5832</v>
      </c>
      <c r="D9" s="13">
        <v>11917</v>
      </c>
      <c r="E9" s="3">
        <v>1454363</v>
      </c>
      <c r="F9" s="25">
        <f t="shared" ref="F9:F16" si="0">E9/C9</f>
        <v>249.3763717421125</v>
      </c>
      <c r="G9" s="17"/>
      <c r="H9" s="17"/>
      <c r="I9" s="55"/>
      <c r="J9" s="55"/>
    </row>
    <row r="10" spans="2:10" ht="18.75" x14ac:dyDescent="0.3">
      <c r="B10" s="26" t="s">
        <v>13</v>
      </c>
      <c r="C10" s="3">
        <v>6317</v>
      </c>
      <c r="D10" s="13">
        <v>12510</v>
      </c>
      <c r="E10" s="3">
        <v>1532648</v>
      </c>
      <c r="F10" s="25">
        <f t="shared" si="0"/>
        <v>242.62276397023905</v>
      </c>
      <c r="G10" s="17"/>
      <c r="H10" s="17"/>
      <c r="I10" s="55"/>
      <c r="J10" s="55"/>
    </row>
    <row r="11" spans="2:10" ht="18.75" x14ac:dyDescent="0.3">
      <c r="B11" s="26" t="s">
        <v>14</v>
      </c>
      <c r="C11" s="3">
        <v>8162</v>
      </c>
      <c r="D11" s="13">
        <v>17133</v>
      </c>
      <c r="E11" s="3">
        <v>2049809</v>
      </c>
      <c r="F11" s="25">
        <f t="shared" si="0"/>
        <v>251.14052928203873</v>
      </c>
      <c r="G11" s="17"/>
      <c r="H11" s="17"/>
      <c r="I11" s="55"/>
      <c r="J11" s="55"/>
    </row>
    <row r="12" spans="2:10" ht="18.75" x14ac:dyDescent="0.3">
      <c r="B12" s="26" t="s">
        <v>15</v>
      </c>
      <c r="C12" s="3">
        <v>2006</v>
      </c>
      <c r="D12" s="13">
        <v>4447</v>
      </c>
      <c r="E12" s="3">
        <v>535063</v>
      </c>
      <c r="F12" s="25">
        <f t="shared" si="0"/>
        <v>266.73130608175472</v>
      </c>
      <c r="G12" s="17"/>
      <c r="H12" s="17"/>
      <c r="I12" s="55"/>
      <c r="J12" s="55"/>
    </row>
    <row r="13" spans="2:10" ht="18.75" x14ac:dyDescent="0.3">
      <c r="B13" s="26" t="s">
        <v>16</v>
      </c>
      <c r="C13" s="3">
        <v>8626</v>
      </c>
      <c r="D13" s="13">
        <v>18811</v>
      </c>
      <c r="E13" s="3">
        <v>2256407</v>
      </c>
      <c r="F13" s="25">
        <f t="shared" si="0"/>
        <v>261.58207744029676</v>
      </c>
      <c r="G13" s="17"/>
      <c r="H13" s="17"/>
      <c r="I13" s="55"/>
      <c r="J13" s="55"/>
    </row>
    <row r="14" spans="2:10" ht="18.75" x14ac:dyDescent="0.3">
      <c r="B14" s="26" t="s">
        <v>17</v>
      </c>
      <c r="C14" s="3">
        <v>3092</v>
      </c>
      <c r="D14" s="13">
        <v>6126</v>
      </c>
      <c r="E14" s="3">
        <v>740412</v>
      </c>
      <c r="F14" s="25">
        <f t="shared" si="0"/>
        <v>239.46054333764553</v>
      </c>
      <c r="G14" s="17"/>
      <c r="H14" s="17"/>
      <c r="I14" s="55"/>
      <c r="J14" s="55"/>
    </row>
    <row r="15" spans="2:10" ht="19.5" thickBot="1" x14ac:dyDescent="0.35">
      <c r="B15" s="28" t="s">
        <v>18</v>
      </c>
      <c r="C15" s="4">
        <v>9994</v>
      </c>
      <c r="D15" s="13">
        <v>20312</v>
      </c>
      <c r="E15" s="11">
        <v>2481118</v>
      </c>
      <c r="F15" s="25">
        <f t="shared" si="0"/>
        <v>248.26075645387232</v>
      </c>
      <c r="G15" s="17"/>
      <c r="H15" s="17"/>
      <c r="I15" s="55"/>
      <c r="J15" s="55"/>
    </row>
    <row r="16" spans="2:10" ht="19.5" thickBot="1" x14ac:dyDescent="0.35">
      <c r="B16" s="29" t="s">
        <v>19</v>
      </c>
      <c r="C16" s="30">
        <f>SUM(C8:C15)</f>
        <v>51669</v>
      </c>
      <c r="D16" s="30">
        <f t="shared" ref="D16:E16" si="1">SUM(D8:D15)</f>
        <v>108246</v>
      </c>
      <c r="E16" s="30">
        <f t="shared" si="1"/>
        <v>13053524</v>
      </c>
      <c r="F16" s="31">
        <f t="shared" si="0"/>
        <v>252.63744218003058</v>
      </c>
      <c r="G16" s="17"/>
      <c r="H16" s="17"/>
      <c r="I16" s="55"/>
      <c r="J16" s="55"/>
    </row>
    <row r="17" spans="2:17" ht="19.5" thickBot="1" x14ac:dyDescent="0.35">
      <c r="B17" s="32"/>
      <c r="C17" s="33"/>
      <c r="D17" s="33"/>
      <c r="E17" s="33"/>
      <c r="F17" s="33"/>
      <c r="G17" s="2"/>
      <c r="H17" s="2"/>
      <c r="I17" s="55"/>
      <c r="J17" s="55"/>
      <c r="K17" s="2"/>
      <c r="L17" s="2"/>
      <c r="M17" s="2"/>
      <c r="N17" s="2"/>
      <c r="O17" s="2"/>
      <c r="P17" s="2"/>
      <c r="Q17" s="2"/>
    </row>
    <row r="18" spans="2:17" ht="19.5" thickBot="1" x14ac:dyDescent="0.35">
      <c r="B18" s="34" t="s">
        <v>20</v>
      </c>
      <c r="C18" s="35"/>
      <c r="D18" s="35"/>
      <c r="E18" s="35"/>
      <c r="F18" s="36"/>
      <c r="G18" s="2"/>
      <c r="H18" s="2"/>
      <c r="I18" s="55"/>
      <c r="J18" s="55"/>
      <c r="K18" s="2"/>
      <c r="L18" s="2"/>
      <c r="M18" s="2"/>
      <c r="N18" s="2"/>
      <c r="O18" s="2"/>
      <c r="P18" s="2"/>
      <c r="Q18" s="2"/>
    </row>
    <row r="19" spans="2:17" ht="18.75" x14ac:dyDescent="0.3">
      <c r="B19" s="37" t="s">
        <v>21</v>
      </c>
      <c r="C19" s="3">
        <v>14697</v>
      </c>
      <c r="D19" s="3">
        <v>28805</v>
      </c>
      <c r="E19" s="6">
        <v>3526774</v>
      </c>
      <c r="F19" s="27">
        <f t="shared" ref="F19:F32" si="2">E19/C19</f>
        <v>239.96557120500782</v>
      </c>
      <c r="G19" s="38"/>
      <c r="H19" s="38"/>
      <c r="I19" s="55"/>
      <c r="J19" s="55"/>
      <c r="K19" s="38"/>
      <c r="L19" s="38"/>
      <c r="M19" s="38"/>
      <c r="N19" s="38"/>
      <c r="O19" s="38"/>
      <c r="P19" s="38"/>
      <c r="Q19" s="38"/>
    </row>
    <row r="20" spans="2:17" ht="18.75" x14ac:dyDescent="0.3">
      <c r="B20" s="59" t="s">
        <v>22</v>
      </c>
      <c r="C20" s="3">
        <v>7078</v>
      </c>
      <c r="D20" s="3">
        <v>13250</v>
      </c>
      <c r="E20" s="3">
        <v>1630305</v>
      </c>
      <c r="F20" s="27">
        <f t="shared" si="2"/>
        <v>230.33413393614015</v>
      </c>
      <c r="G20" s="38"/>
      <c r="H20" s="38"/>
      <c r="I20" s="55"/>
      <c r="J20" s="55"/>
      <c r="K20" s="38"/>
      <c r="L20" s="38"/>
      <c r="M20" s="38"/>
      <c r="N20" s="38"/>
      <c r="O20" s="38"/>
      <c r="P20" s="38"/>
      <c r="Q20" s="38"/>
    </row>
    <row r="21" spans="2:17" ht="18.75" x14ac:dyDescent="0.3">
      <c r="B21" s="58" t="s">
        <v>23</v>
      </c>
      <c r="C21" s="9">
        <v>5994</v>
      </c>
      <c r="D21" s="3">
        <v>12093</v>
      </c>
      <c r="E21" s="9">
        <v>1460481</v>
      </c>
      <c r="F21" s="27">
        <f t="shared" si="2"/>
        <v>243.65715715715714</v>
      </c>
      <c r="G21" s="2"/>
      <c r="H21" s="2"/>
      <c r="I21" s="55"/>
      <c r="J21" s="55"/>
      <c r="K21" s="2"/>
      <c r="L21" s="2"/>
      <c r="M21" s="2"/>
      <c r="N21" s="2"/>
      <c r="O21" s="2"/>
      <c r="P21" s="2"/>
      <c r="Q21" s="2"/>
    </row>
    <row r="22" spans="2:17" ht="18.75" x14ac:dyDescent="0.3">
      <c r="B22" s="26" t="s">
        <v>24</v>
      </c>
      <c r="C22" s="9">
        <v>7681</v>
      </c>
      <c r="D22" s="3">
        <v>15843</v>
      </c>
      <c r="E22" s="9">
        <v>1894591</v>
      </c>
      <c r="F22" s="27">
        <f t="shared" si="2"/>
        <v>246.65941934643928</v>
      </c>
      <c r="G22" s="2"/>
      <c r="H22" s="2"/>
      <c r="I22" s="55"/>
      <c r="J22" s="55"/>
      <c r="K22" s="2"/>
      <c r="L22" s="2"/>
      <c r="M22" s="2"/>
      <c r="N22" s="2"/>
      <c r="O22" s="2"/>
      <c r="P22" s="2"/>
      <c r="Q22" s="2"/>
    </row>
    <row r="23" spans="2:17" ht="18.75" x14ac:dyDescent="0.3">
      <c r="B23" s="26" t="s">
        <v>25</v>
      </c>
      <c r="C23" s="9">
        <v>4796</v>
      </c>
      <c r="D23" s="3">
        <v>10430</v>
      </c>
      <c r="E23" s="9">
        <v>1236474</v>
      </c>
      <c r="F23" s="27">
        <f t="shared" si="2"/>
        <v>257.81359466221852</v>
      </c>
      <c r="G23" s="2"/>
      <c r="H23" s="2"/>
      <c r="I23" s="55"/>
      <c r="J23" s="55"/>
      <c r="K23" s="2"/>
      <c r="L23" s="2"/>
      <c r="M23" s="2"/>
      <c r="N23" s="2"/>
      <c r="O23" s="2"/>
      <c r="P23" s="2"/>
      <c r="Q23" s="2"/>
    </row>
    <row r="24" spans="2:17" ht="18.75" x14ac:dyDescent="0.3">
      <c r="B24" s="26" t="s">
        <v>26</v>
      </c>
      <c r="C24" s="9">
        <v>3229</v>
      </c>
      <c r="D24" s="3">
        <v>6923</v>
      </c>
      <c r="E24" s="9">
        <v>833043</v>
      </c>
      <c r="F24" s="27">
        <f t="shared" si="2"/>
        <v>257.9879219572623</v>
      </c>
      <c r="G24" s="2"/>
      <c r="H24" s="2"/>
      <c r="I24" s="55"/>
      <c r="J24" s="55"/>
      <c r="K24" s="2"/>
      <c r="L24" s="2"/>
      <c r="M24" s="2"/>
      <c r="N24" s="2"/>
      <c r="O24" s="2"/>
      <c r="P24" s="2"/>
      <c r="Q24" s="2"/>
    </row>
    <row r="25" spans="2:17" ht="18.75" x14ac:dyDescent="0.3">
      <c r="B25" s="26" t="s">
        <v>27</v>
      </c>
      <c r="C25" s="9">
        <v>8340</v>
      </c>
      <c r="D25" s="3">
        <v>17241</v>
      </c>
      <c r="E25" s="9">
        <v>2084790</v>
      </c>
      <c r="F25" s="27">
        <f t="shared" si="2"/>
        <v>249.9748201438849</v>
      </c>
      <c r="G25" s="2"/>
      <c r="H25" s="2"/>
      <c r="I25" s="55"/>
      <c r="J25" s="55"/>
      <c r="K25" s="2"/>
      <c r="L25" s="2"/>
      <c r="M25" s="2"/>
      <c r="N25" s="2"/>
      <c r="O25" s="2"/>
      <c r="P25" s="2"/>
      <c r="Q25" s="2"/>
    </row>
    <row r="26" spans="2:17" ht="18.75" x14ac:dyDescent="0.3">
      <c r="B26" s="26" t="s">
        <v>28</v>
      </c>
      <c r="C26" s="9">
        <v>7524</v>
      </c>
      <c r="D26" s="3">
        <v>16243</v>
      </c>
      <c r="E26" s="9">
        <v>1956681</v>
      </c>
      <c r="F26" s="27">
        <f t="shared" si="2"/>
        <v>260.05861244019138</v>
      </c>
      <c r="G26" s="2"/>
      <c r="H26" s="2"/>
      <c r="I26" s="55"/>
      <c r="J26" s="55"/>
      <c r="K26" s="2"/>
      <c r="L26" s="2"/>
      <c r="M26" s="2"/>
      <c r="N26" s="2"/>
      <c r="O26" s="2"/>
      <c r="P26" s="2"/>
      <c r="Q26" s="2"/>
    </row>
    <row r="27" spans="2:17" ht="18.75" x14ac:dyDescent="0.3">
      <c r="B27" s="26" t="s">
        <v>29</v>
      </c>
      <c r="C27" s="9">
        <v>9767</v>
      </c>
      <c r="D27" s="3">
        <v>19572</v>
      </c>
      <c r="E27" s="9">
        <v>2358090</v>
      </c>
      <c r="F27" s="27">
        <f t="shared" si="2"/>
        <v>241.4344220333777</v>
      </c>
      <c r="G27" s="2"/>
      <c r="H27" s="2"/>
      <c r="I27" s="55"/>
      <c r="J27" s="55"/>
      <c r="K27" s="2"/>
      <c r="L27" s="2"/>
      <c r="M27" s="2"/>
      <c r="N27" s="2"/>
      <c r="O27" s="2"/>
      <c r="P27" s="2"/>
      <c r="Q27" s="2"/>
    </row>
    <row r="28" spans="2:17" ht="18.75" x14ac:dyDescent="0.3">
      <c r="B28" s="26" t="s">
        <v>30</v>
      </c>
      <c r="C28" s="9">
        <v>6612</v>
      </c>
      <c r="D28" s="3">
        <v>15173</v>
      </c>
      <c r="E28" s="9">
        <v>1788456</v>
      </c>
      <c r="F28" s="27">
        <f t="shared" si="2"/>
        <v>270.486388384755</v>
      </c>
      <c r="G28" s="2"/>
      <c r="H28" s="2"/>
      <c r="I28" s="55"/>
      <c r="J28" s="55"/>
      <c r="K28" s="2"/>
      <c r="L28" s="2"/>
      <c r="M28" s="2"/>
      <c r="N28" s="2"/>
      <c r="O28" s="2"/>
      <c r="P28" s="2"/>
      <c r="Q28" s="2"/>
    </row>
    <row r="29" spans="2:17" ht="18.75" x14ac:dyDescent="0.3">
      <c r="B29" s="26" t="s">
        <v>31</v>
      </c>
      <c r="C29" s="9">
        <v>5670</v>
      </c>
      <c r="D29" s="3">
        <v>12141</v>
      </c>
      <c r="E29" s="9">
        <v>1447690</v>
      </c>
      <c r="F29" s="27">
        <f t="shared" si="2"/>
        <v>255.32451499118164</v>
      </c>
      <c r="G29" s="2"/>
      <c r="H29" s="2"/>
      <c r="I29" s="55"/>
      <c r="J29" s="55"/>
      <c r="K29" s="2"/>
      <c r="L29" s="2"/>
      <c r="M29" s="2"/>
      <c r="N29" s="2"/>
      <c r="O29" s="2"/>
      <c r="P29" s="2"/>
      <c r="Q29" s="2"/>
    </row>
    <row r="30" spans="2:17" ht="18.75" x14ac:dyDescent="0.3">
      <c r="B30" s="39" t="s">
        <v>32</v>
      </c>
      <c r="C30" s="8">
        <v>5489</v>
      </c>
      <c r="D30" s="13">
        <v>12059</v>
      </c>
      <c r="E30" s="8">
        <v>1456281</v>
      </c>
      <c r="F30" s="27">
        <f t="shared" si="2"/>
        <v>265.30898159956274</v>
      </c>
      <c r="G30" s="2"/>
      <c r="H30" s="2"/>
      <c r="I30" s="55"/>
      <c r="J30" s="55"/>
      <c r="K30" s="2"/>
      <c r="L30" s="2"/>
      <c r="M30" s="2"/>
      <c r="N30" s="2"/>
      <c r="O30" s="2"/>
      <c r="P30" s="2"/>
      <c r="Q30" s="2"/>
    </row>
    <row r="31" spans="2:17" ht="19.5" thickBot="1" x14ac:dyDescent="0.35">
      <c r="B31" s="39" t="s">
        <v>33</v>
      </c>
      <c r="C31" s="56">
        <v>1931</v>
      </c>
      <c r="D31" s="5">
        <v>4122</v>
      </c>
      <c r="E31" s="57">
        <v>500636</v>
      </c>
      <c r="F31" s="27">
        <f t="shared" si="2"/>
        <v>259.26255825996896</v>
      </c>
      <c r="G31" s="2"/>
      <c r="H31" s="2"/>
      <c r="I31" s="55"/>
      <c r="J31" s="55"/>
      <c r="K31" s="2"/>
      <c r="L31" s="2"/>
      <c r="M31" s="2"/>
      <c r="N31" s="2"/>
      <c r="O31" s="2"/>
      <c r="P31" s="2"/>
      <c r="Q31" s="2"/>
    </row>
    <row r="32" spans="2:17" ht="19.5" thickBot="1" x14ac:dyDescent="0.35">
      <c r="B32" s="29" t="s">
        <v>34</v>
      </c>
      <c r="C32" s="40">
        <f>SUM(C19:C31)</f>
        <v>88808</v>
      </c>
      <c r="D32" s="40">
        <f t="shared" ref="D32:E32" si="3">SUM(D19:D31)</f>
        <v>183895</v>
      </c>
      <c r="E32" s="40">
        <f t="shared" si="3"/>
        <v>22174292</v>
      </c>
      <c r="F32" s="31">
        <f t="shared" si="2"/>
        <v>249.6880010809837</v>
      </c>
      <c r="G32" s="2"/>
      <c r="H32" s="2"/>
      <c r="I32" s="55"/>
      <c r="J32" s="55"/>
      <c r="K32" s="2"/>
      <c r="L32" s="2"/>
      <c r="M32" s="2"/>
      <c r="N32" s="2"/>
      <c r="O32" s="2"/>
      <c r="P32" s="2"/>
      <c r="Q32" s="2"/>
    </row>
    <row r="33" spans="2:10" ht="19.5" thickBot="1" x14ac:dyDescent="0.35">
      <c r="B33" s="32"/>
      <c r="C33" s="41"/>
      <c r="D33" s="41"/>
      <c r="E33" s="41"/>
      <c r="F33" s="33"/>
      <c r="G33" s="17"/>
      <c r="H33" s="17"/>
      <c r="I33" s="55"/>
      <c r="J33" s="55"/>
    </row>
    <row r="34" spans="2:10" ht="19.5" thickBot="1" x14ac:dyDescent="0.35">
      <c r="B34" s="21" t="s">
        <v>35</v>
      </c>
      <c r="C34" s="42"/>
      <c r="D34" s="42"/>
      <c r="E34" s="42"/>
      <c r="F34" s="43"/>
      <c r="G34" s="17"/>
      <c r="H34" s="17"/>
      <c r="I34" s="55"/>
      <c r="J34" s="55"/>
    </row>
    <row r="35" spans="2:10" ht="18.75" x14ac:dyDescent="0.3">
      <c r="B35" s="24" t="s">
        <v>36</v>
      </c>
      <c r="C35" s="16">
        <v>8725</v>
      </c>
      <c r="D35" s="7">
        <v>18454</v>
      </c>
      <c r="E35" s="7">
        <v>2208011</v>
      </c>
      <c r="F35" s="27">
        <f t="shared" ref="F35:F48" si="4">E35/C35</f>
        <v>253.06716332378224</v>
      </c>
      <c r="G35" s="17"/>
      <c r="H35" s="17"/>
      <c r="I35" s="55"/>
      <c r="J35" s="55"/>
    </row>
    <row r="36" spans="2:10" ht="18.75" x14ac:dyDescent="0.3">
      <c r="B36" s="26" t="s">
        <v>37</v>
      </c>
      <c r="C36" s="9">
        <v>8860</v>
      </c>
      <c r="D36" s="7">
        <v>17777</v>
      </c>
      <c r="E36" s="9">
        <v>2136012</v>
      </c>
      <c r="F36" s="27">
        <f t="shared" si="4"/>
        <v>241.08487584650112</v>
      </c>
      <c r="G36" s="17"/>
      <c r="H36" s="17"/>
      <c r="I36" s="55"/>
      <c r="J36" s="55"/>
    </row>
    <row r="37" spans="2:10" ht="18.75" x14ac:dyDescent="0.3">
      <c r="B37" s="26" t="s">
        <v>38</v>
      </c>
      <c r="C37" s="9">
        <v>10065</v>
      </c>
      <c r="D37" s="7">
        <v>20796</v>
      </c>
      <c r="E37" s="9">
        <v>2472552</v>
      </c>
      <c r="F37" s="27">
        <f t="shared" si="4"/>
        <v>245.65842026825632</v>
      </c>
      <c r="G37" s="17"/>
      <c r="H37" s="17"/>
      <c r="I37" s="55"/>
      <c r="J37" s="55"/>
    </row>
    <row r="38" spans="2:10" ht="18.75" x14ac:dyDescent="0.3">
      <c r="B38" s="26" t="s">
        <v>39</v>
      </c>
      <c r="C38" s="9">
        <v>5147</v>
      </c>
      <c r="D38" s="7">
        <v>10915</v>
      </c>
      <c r="E38" s="9">
        <v>1326109</v>
      </c>
      <c r="F38" s="27">
        <f t="shared" si="4"/>
        <v>257.6469788226151</v>
      </c>
      <c r="G38" s="17"/>
      <c r="H38" s="17"/>
      <c r="I38" s="55"/>
      <c r="J38" s="55"/>
    </row>
    <row r="39" spans="2:10" ht="18.75" x14ac:dyDescent="0.3">
      <c r="B39" s="26" t="s">
        <v>40</v>
      </c>
      <c r="C39" s="9">
        <v>7952</v>
      </c>
      <c r="D39" s="7">
        <v>17286</v>
      </c>
      <c r="E39" s="9">
        <v>2062136</v>
      </c>
      <c r="F39" s="27">
        <f t="shared" si="4"/>
        <v>259.32293762575455</v>
      </c>
      <c r="G39" s="17"/>
      <c r="H39" s="17"/>
      <c r="I39" s="55"/>
      <c r="J39" s="55"/>
    </row>
    <row r="40" spans="2:10" ht="18.75" x14ac:dyDescent="0.3">
      <c r="B40" s="26" t="s">
        <v>41</v>
      </c>
      <c r="C40" s="9">
        <v>5712</v>
      </c>
      <c r="D40" s="7">
        <v>11735</v>
      </c>
      <c r="E40" s="9">
        <v>1393406</v>
      </c>
      <c r="F40" s="27">
        <f t="shared" si="4"/>
        <v>243.94362745098039</v>
      </c>
      <c r="G40" s="17"/>
      <c r="H40" s="17"/>
      <c r="I40" s="55"/>
      <c r="J40" s="55"/>
    </row>
    <row r="41" spans="2:10" ht="18.75" x14ac:dyDescent="0.3">
      <c r="B41" s="26" t="s">
        <v>42</v>
      </c>
      <c r="C41" s="9">
        <v>7030</v>
      </c>
      <c r="D41" s="7">
        <v>15322</v>
      </c>
      <c r="E41" s="9">
        <v>1810051</v>
      </c>
      <c r="F41" s="27">
        <f t="shared" si="4"/>
        <v>257.47524893314369</v>
      </c>
      <c r="G41" s="17"/>
      <c r="H41" s="17"/>
      <c r="I41" s="55"/>
      <c r="J41" s="55"/>
    </row>
    <row r="42" spans="2:10" ht="18.75" x14ac:dyDescent="0.3">
      <c r="B42" s="26" t="s">
        <v>43</v>
      </c>
      <c r="C42" s="9">
        <v>10149</v>
      </c>
      <c r="D42" s="7">
        <v>22314</v>
      </c>
      <c r="E42" s="9">
        <v>2655044</v>
      </c>
      <c r="F42" s="27">
        <f t="shared" si="4"/>
        <v>261.60646369100402</v>
      </c>
      <c r="G42" s="17"/>
      <c r="H42" s="17"/>
      <c r="I42" s="55"/>
      <c r="J42" s="55"/>
    </row>
    <row r="43" spans="2:10" ht="18.75" x14ac:dyDescent="0.3">
      <c r="B43" s="26" t="s">
        <v>44</v>
      </c>
      <c r="C43" s="9">
        <v>6827</v>
      </c>
      <c r="D43" s="7">
        <v>14485</v>
      </c>
      <c r="E43" s="9">
        <v>1724967</v>
      </c>
      <c r="F43" s="27">
        <f t="shared" si="4"/>
        <v>252.66837556759924</v>
      </c>
      <c r="G43" s="17"/>
      <c r="H43" s="17"/>
      <c r="I43" s="55"/>
      <c r="J43" s="55"/>
    </row>
    <row r="44" spans="2:10" ht="18.75" x14ac:dyDescent="0.3">
      <c r="B44" s="26" t="s">
        <v>45</v>
      </c>
      <c r="C44" s="9">
        <v>5399</v>
      </c>
      <c r="D44" s="7">
        <v>11063</v>
      </c>
      <c r="E44" s="9">
        <v>1303060</v>
      </c>
      <c r="F44" s="27">
        <f t="shared" si="4"/>
        <v>241.35210224115576</v>
      </c>
      <c r="G44" s="17"/>
      <c r="H44" s="17"/>
      <c r="I44" s="55"/>
      <c r="J44" s="55"/>
    </row>
    <row r="45" spans="2:10" ht="18.75" x14ac:dyDescent="0.3">
      <c r="B45" s="26" t="s">
        <v>46</v>
      </c>
      <c r="C45" s="9">
        <v>7335</v>
      </c>
      <c r="D45" s="7">
        <v>15779</v>
      </c>
      <c r="E45" s="9">
        <v>1889286</v>
      </c>
      <c r="F45" s="27">
        <f t="shared" si="4"/>
        <v>257.5713701431493</v>
      </c>
      <c r="G45" s="17"/>
      <c r="H45" s="17"/>
      <c r="I45" s="55"/>
      <c r="J45" s="55"/>
    </row>
    <row r="46" spans="2:10" ht="18.75" x14ac:dyDescent="0.3">
      <c r="B46" s="39" t="s">
        <v>47</v>
      </c>
      <c r="C46" s="9">
        <v>6712</v>
      </c>
      <c r="D46" s="7">
        <v>13873</v>
      </c>
      <c r="E46" s="12">
        <v>1675149</v>
      </c>
      <c r="F46" s="27">
        <f t="shared" si="4"/>
        <v>249.57523837902264</v>
      </c>
      <c r="G46" s="17"/>
      <c r="H46" s="17"/>
      <c r="I46" s="55"/>
      <c r="J46" s="55"/>
    </row>
    <row r="47" spans="2:10" ht="19.5" thickBot="1" x14ac:dyDescent="0.35">
      <c r="B47" s="39" t="s">
        <v>48</v>
      </c>
      <c r="C47" s="56">
        <v>4953</v>
      </c>
      <c r="D47" s="7">
        <v>10216</v>
      </c>
      <c r="E47" s="12">
        <v>1217304</v>
      </c>
      <c r="F47" s="27">
        <f t="shared" si="4"/>
        <v>245.771047849788</v>
      </c>
      <c r="G47" s="17"/>
      <c r="H47" s="17"/>
      <c r="I47" s="55"/>
      <c r="J47" s="55"/>
    </row>
    <row r="48" spans="2:10" ht="19.5" thickBot="1" x14ac:dyDescent="0.35">
      <c r="B48" s="29" t="s">
        <v>49</v>
      </c>
      <c r="C48" s="40">
        <f>SUM(C35:C47)</f>
        <v>94866</v>
      </c>
      <c r="D48" s="40">
        <f t="shared" ref="D48:E48" si="5">SUM(D35:D47)</f>
        <v>200015</v>
      </c>
      <c r="E48" s="40">
        <f t="shared" si="5"/>
        <v>23873087</v>
      </c>
      <c r="F48" s="31">
        <f t="shared" si="4"/>
        <v>251.65061244281407</v>
      </c>
      <c r="G48" s="17"/>
      <c r="H48" s="17"/>
      <c r="I48" s="55"/>
      <c r="J48" s="55"/>
    </row>
    <row r="49" spans="2:10" ht="19.5" thickBot="1" x14ac:dyDescent="0.35">
      <c r="B49" s="44"/>
      <c r="C49" s="45"/>
      <c r="D49" s="45"/>
      <c r="E49" s="45"/>
      <c r="F49" s="46"/>
      <c r="G49" s="17"/>
      <c r="H49" s="17"/>
      <c r="I49" s="55"/>
      <c r="J49" s="55"/>
    </row>
    <row r="50" spans="2:10" ht="19.5" thickBot="1" x14ac:dyDescent="0.35">
      <c r="B50" s="21" t="s">
        <v>50</v>
      </c>
      <c r="C50" s="42"/>
      <c r="D50" s="42"/>
      <c r="E50" s="42"/>
      <c r="F50" s="43"/>
      <c r="G50" s="17"/>
      <c r="H50" s="17"/>
      <c r="I50" s="55"/>
      <c r="J50" s="55"/>
    </row>
    <row r="51" spans="2:10" ht="18.75" x14ac:dyDescent="0.3">
      <c r="B51" s="24" t="s">
        <v>51</v>
      </c>
      <c r="C51" s="16">
        <v>5289</v>
      </c>
      <c r="D51" s="7">
        <v>11028</v>
      </c>
      <c r="E51" s="8">
        <v>1322611</v>
      </c>
      <c r="F51" s="27">
        <f t="shared" ref="F51:F58" si="6">E51/C51</f>
        <v>250.0682548685952</v>
      </c>
      <c r="G51" s="17"/>
      <c r="H51" s="17"/>
      <c r="I51" s="55"/>
      <c r="J51" s="55"/>
    </row>
    <row r="52" spans="2:10" ht="18.75" x14ac:dyDescent="0.3">
      <c r="B52" s="26" t="s">
        <v>52</v>
      </c>
      <c r="C52" s="9">
        <v>7855</v>
      </c>
      <c r="D52" s="7">
        <v>17468</v>
      </c>
      <c r="E52" s="9">
        <v>2097298</v>
      </c>
      <c r="F52" s="27">
        <f t="shared" si="6"/>
        <v>267.00165499681731</v>
      </c>
      <c r="G52" s="17"/>
      <c r="H52" s="17"/>
      <c r="I52" s="55"/>
      <c r="J52" s="55"/>
    </row>
    <row r="53" spans="2:10" ht="18.75" x14ac:dyDescent="0.3">
      <c r="B53" s="26" t="s">
        <v>53</v>
      </c>
      <c r="C53" s="9">
        <v>21661</v>
      </c>
      <c r="D53" s="7">
        <v>43800</v>
      </c>
      <c r="E53" s="9">
        <v>5225623</v>
      </c>
      <c r="F53" s="27">
        <f t="shared" si="6"/>
        <v>241.2456950279304</v>
      </c>
      <c r="G53" s="17"/>
      <c r="H53" s="17"/>
      <c r="I53" s="55"/>
      <c r="J53" s="55"/>
    </row>
    <row r="54" spans="2:10" ht="18.75" x14ac:dyDescent="0.3">
      <c r="B54" s="26" t="s">
        <v>54</v>
      </c>
      <c r="C54" s="9">
        <v>7106</v>
      </c>
      <c r="D54" s="7">
        <v>15261</v>
      </c>
      <c r="E54" s="9">
        <v>1808307</v>
      </c>
      <c r="F54" s="27">
        <f t="shared" si="6"/>
        <v>254.47607655502392</v>
      </c>
      <c r="G54" s="17"/>
      <c r="H54" s="17"/>
      <c r="I54" s="55"/>
      <c r="J54" s="55"/>
    </row>
    <row r="55" spans="2:10" ht="18.75" x14ac:dyDescent="0.3">
      <c r="B55" s="26" t="s">
        <v>55</v>
      </c>
      <c r="C55" s="9">
        <v>5448</v>
      </c>
      <c r="D55" s="7">
        <v>11070</v>
      </c>
      <c r="E55" s="9">
        <v>1350653</v>
      </c>
      <c r="F55" s="27">
        <f t="shared" si="6"/>
        <v>247.91721732745961</v>
      </c>
      <c r="G55" s="17"/>
      <c r="H55" s="17"/>
      <c r="I55" s="55"/>
      <c r="J55" s="55"/>
    </row>
    <row r="56" spans="2:10" ht="18.75" x14ac:dyDescent="0.3">
      <c r="B56" s="26" t="s">
        <v>56</v>
      </c>
      <c r="C56" s="9">
        <v>5638</v>
      </c>
      <c r="D56" s="7">
        <v>11589</v>
      </c>
      <c r="E56" s="9">
        <v>1382966</v>
      </c>
      <c r="F56" s="27">
        <f t="shared" si="6"/>
        <v>245.2937211777226</v>
      </c>
      <c r="G56" s="17"/>
      <c r="H56" s="17"/>
      <c r="I56" s="55"/>
      <c r="J56" s="55"/>
    </row>
    <row r="57" spans="2:10" ht="19.5" thickBot="1" x14ac:dyDescent="0.35">
      <c r="B57" s="26" t="s">
        <v>57</v>
      </c>
      <c r="C57" s="10">
        <v>7729</v>
      </c>
      <c r="D57" s="7">
        <v>15686</v>
      </c>
      <c r="E57" s="9">
        <v>1868848</v>
      </c>
      <c r="F57" s="27">
        <f t="shared" si="6"/>
        <v>241.79686893517919</v>
      </c>
      <c r="G57" s="17"/>
      <c r="H57" s="17"/>
      <c r="I57" s="55"/>
      <c r="J57" s="55"/>
    </row>
    <row r="58" spans="2:10" ht="19.5" thickBot="1" x14ac:dyDescent="0.35">
      <c r="B58" s="29" t="s">
        <v>49</v>
      </c>
      <c r="C58" s="40">
        <f>SUM(C51:C57)</f>
        <v>60726</v>
      </c>
      <c r="D58" s="40">
        <f t="shared" ref="D58:E58" si="7">SUM(D51:D57)</f>
        <v>125902</v>
      </c>
      <c r="E58" s="40">
        <f t="shared" si="7"/>
        <v>15056306</v>
      </c>
      <c r="F58" s="31">
        <f t="shared" si="6"/>
        <v>247.9383789480618</v>
      </c>
      <c r="G58" s="17"/>
      <c r="H58" s="17"/>
      <c r="I58" s="55"/>
      <c r="J58" s="55"/>
    </row>
    <row r="59" spans="2:10" ht="19.5" thickBot="1" x14ac:dyDescent="0.35">
      <c r="B59" s="44"/>
      <c r="C59" s="45"/>
      <c r="D59" s="45"/>
      <c r="E59" s="45"/>
      <c r="F59" s="46"/>
      <c r="G59" s="17"/>
      <c r="H59" s="17"/>
      <c r="I59" s="55"/>
      <c r="J59" s="55"/>
    </row>
    <row r="60" spans="2:10" ht="19.5" thickBot="1" x14ac:dyDescent="0.35">
      <c r="B60" s="21" t="s">
        <v>58</v>
      </c>
      <c r="C60" s="42"/>
      <c r="D60" s="42"/>
      <c r="E60" s="42"/>
      <c r="F60" s="43"/>
      <c r="G60" s="17"/>
      <c r="H60" s="17"/>
      <c r="I60" s="55"/>
      <c r="J60" s="55"/>
    </row>
    <row r="61" spans="2:10" ht="18.75" x14ac:dyDescent="0.3">
      <c r="B61" s="24" t="s">
        <v>59</v>
      </c>
      <c r="C61" s="16">
        <v>8810</v>
      </c>
      <c r="D61" s="7">
        <v>18790</v>
      </c>
      <c r="E61" s="8">
        <v>2239542</v>
      </c>
      <c r="F61" s="27">
        <f t="shared" ref="F61:F68" si="8">E61/C61</f>
        <v>254.20454029511919</v>
      </c>
      <c r="G61" s="17"/>
      <c r="H61" s="17"/>
      <c r="I61" s="55"/>
      <c r="J61" s="55"/>
    </row>
    <row r="62" spans="2:10" ht="18.75" x14ac:dyDescent="0.3">
      <c r="B62" s="26" t="s">
        <v>60</v>
      </c>
      <c r="C62" s="9">
        <v>9586</v>
      </c>
      <c r="D62" s="7">
        <v>20086</v>
      </c>
      <c r="E62" s="9">
        <v>2405761</v>
      </c>
      <c r="F62" s="27">
        <f t="shared" si="8"/>
        <v>250.96609639056959</v>
      </c>
      <c r="G62" s="17"/>
      <c r="H62" s="17"/>
      <c r="I62" s="55"/>
      <c r="J62" s="55"/>
    </row>
    <row r="63" spans="2:10" ht="18.75" x14ac:dyDescent="0.3">
      <c r="B63" s="26" t="s">
        <v>61</v>
      </c>
      <c r="C63" s="9">
        <v>11311</v>
      </c>
      <c r="D63" s="7">
        <v>22804</v>
      </c>
      <c r="E63" s="9">
        <v>2727580</v>
      </c>
      <c r="F63" s="27">
        <f t="shared" si="8"/>
        <v>241.14401909645477</v>
      </c>
      <c r="G63" s="17"/>
      <c r="H63" s="17"/>
      <c r="I63" s="55"/>
      <c r="J63" s="55"/>
    </row>
    <row r="64" spans="2:10" ht="18.75" x14ac:dyDescent="0.3">
      <c r="B64" s="26" t="s">
        <v>62</v>
      </c>
      <c r="C64" s="9">
        <v>5180</v>
      </c>
      <c r="D64" s="7">
        <v>11535</v>
      </c>
      <c r="E64" s="9">
        <v>1393895</v>
      </c>
      <c r="F64" s="27">
        <f t="shared" si="8"/>
        <v>269.09169884169881</v>
      </c>
      <c r="G64" s="17"/>
      <c r="H64" s="17"/>
      <c r="I64" s="55"/>
      <c r="J64" s="55"/>
    </row>
    <row r="65" spans="2:10" ht="18.75" x14ac:dyDescent="0.3">
      <c r="B65" s="26" t="s">
        <v>63</v>
      </c>
      <c r="C65" s="9">
        <v>3936</v>
      </c>
      <c r="D65" s="7">
        <v>8168</v>
      </c>
      <c r="E65" s="9">
        <v>970849</v>
      </c>
      <c r="F65" s="27">
        <f t="shared" si="8"/>
        <v>246.6587906504065</v>
      </c>
      <c r="G65" s="17"/>
      <c r="H65" s="17"/>
      <c r="I65" s="55"/>
      <c r="J65" s="55"/>
    </row>
    <row r="66" spans="2:10" ht="18.75" x14ac:dyDescent="0.3">
      <c r="B66" s="26" t="s">
        <v>64</v>
      </c>
      <c r="C66" s="9">
        <v>9761</v>
      </c>
      <c r="D66" s="7">
        <v>20424</v>
      </c>
      <c r="E66" s="9">
        <v>2432837</v>
      </c>
      <c r="F66" s="27">
        <f t="shared" si="8"/>
        <v>249.24054912406515</v>
      </c>
      <c r="G66" s="17"/>
      <c r="H66" s="17"/>
      <c r="I66" s="55"/>
      <c r="J66" s="55"/>
    </row>
    <row r="67" spans="2:10" ht="19.5" thickBot="1" x14ac:dyDescent="0.35">
      <c r="B67" s="26" t="s">
        <v>66</v>
      </c>
      <c r="C67" s="9">
        <v>9077</v>
      </c>
      <c r="D67" s="7">
        <v>18415</v>
      </c>
      <c r="E67" s="9">
        <v>2215456</v>
      </c>
      <c r="F67" s="27">
        <f t="shared" si="8"/>
        <v>244.07359259667291</v>
      </c>
      <c r="G67" s="17"/>
      <c r="H67" s="17"/>
      <c r="I67" s="55"/>
      <c r="J67" s="55"/>
    </row>
    <row r="68" spans="2:10" ht="19.5" thickBot="1" x14ac:dyDescent="0.35">
      <c r="B68" s="29" t="s">
        <v>49</v>
      </c>
      <c r="C68" s="40">
        <f>SUM(C61:C67)</f>
        <v>57661</v>
      </c>
      <c r="D68" s="40">
        <f>SUM(D61:D67)</f>
        <v>120222</v>
      </c>
      <c r="E68" s="40">
        <f>SUM(E61:E67)</f>
        <v>14385920</v>
      </c>
      <c r="F68" s="31">
        <f t="shared" si="8"/>
        <v>249.49133729904094</v>
      </c>
      <c r="G68" s="17"/>
      <c r="H68" s="17"/>
      <c r="I68" s="55"/>
      <c r="J68" s="55"/>
    </row>
    <row r="69" spans="2:10" ht="19.5" thickBot="1" x14ac:dyDescent="0.35">
      <c r="B69" s="44"/>
      <c r="C69" s="45"/>
      <c r="D69" s="45"/>
      <c r="E69" s="45"/>
      <c r="F69" s="46"/>
      <c r="G69" s="17"/>
      <c r="H69" s="17"/>
      <c r="I69" s="55"/>
      <c r="J69" s="55"/>
    </row>
    <row r="70" spans="2:10" ht="19.5" thickBot="1" x14ac:dyDescent="0.35">
      <c r="B70" s="21" t="s">
        <v>67</v>
      </c>
      <c r="C70" s="42"/>
      <c r="D70" s="42"/>
      <c r="E70" s="42"/>
      <c r="F70" s="43"/>
      <c r="G70" s="17"/>
      <c r="H70" s="17"/>
      <c r="I70" s="55"/>
      <c r="J70" s="55"/>
    </row>
    <row r="71" spans="2:10" ht="18.75" x14ac:dyDescent="0.3">
      <c r="B71" s="24" t="s">
        <v>68</v>
      </c>
      <c r="C71" s="16">
        <v>3974</v>
      </c>
      <c r="D71" s="7">
        <v>8513</v>
      </c>
      <c r="E71" s="8">
        <v>1013486</v>
      </c>
      <c r="F71" s="27">
        <f t="shared" ref="F71:F77" si="9">E71/C71</f>
        <v>255.02918973326624</v>
      </c>
      <c r="G71" s="17"/>
      <c r="H71" s="17"/>
      <c r="I71" s="55"/>
      <c r="J71" s="55"/>
    </row>
    <row r="72" spans="2:10" ht="18.75" x14ac:dyDescent="0.3">
      <c r="B72" s="26" t="s">
        <v>69</v>
      </c>
      <c r="C72" s="9">
        <v>7002</v>
      </c>
      <c r="D72" s="7">
        <v>13704</v>
      </c>
      <c r="E72" s="9">
        <v>1623276</v>
      </c>
      <c r="F72" s="27">
        <f t="shared" si="9"/>
        <v>231.83033419023135</v>
      </c>
      <c r="G72" s="17"/>
      <c r="H72" s="17"/>
      <c r="I72" s="55"/>
      <c r="J72" s="55"/>
    </row>
    <row r="73" spans="2:10" ht="18.75" x14ac:dyDescent="0.3">
      <c r="B73" s="26" t="s">
        <v>67</v>
      </c>
      <c r="C73" s="9">
        <v>8092</v>
      </c>
      <c r="D73" s="7">
        <v>17028</v>
      </c>
      <c r="E73" s="7">
        <v>2024844</v>
      </c>
      <c r="F73" s="27">
        <f t="shared" si="9"/>
        <v>250.22787938704894</v>
      </c>
      <c r="G73" s="17"/>
      <c r="H73" s="17"/>
      <c r="I73" s="55"/>
      <c r="J73" s="55"/>
    </row>
    <row r="74" spans="2:10" ht="18.75" x14ac:dyDescent="0.3">
      <c r="B74" s="26" t="s">
        <v>70</v>
      </c>
      <c r="C74" s="9">
        <v>4343</v>
      </c>
      <c r="D74" s="7">
        <v>8879</v>
      </c>
      <c r="E74" s="9">
        <v>1062778</v>
      </c>
      <c r="F74" s="27">
        <f t="shared" si="9"/>
        <v>244.71056873129174</v>
      </c>
      <c r="G74" s="17"/>
      <c r="H74" s="17"/>
      <c r="I74" s="55"/>
      <c r="J74" s="55"/>
    </row>
    <row r="75" spans="2:10" ht="18.75" x14ac:dyDescent="0.3">
      <c r="B75" s="26" t="s">
        <v>71</v>
      </c>
      <c r="C75" s="9">
        <v>6252</v>
      </c>
      <c r="D75" s="7">
        <v>13056</v>
      </c>
      <c r="E75" s="9">
        <v>1550571</v>
      </c>
      <c r="F75" s="27">
        <f t="shared" si="9"/>
        <v>248.01199616122841</v>
      </c>
      <c r="G75" s="17"/>
      <c r="H75" s="17"/>
      <c r="I75" s="55"/>
      <c r="J75" s="55"/>
    </row>
    <row r="76" spans="2:10" ht="19.5" thickBot="1" x14ac:dyDescent="0.35">
      <c r="B76" s="28" t="s">
        <v>72</v>
      </c>
      <c r="C76" s="10">
        <v>4020</v>
      </c>
      <c r="D76" s="7">
        <v>8658</v>
      </c>
      <c r="E76" s="10">
        <v>1015003</v>
      </c>
      <c r="F76" s="27">
        <f t="shared" si="9"/>
        <v>252.48830845771144</v>
      </c>
      <c r="G76" s="17"/>
      <c r="H76" s="17"/>
      <c r="I76" s="55"/>
      <c r="J76" s="55"/>
    </row>
    <row r="77" spans="2:10" ht="19.5" thickBot="1" x14ac:dyDescent="0.35">
      <c r="B77" s="29" t="s">
        <v>49</v>
      </c>
      <c r="C77" s="40">
        <f>SUM(C71:C76)</f>
        <v>33683</v>
      </c>
      <c r="D77" s="40">
        <f t="shared" ref="D77:E77" si="10">SUM(D71:D76)</f>
        <v>69838</v>
      </c>
      <c r="E77" s="40">
        <f t="shared" si="10"/>
        <v>8289958</v>
      </c>
      <c r="F77" s="31">
        <f t="shared" si="9"/>
        <v>246.11697295371553</v>
      </c>
      <c r="G77" s="17"/>
      <c r="H77" s="17"/>
      <c r="I77" s="55"/>
      <c r="J77" s="55"/>
    </row>
    <row r="78" spans="2:10" ht="19.5" thickBot="1" x14ac:dyDescent="0.35">
      <c r="B78" s="44"/>
      <c r="C78" s="45"/>
      <c r="D78" s="45"/>
      <c r="E78" s="45"/>
      <c r="F78" s="46"/>
      <c r="G78" s="17"/>
      <c r="H78" s="17"/>
      <c r="I78" s="55"/>
      <c r="J78" s="55"/>
    </row>
    <row r="79" spans="2:10" ht="19.5" thickBot="1" x14ac:dyDescent="0.35">
      <c r="B79" s="21" t="s">
        <v>73</v>
      </c>
      <c r="C79" s="42"/>
      <c r="D79" s="42"/>
      <c r="E79" s="42"/>
      <c r="F79" s="43"/>
      <c r="G79" s="17"/>
      <c r="H79" s="17"/>
      <c r="I79" s="55"/>
      <c r="J79" s="55"/>
    </row>
    <row r="80" spans="2:10" ht="18.75" x14ac:dyDescent="0.3">
      <c r="B80" s="24" t="s">
        <v>74</v>
      </c>
      <c r="C80" s="16">
        <v>2477</v>
      </c>
      <c r="D80" s="7">
        <v>5017</v>
      </c>
      <c r="E80" s="8">
        <v>595374</v>
      </c>
      <c r="F80" s="27">
        <f t="shared" ref="F80:F90" si="11">E80/C80</f>
        <v>240.36092046830845</v>
      </c>
      <c r="G80" s="17"/>
      <c r="H80" s="17"/>
      <c r="I80" s="55"/>
      <c r="J80" s="55"/>
    </row>
    <row r="81" spans="2:10" ht="18.75" x14ac:dyDescent="0.3">
      <c r="B81" s="26" t="s">
        <v>75</v>
      </c>
      <c r="C81" s="9">
        <v>252</v>
      </c>
      <c r="D81" s="7">
        <v>540</v>
      </c>
      <c r="E81" s="9">
        <v>61339</v>
      </c>
      <c r="F81" s="27">
        <f t="shared" si="11"/>
        <v>243.40873015873015</v>
      </c>
      <c r="G81" s="17"/>
      <c r="H81" s="17"/>
      <c r="I81" s="55"/>
      <c r="J81" s="55"/>
    </row>
    <row r="82" spans="2:10" ht="18.75" x14ac:dyDescent="0.3">
      <c r="B82" s="26" t="s">
        <v>76</v>
      </c>
      <c r="C82" s="9">
        <v>6857</v>
      </c>
      <c r="D82" s="7">
        <v>14036</v>
      </c>
      <c r="E82" s="9">
        <v>1687655</v>
      </c>
      <c r="F82" s="27">
        <f t="shared" si="11"/>
        <v>246.12148169753536</v>
      </c>
      <c r="G82" s="17"/>
      <c r="H82" s="17"/>
      <c r="I82" s="55"/>
      <c r="J82" s="55"/>
    </row>
    <row r="83" spans="2:10" ht="18.75" x14ac:dyDescent="0.3">
      <c r="B83" s="26" t="s">
        <v>73</v>
      </c>
      <c r="C83" s="9">
        <v>11196</v>
      </c>
      <c r="D83" s="7">
        <v>21974</v>
      </c>
      <c r="E83" s="9">
        <v>2650078</v>
      </c>
      <c r="F83" s="27">
        <f t="shared" si="11"/>
        <v>236.6986423722758</v>
      </c>
      <c r="G83" s="17"/>
      <c r="H83" s="17"/>
      <c r="I83" s="55"/>
      <c r="J83" s="55"/>
    </row>
    <row r="84" spans="2:10" ht="18.75" x14ac:dyDescent="0.3">
      <c r="B84" s="26" t="s">
        <v>77</v>
      </c>
      <c r="C84" s="9">
        <v>8193</v>
      </c>
      <c r="D84" s="7">
        <v>17107</v>
      </c>
      <c r="E84" s="9">
        <v>2060593</v>
      </c>
      <c r="F84" s="27">
        <f t="shared" si="11"/>
        <v>251.50652996460394</v>
      </c>
      <c r="G84" s="17"/>
      <c r="H84" s="17"/>
      <c r="I84" s="55"/>
      <c r="J84" s="55"/>
    </row>
    <row r="85" spans="2:10" ht="18.75" x14ac:dyDescent="0.3">
      <c r="B85" s="26" t="s">
        <v>78</v>
      </c>
      <c r="C85" s="9">
        <v>7500</v>
      </c>
      <c r="D85" s="7">
        <v>15200</v>
      </c>
      <c r="E85" s="9">
        <v>1829978</v>
      </c>
      <c r="F85" s="27">
        <f t="shared" si="11"/>
        <v>243.99706666666665</v>
      </c>
      <c r="G85" s="17"/>
      <c r="H85" s="17"/>
      <c r="I85" s="55"/>
      <c r="J85" s="55"/>
    </row>
    <row r="86" spans="2:10" ht="18.75" x14ac:dyDescent="0.3">
      <c r="B86" s="26" t="s">
        <v>79</v>
      </c>
      <c r="C86" s="9">
        <v>2910</v>
      </c>
      <c r="D86" s="7">
        <v>5971</v>
      </c>
      <c r="E86" s="9">
        <v>707515</v>
      </c>
      <c r="F86" s="27">
        <f t="shared" si="11"/>
        <v>243.13230240549828</v>
      </c>
      <c r="G86" s="17"/>
      <c r="H86" s="17"/>
      <c r="I86" s="55"/>
      <c r="J86" s="55"/>
    </row>
    <row r="87" spans="2:10" ht="18.75" x14ac:dyDescent="0.3">
      <c r="B87" s="26" t="s">
        <v>80</v>
      </c>
      <c r="C87" s="9">
        <v>5487</v>
      </c>
      <c r="D87" s="7">
        <v>11501</v>
      </c>
      <c r="E87" s="9">
        <v>1373975</v>
      </c>
      <c r="F87" s="27">
        <f t="shared" si="11"/>
        <v>250.40550391835248</v>
      </c>
      <c r="G87" s="17"/>
      <c r="H87" s="17"/>
      <c r="I87" s="55"/>
      <c r="J87" s="55"/>
    </row>
    <row r="88" spans="2:10" ht="18.75" x14ac:dyDescent="0.3">
      <c r="B88" s="26" t="s">
        <v>81</v>
      </c>
      <c r="C88" s="9">
        <v>2066</v>
      </c>
      <c r="D88" s="7">
        <v>4131</v>
      </c>
      <c r="E88" s="9">
        <v>502956</v>
      </c>
      <c r="F88" s="27">
        <f t="shared" si="11"/>
        <v>243.44433688286543</v>
      </c>
      <c r="G88" s="17"/>
      <c r="H88" s="17"/>
      <c r="I88" s="55"/>
      <c r="J88" s="55"/>
    </row>
    <row r="89" spans="2:10" ht="19.5" thickBot="1" x14ac:dyDescent="0.35">
      <c r="B89" s="28" t="s">
        <v>82</v>
      </c>
      <c r="C89" s="10">
        <v>9303</v>
      </c>
      <c r="D89" s="7">
        <v>18651</v>
      </c>
      <c r="E89" s="10">
        <v>2232101</v>
      </c>
      <c r="F89" s="27">
        <f t="shared" si="11"/>
        <v>239.9334623239815</v>
      </c>
      <c r="G89" s="17"/>
      <c r="H89" s="17"/>
      <c r="I89" s="55"/>
      <c r="J89" s="55"/>
    </row>
    <row r="90" spans="2:10" ht="19.5" thickBot="1" x14ac:dyDescent="0.35">
      <c r="B90" s="29" t="s">
        <v>49</v>
      </c>
      <c r="C90" s="40">
        <f>SUM(C80:C89)</f>
        <v>56241</v>
      </c>
      <c r="D90" s="40">
        <f t="shared" ref="D90:E90" si="12">SUM(D80:D89)</f>
        <v>114128</v>
      </c>
      <c r="E90" s="40">
        <f t="shared" si="12"/>
        <v>13701564</v>
      </c>
      <c r="F90" s="31">
        <f t="shared" si="11"/>
        <v>243.6223395743319</v>
      </c>
      <c r="G90" s="17"/>
      <c r="H90" s="17"/>
      <c r="I90" s="55"/>
      <c r="J90" s="55"/>
    </row>
    <row r="91" spans="2:10" ht="19.5" thickBot="1" x14ac:dyDescent="0.35">
      <c r="B91" s="44"/>
      <c r="C91" s="45"/>
      <c r="D91" s="45"/>
      <c r="E91" s="45"/>
      <c r="F91" s="46"/>
      <c r="G91" s="17"/>
      <c r="H91" s="17"/>
      <c r="I91" s="55"/>
      <c r="J91" s="55"/>
    </row>
    <row r="92" spans="2:10" ht="19.5" thickBot="1" x14ac:dyDescent="0.35">
      <c r="B92" s="21" t="s">
        <v>83</v>
      </c>
      <c r="C92" s="42"/>
      <c r="D92" s="42"/>
      <c r="E92" s="42"/>
      <c r="F92" s="43"/>
      <c r="G92" s="17"/>
      <c r="H92" s="17"/>
      <c r="I92" s="55"/>
      <c r="J92" s="55"/>
    </row>
    <row r="93" spans="2:10" ht="18.75" x14ac:dyDescent="0.3">
      <c r="B93" s="24" t="s">
        <v>84</v>
      </c>
      <c r="C93" s="16">
        <v>5629</v>
      </c>
      <c r="D93" s="7">
        <v>11518</v>
      </c>
      <c r="E93" s="8">
        <v>1368205</v>
      </c>
      <c r="F93" s="27">
        <f t="shared" ref="F93:F101" si="13">E93/C93</f>
        <v>243.06359921833362</v>
      </c>
      <c r="G93" s="17"/>
      <c r="H93" s="17"/>
      <c r="I93" s="55"/>
      <c r="J93" s="55"/>
    </row>
    <row r="94" spans="2:10" ht="18.75" x14ac:dyDescent="0.3">
      <c r="B94" s="26" t="s">
        <v>85</v>
      </c>
      <c r="C94" s="9">
        <v>7604</v>
      </c>
      <c r="D94" s="7">
        <v>15972</v>
      </c>
      <c r="E94" s="9">
        <v>1916889</v>
      </c>
      <c r="F94" s="27">
        <f t="shared" si="13"/>
        <v>252.08955812730142</v>
      </c>
      <c r="G94" s="17"/>
      <c r="H94" s="17"/>
      <c r="I94" s="55"/>
      <c r="J94" s="55"/>
    </row>
    <row r="95" spans="2:10" ht="18.75" x14ac:dyDescent="0.3">
      <c r="B95" s="26" t="s">
        <v>86</v>
      </c>
      <c r="C95" s="9">
        <v>4026</v>
      </c>
      <c r="D95" s="7">
        <v>8567</v>
      </c>
      <c r="E95" s="9">
        <v>1026821</v>
      </c>
      <c r="F95" s="27">
        <f t="shared" si="13"/>
        <v>255.04744162940884</v>
      </c>
      <c r="G95" s="17"/>
      <c r="H95" s="17"/>
      <c r="I95" s="55"/>
      <c r="J95" s="55"/>
    </row>
    <row r="96" spans="2:10" ht="18.75" x14ac:dyDescent="0.3">
      <c r="B96" s="26" t="s">
        <v>87</v>
      </c>
      <c r="C96" s="9">
        <v>2689</v>
      </c>
      <c r="D96" s="7">
        <v>5125</v>
      </c>
      <c r="E96" s="9">
        <v>612371</v>
      </c>
      <c r="F96" s="27">
        <f t="shared" si="13"/>
        <v>227.73187058386017</v>
      </c>
      <c r="G96" s="17"/>
      <c r="H96" s="17"/>
      <c r="I96" s="55"/>
      <c r="J96" s="55"/>
    </row>
    <row r="97" spans="2:10" ht="18.75" x14ac:dyDescent="0.3">
      <c r="B97" s="26" t="s">
        <v>88</v>
      </c>
      <c r="C97" s="9">
        <v>5163</v>
      </c>
      <c r="D97" s="7">
        <v>10968</v>
      </c>
      <c r="E97" s="9">
        <v>1319931</v>
      </c>
      <c r="F97" s="27">
        <f t="shared" si="13"/>
        <v>255.65194654270772</v>
      </c>
      <c r="G97" s="17"/>
      <c r="H97" s="17"/>
      <c r="I97" s="55"/>
      <c r="J97" s="55"/>
    </row>
    <row r="98" spans="2:10" ht="18.75" x14ac:dyDescent="0.3">
      <c r="B98" s="26" t="s">
        <v>89</v>
      </c>
      <c r="C98" s="9">
        <v>1160</v>
      </c>
      <c r="D98" s="7">
        <v>2756</v>
      </c>
      <c r="E98" s="9">
        <v>325669</v>
      </c>
      <c r="F98" s="27">
        <f t="shared" si="13"/>
        <v>280.74913793103451</v>
      </c>
      <c r="G98" s="17"/>
      <c r="H98" s="17"/>
      <c r="I98" s="55"/>
      <c r="J98" s="55"/>
    </row>
    <row r="99" spans="2:10" ht="18.75" x14ac:dyDescent="0.3">
      <c r="B99" s="26" t="s">
        <v>90</v>
      </c>
      <c r="C99" s="9">
        <v>15418</v>
      </c>
      <c r="D99" s="7">
        <v>30552</v>
      </c>
      <c r="E99" s="9">
        <v>3713711</v>
      </c>
      <c r="F99" s="27">
        <f t="shared" si="13"/>
        <v>240.86853028927229</v>
      </c>
      <c r="G99" s="17"/>
      <c r="H99" s="17"/>
      <c r="I99" s="55"/>
      <c r="J99" s="55"/>
    </row>
    <row r="100" spans="2:10" ht="18.75" x14ac:dyDescent="0.3">
      <c r="B100" s="47" t="s">
        <v>92</v>
      </c>
      <c r="C100" s="9">
        <v>4368</v>
      </c>
      <c r="D100" s="7">
        <v>9344</v>
      </c>
      <c r="E100" s="9">
        <v>1107664</v>
      </c>
      <c r="F100" s="27">
        <f t="shared" si="13"/>
        <v>253.58608058608058</v>
      </c>
      <c r="G100" s="17"/>
      <c r="H100" s="17"/>
      <c r="I100" s="55"/>
      <c r="J100" s="55"/>
    </row>
    <row r="101" spans="2:10" ht="19.5" thickBot="1" x14ac:dyDescent="0.35">
      <c r="B101" s="26" t="s">
        <v>93</v>
      </c>
      <c r="C101" s="10">
        <v>6519</v>
      </c>
      <c r="D101" s="7">
        <v>13479</v>
      </c>
      <c r="E101" s="9">
        <v>1612672</v>
      </c>
      <c r="F101" s="27">
        <f t="shared" si="13"/>
        <v>247.38027304801349</v>
      </c>
      <c r="G101" s="17"/>
      <c r="H101" s="17"/>
      <c r="I101" s="55"/>
      <c r="J101" s="55"/>
    </row>
    <row r="102" spans="2:10" ht="19.5" thickBot="1" x14ac:dyDescent="0.35">
      <c r="B102" s="29" t="s">
        <v>49</v>
      </c>
      <c r="C102" s="40">
        <f>SUM(C93:C101)</f>
        <v>52576</v>
      </c>
      <c r="D102" s="40">
        <f t="shared" ref="D102:E102" si="14">SUM(D93:D101)</f>
        <v>108281</v>
      </c>
      <c r="E102" s="40">
        <f t="shared" si="14"/>
        <v>13003933</v>
      </c>
      <c r="F102" s="31">
        <f t="shared" ref="F102" si="15">E102/C102</f>
        <v>247.33591372489349</v>
      </c>
      <c r="G102" s="17"/>
      <c r="H102" s="17"/>
      <c r="I102" s="55"/>
      <c r="J102" s="55"/>
    </row>
    <row r="103" spans="2:10" ht="19.5" thickBot="1" x14ac:dyDescent="0.35">
      <c r="B103" s="44"/>
      <c r="C103" s="45"/>
      <c r="D103" s="45"/>
      <c r="E103" s="45"/>
      <c r="F103" s="46"/>
      <c r="G103" s="17"/>
      <c r="I103" s="55"/>
      <c r="J103" s="55"/>
    </row>
    <row r="104" spans="2:10" ht="19.5" thickBot="1" x14ac:dyDescent="0.35">
      <c r="B104" s="34" t="s">
        <v>94</v>
      </c>
      <c r="C104" s="42"/>
      <c r="D104" s="42"/>
      <c r="E104" s="42"/>
      <c r="F104" s="43"/>
      <c r="G104" s="17"/>
      <c r="H104" s="17"/>
      <c r="I104" s="55"/>
      <c r="J104" s="55"/>
    </row>
    <row r="105" spans="2:10" ht="18.75" x14ac:dyDescent="0.3">
      <c r="B105" s="48" t="s">
        <v>95</v>
      </c>
      <c r="C105" s="60">
        <v>3914</v>
      </c>
      <c r="D105" s="7">
        <v>9308</v>
      </c>
      <c r="E105" s="8">
        <v>1115067</v>
      </c>
      <c r="F105" s="27">
        <f t="shared" ref="F105:F118" si="16">E105/C105</f>
        <v>284.89192641798672</v>
      </c>
      <c r="G105" s="17"/>
      <c r="H105" s="17"/>
      <c r="I105" s="55"/>
      <c r="J105" s="55"/>
    </row>
    <row r="106" spans="2:10" ht="18.75" x14ac:dyDescent="0.3">
      <c r="B106" s="49" t="s">
        <v>96</v>
      </c>
      <c r="C106" s="9">
        <v>5683</v>
      </c>
      <c r="D106" s="7">
        <v>11584</v>
      </c>
      <c r="E106" s="8">
        <v>1380018</v>
      </c>
      <c r="F106" s="27">
        <f t="shared" si="16"/>
        <v>242.83265880696814</v>
      </c>
      <c r="G106" s="17"/>
      <c r="H106" s="17"/>
      <c r="I106" s="55"/>
      <c r="J106" s="55"/>
    </row>
    <row r="107" spans="2:10" ht="18.75" x14ac:dyDescent="0.3">
      <c r="B107" s="49" t="s">
        <v>97</v>
      </c>
      <c r="C107" s="9">
        <v>877</v>
      </c>
      <c r="D107" s="7">
        <v>1968</v>
      </c>
      <c r="E107" s="9">
        <v>243554</v>
      </c>
      <c r="F107" s="27">
        <f t="shared" si="16"/>
        <v>277.71265678449259</v>
      </c>
      <c r="G107" s="17"/>
      <c r="H107" s="17"/>
      <c r="I107" s="55"/>
      <c r="J107" s="55"/>
    </row>
    <row r="108" spans="2:10" ht="18.75" x14ac:dyDescent="0.3">
      <c r="B108" s="49" t="s">
        <v>98</v>
      </c>
      <c r="C108" s="9">
        <v>7611</v>
      </c>
      <c r="D108" s="7">
        <v>16389</v>
      </c>
      <c r="E108" s="9">
        <v>1952243</v>
      </c>
      <c r="F108" s="27">
        <f t="shared" si="16"/>
        <v>256.50282485875704</v>
      </c>
      <c r="G108" s="17"/>
      <c r="H108" s="17"/>
      <c r="I108" s="55"/>
      <c r="J108" s="55"/>
    </row>
    <row r="109" spans="2:10" ht="18.75" x14ac:dyDescent="0.3">
      <c r="B109" s="26" t="s">
        <v>99</v>
      </c>
      <c r="C109" s="9">
        <v>4715</v>
      </c>
      <c r="D109" s="7">
        <v>10319</v>
      </c>
      <c r="E109" s="9">
        <v>1234981</v>
      </c>
      <c r="F109" s="27">
        <f t="shared" si="16"/>
        <v>261.92598091198306</v>
      </c>
      <c r="G109" s="17"/>
      <c r="H109" s="17"/>
      <c r="I109" s="55"/>
      <c r="J109" s="55"/>
    </row>
    <row r="110" spans="2:10" ht="18.75" x14ac:dyDescent="0.3">
      <c r="B110" s="26" t="s">
        <v>100</v>
      </c>
      <c r="C110" s="9">
        <v>3766</v>
      </c>
      <c r="D110" s="7">
        <v>8951</v>
      </c>
      <c r="E110" s="9">
        <v>1074029</v>
      </c>
      <c r="F110" s="27">
        <f t="shared" si="16"/>
        <v>285.19091874668084</v>
      </c>
      <c r="G110" s="17"/>
      <c r="H110" s="17"/>
      <c r="I110" s="55"/>
      <c r="J110" s="55"/>
    </row>
    <row r="111" spans="2:10" ht="18.75" x14ac:dyDescent="0.3">
      <c r="B111" s="26" t="s">
        <v>101</v>
      </c>
      <c r="C111" s="9">
        <v>8866</v>
      </c>
      <c r="D111" s="7">
        <v>19995</v>
      </c>
      <c r="E111" s="9">
        <v>2363632</v>
      </c>
      <c r="F111" s="27">
        <f t="shared" si="16"/>
        <v>266.5950823370178</v>
      </c>
      <c r="G111" s="17"/>
      <c r="H111" s="17"/>
      <c r="I111" s="55"/>
      <c r="J111" s="55"/>
    </row>
    <row r="112" spans="2:10" ht="18.75" x14ac:dyDescent="0.3">
      <c r="B112" s="26" t="s">
        <v>102</v>
      </c>
      <c r="C112" s="9">
        <v>5789</v>
      </c>
      <c r="D112" s="7">
        <v>13139</v>
      </c>
      <c r="E112" s="9">
        <v>1561903</v>
      </c>
      <c r="F112" s="27">
        <f t="shared" si="16"/>
        <v>269.80532043530832</v>
      </c>
      <c r="G112" s="17"/>
      <c r="H112" s="17"/>
      <c r="I112" s="55"/>
      <c r="J112" s="55"/>
    </row>
    <row r="113" spans="2:10" ht="18.75" x14ac:dyDescent="0.3">
      <c r="B113" s="26" t="s">
        <v>103</v>
      </c>
      <c r="C113" s="9">
        <v>5129</v>
      </c>
      <c r="D113" s="7">
        <v>11987</v>
      </c>
      <c r="E113" s="9">
        <v>1414561</v>
      </c>
      <c r="F113" s="27">
        <f t="shared" si="16"/>
        <v>275.79664651978942</v>
      </c>
      <c r="G113" s="17"/>
      <c r="H113" s="17"/>
      <c r="I113" s="55"/>
      <c r="J113" s="55"/>
    </row>
    <row r="114" spans="2:10" ht="18.75" x14ac:dyDescent="0.3">
      <c r="B114" s="26" t="s">
        <v>104</v>
      </c>
      <c r="C114" s="9">
        <v>7240</v>
      </c>
      <c r="D114" s="7">
        <v>14535</v>
      </c>
      <c r="E114" s="9">
        <v>1755030</v>
      </c>
      <c r="F114" s="27">
        <f t="shared" si="16"/>
        <v>242.40745856353593</v>
      </c>
      <c r="G114" s="17"/>
      <c r="H114" s="17"/>
      <c r="I114" s="55"/>
      <c r="J114" s="55"/>
    </row>
    <row r="115" spans="2:10" ht="18.75" x14ac:dyDescent="0.3">
      <c r="B115" s="26" t="s">
        <v>105</v>
      </c>
      <c r="C115" s="9">
        <v>8519</v>
      </c>
      <c r="D115" s="7">
        <v>19685</v>
      </c>
      <c r="E115" s="9">
        <v>2348241</v>
      </c>
      <c r="F115" s="27">
        <f t="shared" si="16"/>
        <v>275.64749383730486</v>
      </c>
      <c r="G115" s="17"/>
      <c r="H115" s="17"/>
      <c r="I115" s="55"/>
      <c r="J115" s="55"/>
    </row>
    <row r="116" spans="2:10" ht="18.75" x14ac:dyDescent="0.3">
      <c r="B116" s="26" t="s">
        <v>106</v>
      </c>
      <c r="C116" s="9">
        <v>16482</v>
      </c>
      <c r="D116" s="7">
        <v>35763</v>
      </c>
      <c r="E116" s="9">
        <v>4333851</v>
      </c>
      <c r="F116" s="27">
        <f t="shared" si="16"/>
        <v>262.94448489261015</v>
      </c>
      <c r="G116" s="17"/>
      <c r="H116" s="17"/>
      <c r="I116" s="55"/>
      <c r="J116" s="55"/>
    </row>
    <row r="117" spans="2:10" ht="18.75" x14ac:dyDescent="0.3">
      <c r="B117" s="26" t="s">
        <v>107</v>
      </c>
      <c r="C117" s="9">
        <v>5462</v>
      </c>
      <c r="D117" s="7">
        <v>12452</v>
      </c>
      <c r="E117" s="9">
        <v>1487906</v>
      </c>
      <c r="F117" s="27">
        <f t="shared" si="16"/>
        <v>272.41047235444893</v>
      </c>
      <c r="G117" s="17"/>
      <c r="H117" s="17"/>
      <c r="I117" s="55"/>
      <c r="J117" s="55"/>
    </row>
    <row r="118" spans="2:10" ht="19.5" thickBot="1" x14ac:dyDescent="0.35">
      <c r="B118" s="26" t="s">
        <v>108</v>
      </c>
      <c r="C118" s="10">
        <v>8341</v>
      </c>
      <c r="D118" s="7">
        <v>17721</v>
      </c>
      <c r="E118" s="9">
        <v>2118071</v>
      </c>
      <c r="F118" s="27">
        <f t="shared" si="16"/>
        <v>253.93489989209928</v>
      </c>
      <c r="G118" s="17"/>
      <c r="H118" s="17"/>
      <c r="I118" s="55"/>
      <c r="J118" s="55"/>
    </row>
    <row r="119" spans="2:10" ht="19.5" thickBot="1" x14ac:dyDescent="0.35">
      <c r="B119" s="29" t="s">
        <v>49</v>
      </c>
      <c r="C119" s="40">
        <f>SUM(C105:C118)</f>
        <v>92394</v>
      </c>
      <c r="D119" s="40">
        <f t="shared" ref="D119:E119" si="17">SUM(D105:D118)</f>
        <v>203796</v>
      </c>
      <c r="E119" s="40">
        <f t="shared" si="17"/>
        <v>24383087</v>
      </c>
      <c r="F119" s="31">
        <f t="shared" ref="F119" si="18">E119/C119</f>
        <v>263.90335952551033</v>
      </c>
      <c r="G119" s="17"/>
      <c r="H119" s="17"/>
      <c r="I119" s="55"/>
      <c r="J119" s="55"/>
    </row>
    <row r="120" spans="2:10" ht="19.5" thickBot="1" x14ac:dyDescent="0.35">
      <c r="B120" s="44"/>
      <c r="C120" s="45"/>
      <c r="D120" s="45"/>
      <c r="E120" s="45"/>
      <c r="F120" s="46"/>
      <c r="G120" s="17"/>
      <c r="H120" s="17"/>
      <c r="I120" s="55"/>
      <c r="J120" s="55"/>
    </row>
    <row r="121" spans="2:10" ht="19.5" thickBot="1" x14ac:dyDescent="0.35">
      <c r="B121" s="21" t="s">
        <v>109</v>
      </c>
      <c r="C121" s="42"/>
      <c r="D121" s="42"/>
      <c r="E121" s="42"/>
      <c r="F121" s="43"/>
      <c r="G121" s="17"/>
      <c r="H121" s="17"/>
      <c r="I121" s="55"/>
      <c r="J121" s="55"/>
    </row>
    <row r="122" spans="2:10" ht="18.75" x14ac:dyDescent="0.3">
      <c r="B122" s="24" t="s">
        <v>110</v>
      </c>
      <c r="C122" s="16">
        <v>1558</v>
      </c>
      <c r="D122" s="7">
        <v>3485</v>
      </c>
      <c r="E122" s="8">
        <v>420890</v>
      </c>
      <c r="F122" s="27">
        <f t="shared" ref="F122:F130" si="19">E122/C122</f>
        <v>270.14762516046216</v>
      </c>
      <c r="G122" s="17"/>
      <c r="H122" s="17"/>
      <c r="I122" s="55"/>
      <c r="J122" s="55"/>
    </row>
    <row r="123" spans="2:10" ht="18.75" x14ac:dyDescent="0.3">
      <c r="B123" s="26" t="s">
        <v>111</v>
      </c>
      <c r="C123" s="9">
        <v>4992</v>
      </c>
      <c r="D123" s="7">
        <v>10082</v>
      </c>
      <c r="E123" s="9">
        <v>1215824</v>
      </c>
      <c r="F123" s="27">
        <f t="shared" si="19"/>
        <v>243.55448717948718</v>
      </c>
      <c r="G123" s="17"/>
      <c r="H123" s="17"/>
      <c r="I123" s="55"/>
      <c r="J123" s="55"/>
    </row>
    <row r="124" spans="2:10" ht="18.75" x14ac:dyDescent="0.3">
      <c r="B124" s="26" t="s">
        <v>112</v>
      </c>
      <c r="C124" s="9">
        <v>1650</v>
      </c>
      <c r="D124" s="7">
        <v>3426</v>
      </c>
      <c r="E124" s="9">
        <v>412063</v>
      </c>
      <c r="F124" s="27">
        <f t="shared" si="19"/>
        <v>249.73515151515153</v>
      </c>
      <c r="G124" s="17"/>
      <c r="H124" s="17"/>
      <c r="I124" s="55"/>
      <c r="J124" s="55"/>
    </row>
    <row r="125" spans="2:10" ht="18.75" x14ac:dyDescent="0.3">
      <c r="B125" s="26" t="s">
        <v>113</v>
      </c>
      <c r="C125" s="9">
        <v>4890</v>
      </c>
      <c r="D125" s="7">
        <v>9638</v>
      </c>
      <c r="E125" s="9">
        <v>1171550</v>
      </c>
      <c r="F125" s="27">
        <f t="shared" si="19"/>
        <v>239.58077709611453</v>
      </c>
      <c r="G125" s="17"/>
      <c r="H125" s="17"/>
      <c r="I125" s="55"/>
      <c r="J125" s="55"/>
    </row>
    <row r="126" spans="2:10" ht="18.75" x14ac:dyDescent="0.3">
      <c r="B126" s="26" t="s">
        <v>114</v>
      </c>
      <c r="C126" s="9">
        <v>7638</v>
      </c>
      <c r="D126" s="7">
        <v>13126</v>
      </c>
      <c r="E126" s="9">
        <v>1670116</v>
      </c>
      <c r="F126" s="27">
        <f t="shared" si="19"/>
        <v>218.65881120712228</v>
      </c>
      <c r="G126" s="17"/>
      <c r="H126" s="17"/>
      <c r="I126" s="55"/>
      <c r="J126" s="55"/>
    </row>
    <row r="127" spans="2:10" ht="18.75" x14ac:dyDescent="0.3">
      <c r="B127" s="26" t="s">
        <v>115</v>
      </c>
      <c r="C127" s="9">
        <v>10743</v>
      </c>
      <c r="D127" s="7">
        <v>23160</v>
      </c>
      <c r="E127" s="9">
        <v>2811192</v>
      </c>
      <c r="F127" s="27">
        <f t="shared" si="19"/>
        <v>261.67662664060316</v>
      </c>
      <c r="G127" s="17"/>
      <c r="H127" s="17"/>
      <c r="I127" s="55"/>
      <c r="J127" s="55"/>
    </row>
    <row r="128" spans="2:10" ht="18.75" x14ac:dyDescent="0.3">
      <c r="B128" s="26" t="s">
        <v>116</v>
      </c>
      <c r="C128" s="9">
        <v>9635</v>
      </c>
      <c r="D128" s="7">
        <v>19852</v>
      </c>
      <c r="E128" s="9">
        <v>2403281</v>
      </c>
      <c r="F128" s="27">
        <f t="shared" si="19"/>
        <v>249.43238194084068</v>
      </c>
      <c r="G128" s="17"/>
      <c r="H128" s="17"/>
      <c r="I128" s="55"/>
      <c r="J128" s="55"/>
    </row>
    <row r="129" spans="2:10" ht="18.75" x14ac:dyDescent="0.3">
      <c r="B129" s="26" t="s">
        <v>117</v>
      </c>
      <c r="C129" s="9">
        <v>7239</v>
      </c>
      <c r="D129" s="7">
        <v>15855</v>
      </c>
      <c r="E129" s="9">
        <v>1930450</v>
      </c>
      <c r="F129" s="27">
        <f t="shared" si="19"/>
        <v>266.6735736980246</v>
      </c>
      <c r="G129" s="17"/>
      <c r="H129" s="17"/>
      <c r="I129" s="55"/>
      <c r="J129" s="55"/>
    </row>
    <row r="130" spans="2:10" ht="19.5" thickBot="1" x14ac:dyDescent="0.35">
      <c r="B130" s="47" t="s">
        <v>118</v>
      </c>
      <c r="C130" s="9">
        <v>14395</v>
      </c>
      <c r="D130" s="7">
        <v>27650</v>
      </c>
      <c r="E130" s="9">
        <v>3405107</v>
      </c>
      <c r="F130" s="27">
        <f t="shared" si="19"/>
        <v>236.54789857589441</v>
      </c>
      <c r="G130" s="17"/>
      <c r="H130" s="17"/>
      <c r="I130" s="55"/>
      <c r="J130" s="55"/>
    </row>
    <row r="131" spans="2:10" ht="19.5" thickBot="1" x14ac:dyDescent="0.35">
      <c r="B131" s="29" t="s">
        <v>49</v>
      </c>
      <c r="C131" s="40">
        <f>SUM(C122:C130)</f>
        <v>62740</v>
      </c>
      <c r="D131" s="40">
        <f>SUM(D122:D130)</f>
        <v>126274</v>
      </c>
      <c r="E131" s="40">
        <f>SUM(E122:E130)</f>
        <v>15440473</v>
      </c>
      <c r="F131" s="31">
        <f t="shared" ref="F131" si="20">E131/C131</f>
        <v>246.1025342684093</v>
      </c>
      <c r="G131" s="17"/>
      <c r="H131" s="17"/>
      <c r="I131" s="55"/>
      <c r="J131" s="55"/>
    </row>
    <row r="132" spans="2:10" ht="19.5" thickBot="1" x14ac:dyDescent="0.35">
      <c r="B132" s="44"/>
      <c r="C132" s="45"/>
      <c r="D132" s="45"/>
      <c r="E132" s="45"/>
      <c r="F132" s="46"/>
      <c r="G132" s="17"/>
      <c r="H132" s="17"/>
      <c r="I132" s="55"/>
      <c r="J132" s="55"/>
    </row>
    <row r="133" spans="2:10" ht="19.5" thickBot="1" x14ac:dyDescent="0.35">
      <c r="B133" s="52" t="s">
        <v>120</v>
      </c>
      <c r="C133" s="50">
        <f>SUM(C131+C119+C102+C90+C77+C68+C58+C48+C32+C16)</f>
        <v>651364</v>
      </c>
      <c r="D133" s="50">
        <f>SUM(D131+D119+D102+D90+D77+D68+D58+D48+D32+D16)</f>
        <v>1360597</v>
      </c>
      <c r="E133" s="50">
        <f>SUM(E131+E119+E102+E90+E77+E68+E58+E48+E32+E16)</f>
        <v>163362144</v>
      </c>
      <c r="F133" s="43">
        <f t="shared" ref="F133" si="21">E133/C133</f>
        <v>250.80008106066654</v>
      </c>
      <c r="G133" s="17"/>
      <c r="H133" s="17"/>
      <c r="I133" s="55"/>
      <c r="J133" s="55"/>
    </row>
    <row r="134" spans="2:10" ht="18.75" x14ac:dyDescent="0.3">
      <c r="B134" s="51"/>
      <c r="C134" s="17"/>
      <c r="D134" s="17"/>
      <c r="E134" s="17"/>
      <c r="F134" s="17"/>
      <c r="G134" s="17"/>
      <c r="H134" s="17"/>
      <c r="I134" s="53"/>
      <c r="J134" s="53"/>
    </row>
  </sheetData>
  <mergeCells count="6">
    <mergeCell ref="I6:J6"/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39"/>
  <sheetViews>
    <sheetView topLeftCell="A19" workbookViewId="0">
      <selection activeCell="B105" sqref="B105"/>
    </sheetView>
  </sheetViews>
  <sheetFormatPr defaultRowHeight="15" x14ac:dyDescent="0.25"/>
  <cols>
    <col min="1" max="1" width="9.140625" style="1"/>
    <col min="2" max="2" width="18.7109375" style="1" bestFit="1" customWidth="1"/>
    <col min="3" max="3" width="10.5703125" style="1" bestFit="1" customWidth="1"/>
    <col min="4" max="4" width="12.7109375" style="1" bestFit="1" customWidth="1"/>
    <col min="5" max="5" width="15.7109375" style="1" bestFit="1" customWidth="1"/>
    <col min="6" max="6" width="15.85546875" style="1" customWidth="1"/>
    <col min="7" max="16384" width="9.140625" style="1"/>
  </cols>
  <sheetData>
    <row r="1" spans="2:10" ht="18.75" x14ac:dyDescent="0.3">
      <c r="B1" s="162" t="s">
        <v>0</v>
      </c>
      <c r="C1" s="162"/>
      <c r="D1" s="162"/>
      <c r="E1" s="162"/>
      <c r="F1" s="162"/>
      <c r="G1" s="17"/>
      <c r="H1" s="17"/>
      <c r="I1" s="17"/>
      <c r="J1" s="17"/>
    </row>
    <row r="2" spans="2:10" ht="18.75" x14ac:dyDescent="0.3">
      <c r="B2" s="162" t="s">
        <v>1</v>
      </c>
      <c r="C2" s="162"/>
      <c r="D2" s="162"/>
      <c r="E2" s="162"/>
      <c r="F2" s="162"/>
      <c r="G2" s="17"/>
      <c r="H2" s="17"/>
      <c r="I2" s="17"/>
      <c r="J2" s="17"/>
    </row>
    <row r="3" spans="2:10" ht="18.75" x14ac:dyDescent="0.3">
      <c r="B3" s="163" t="s">
        <v>2</v>
      </c>
      <c r="C3" s="163"/>
      <c r="D3" s="163"/>
      <c r="E3" s="163"/>
      <c r="F3" s="163"/>
      <c r="G3" s="17"/>
      <c r="H3" s="17"/>
      <c r="I3" s="17"/>
      <c r="J3" s="17"/>
    </row>
    <row r="4" spans="2:10" ht="18.75" x14ac:dyDescent="0.3">
      <c r="B4" s="162" t="s">
        <v>135</v>
      </c>
      <c r="C4" s="162"/>
      <c r="D4" s="162"/>
      <c r="E4" s="162"/>
      <c r="F4" s="162"/>
      <c r="G4" s="17"/>
      <c r="H4" s="17"/>
      <c r="I4" s="17"/>
      <c r="J4" s="17"/>
    </row>
    <row r="5" spans="2:10" ht="19.5" thickBot="1" x14ac:dyDescent="0.35">
      <c r="B5" s="164"/>
      <c r="C5" s="164"/>
      <c r="D5" s="164"/>
      <c r="E5" s="164"/>
      <c r="F5" s="164"/>
      <c r="G5" s="17"/>
      <c r="H5" s="17"/>
      <c r="I5" s="17"/>
      <c r="J5" s="17"/>
    </row>
    <row r="6" spans="2:10" ht="57" thickBot="1" x14ac:dyDescent="0.35">
      <c r="B6" s="18"/>
      <c r="C6" s="19" t="s">
        <v>3</v>
      </c>
      <c r="D6" s="20" t="s">
        <v>4</v>
      </c>
      <c r="E6" s="20" t="s">
        <v>5</v>
      </c>
      <c r="F6" s="20" t="s">
        <v>6</v>
      </c>
      <c r="G6" s="17"/>
      <c r="H6" s="17"/>
      <c r="I6" s="160" t="s">
        <v>7</v>
      </c>
      <c r="J6" s="161"/>
    </row>
    <row r="7" spans="2:10" ht="19.5" thickBot="1" x14ac:dyDescent="0.35">
      <c r="B7" s="21" t="s">
        <v>8</v>
      </c>
      <c r="C7" s="22"/>
      <c r="D7" s="22"/>
      <c r="E7" s="22"/>
      <c r="F7" s="23"/>
      <c r="G7" s="17"/>
      <c r="H7" s="17"/>
      <c r="I7" s="54" t="s">
        <v>9</v>
      </c>
      <c r="J7" s="54" t="s">
        <v>10</v>
      </c>
    </row>
    <row r="8" spans="2:10" ht="18.75" x14ac:dyDescent="0.3">
      <c r="B8" s="24" t="s">
        <v>11</v>
      </c>
      <c r="C8" s="15">
        <v>7660</v>
      </c>
      <c r="D8" s="13">
        <v>17021</v>
      </c>
      <c r="E8" s="14">
        <v>2106788</v>
      </c>
      <c r="F8" s="25">
        <f>E8/C8</f>
        <v>275.03759791122718</v>
      </c>
      <c r="G8" s="17"/>
      <c r="H8" s="17"/>
      <c r="I8" s="55"/>
      <c r="J8" s="55"/>
    </row>
    <row r="9" spans="2:10" ht="18.75" x14ac:dyDescent="0.3">
      <c r="B9" s="26" t="s">
        <v>12</v>
      </c>
      <c r="C9" s="3">
        <v>5819</v>
      </c>
      <c r="D9" s="13">
        <v>11847</v>
      </c>
      <c r="E9" s="3">
        <v>1516659</v>
      </c>
      <c r="F9" s="25">
        <f t="shared" ref="F9:F16" si="0">E9/C9</f>
        <v>260.63911324969928</v>
      </c>
      <c r="G9" s="17"/>
      <c r="H9" s="17"/>
      <c r="I9" s="55"/>
      <c r="J9" s="55"/>
    </row>
    <row r="10" spans="2:10" ht="18.75" x14ac:dyDescent="0.3">
      <c r="B10" s="26" t="s">
        <v>13</v>
      </c>
      <c r="C10" s="3">
        <v>6300</v>
      </c>
      <c r="D10" s="13">
        <v>12518</v>
      </c>
      <c r="E10" s="3">
        <v>1615134</v>
      </c>
      <c r="F10" s="25">
        <f t="shared" si="0"/>
        <v>256.37047619047621</v>
      </c>
      <c r="G10" s="17"/>
      <c r="H10" s="17"/>
      <c r="I10" s="55"/>
      <c r="J10" s="55"/>
    </row>
    <row r="11" spans="2:10" ht="18.75" x14ac:dyDescent="0.3">
      <c r="B11" s="26" t="s">
        <v>14</v>
      </c>
      <c r="C11" s="3">
        <v>8168</v>
      </c>
      <c r="D11" s="13">
        <v>17107</v>
      </c>
      <c r="E11" s="3">
        <v>2149455</v>
      </c>
      <c r="F11" s="25">
        <f t="shared" si="0"/>
        <v>263.1556072477963</v>
      </c>
      <c r="G11" s="17"/>
      <c r="H11" s="17"/>
      <c r="I11" s="55"/>
      <c r="J11" s="55"/>
    </row>
    <row r="12" spans="2:10" ht="18.75" x14ac:dyDescent="0.3">
      <c r="B12" s="26" t="s">
        <v>15</v>
      </c>
      <c r="C12" s="3">
        <v>2006</v>
      </c>
      <c r="D12" s="13">
        <v>4459</v>
      </c>
      <c r="E12" s="3">
        <v>563060</v>
      </c>
      <c r="F12" s="25">
        <f t="shared" si="0"/>
        <v>280.68793619142571</v>
      </c>
      <c r="G12" s="17"/>
      <c r="H12" s="17"/>
      <c r="I12" s="55"/>
      <c r="J12" s="55"/>
    </row>
    <row r="13" spans="2:10" ht="18.75" x14ac:dyDescent="0.3">
      <c r="B13" s="26" t="s">
        <v>16</v>
      </c>
      <c r="C13" s="3">
        <v>8568</v>
      </c>
      <c r="D13" s="13">
        <v>18675</v>
      </c>
      <c r="E13" s="3">
        <v>2354913</v>
      </c>
      <c r="F13" s="25">
        <f t="shared" si="0"/>
        <v>274.84978991596637</v>
      </c>
      <c r="G13" s="17"/>
      <c r="H13" s="17"/>
      <c r="I13" s="55"/>
      <c r="J13" s="55"/>
    </row>
    <row r="14" spans="2:10" ht="18.75" x14ac:dyDescent="0.3">
      <c r="B14" s="26" t="s">
        <v>17</v>
      </c>
      <c r="C14" s="3">
        <v>3093</v>
      </c>
      <c r="D14" s="13">
        <v>6131</v>
      </c>
      <c r="E14" s="3">
        <v>778548</v>
      </c>
      <c r="F14" s="25">
        <f t="shared" si="0"/>
        <v>251.71290009699322</v>
      </c>
      <c r="G14" s="17"/>
      <c r="H14" s="17"/>
      <c r="I14" s="55"/>
      <c r="J14" s="55"/>
    </row>
    <row r="15" spans="2:10" ht="19.5" thickBot="1" x14ac:dyDescent="0.35">
      <c r="B15" s="28" t="s">
        <v>18</v>
      </c>
      <c r="C15" s="4">
        <v>9967</v>
      </c>
      <c r="D15" s="13">
        <v>20251</v>
      </c>
      <c r="E15" s="11">
        <v>2592936</v>
      </c>
      <c r="F15" s="25">
        <f t="shared" si="0"/>
        <v>260.15210193639007</v>
      </c>
      <c r="G15" s="17"/>
      <c r="H15" s="17"/>
      <c r="I15" s="55"/>
      <c r="J15" s="55"/>
    </row>
    <row r="16" spans="2:10" ht="19.5" thickBot="1" x14ac:dyDescent="0.35">
      <c r="B16" s="29" t="s">
        <v>19</v>
      </c>
      <c r="C16" s="30">
        <f>SUM(C8:C15)</f>
        <v>51581</v>
      </c>
      <c r="D16" s="30">
        <f t="shared" ref="D16:E16" si="1">SUM(D8:D15)</f>
        <v>108009</v>
      </c>
      <c r="E16" s="30">
        <f t="shared" si="1"/>
        <v>13677493</v>
      </c>
      <c r="F16" s="31">
        <f t="shared" si="0"/>
        <v>265.16533219596363</v>
      </c>
      <c r="G16" s="17"/>
      <c r="H16" s="17"/>
      <c r="I16" s="55"/>
      <c r="J16" s="55"/>
    </row>
    <row r="17" spans="2:17" ht="19.5" thickBot="1" x14ac:dyDescent="0.35">
      <c r="B17" s="32"/>
      <c r="C17" s="33"/>
      <c r="D17" s="33"/>
      <c r="E17" s="33"/>
      <c r="F17" s="33"/>
      <c r="G17" s="2"/>
      <c r="H17" s="2"/>
      <c r="I17" s="55"/>
      <c r="J17" s="55"/>
      <c r="K17" s="2"/>
      <c r="L17" s="2"/>
      <c r="M17" s="2"/>
      <c r="N17" s="2"/>
      <c r="O17" s="2"/>
      <c r="P17" s="2"/>
      <c r="Q17" s="2"/>
    </row>
    <row r="18" spans="2:17" ht="19.5" thickBot="1" x14ac:dyDescent="0.35">
      <c r="B18" s="34" t="s">
        <v>20</v>
      </c>
      <c r="C18" s="35"/>
      <c r="D18" s="35"/>
      <c r="E18" s="35"/>
      <c r="F18" s="36"/>
      <c r="G18" s="2"/>
      <c r="H18" s="2"/>
      <c r="I18" s="55"/>
      <c r="J18" s="55"/>
      <c r="K18" s="2"/>
      <c r="L18" s="2"/>
      <c r="M18" s="2"/>
      <c r="N18" s="2"/>
      <c r="O18" s="2"/>
      <c r="P18" s="2"/>
      <c r="Q18" s="2"/>
    </row>
    <row r="19" spans="2:17" ht="18.75" x14ac:dyDescent="0.3">
      <c r="B19" s="37" t="s">
        <v>21</v>
      </c>
      <c r="C19" s="3">
        <v>14631</v>
      </c>
      <c r="D19" s="3">
        <v>28655</v>
      </c>
      <c r="E19" s="6">
        <v>3689407</v>
      </c>
      <c r="F19" s="27">
        <f t="shared" ref="F19:F32" si="2">E19/C19</f>
        <v>252.16369352744172</v>
      </c>
      <c r="G19" s="38"/>
      <c r="H19" s="38"/>
      <c r="I19" s="55"/>
      <c r="J19" s="55"/>
      <c r="K19" s="38"/>
      <c r="L19" s="38"/>
      <c r="M19" s="38"/>
      <c r="N19" s="38"/>
      <c r="O19" s="38"/>
      <c r="P19" s="38"/>
      <c r="Q19" s="38"/>
    </row>
    <row r="20" spans="2:17" ht="18.75" x14ac:dyDescent="0.3">
      <c r="B20" s="59" t="s">
        <v>22</v>
      </c>
      <c r="C20" s="3">
        <v>7060</v>
      </c>
      <c r="D20" s="3">
        <v>13197</v>
      </c>
      <c r="E20" s="3">
        <v>1706072</v>
      </c>
      <c r="F20" s="27">
        <f t="shared" si="2"/>
        <v>241.65325779036826</v>
      </c>
      <c r="G20" s="38"/>
      <c r="H20" s="38"/>
      <c r="I20" s="55"/>
      <c r="J20" s="55"/>
      <c r="K20" s="38"/>
      <c r="L20" s="38"/>
      <c r="M20" s="38"/>
      <c r="N20" s="38"/>
      <c r="O20" s="38"/>
      <c r="P20" s="38"/>
      <c r="Q20" s="38"/>
    </row>
    <row r="21" spans="2:17" ht="18.75" x14ac:dyDescent="0.3">
      <c r="B21" s="58" t="s">
        <v>23</v>
      </c>
      <c r="C21" s="9">
        <v>5975</v>
      </c>
      <c r="D21" s="3">
        <v>12040</v>
      </c>
      <c r="E21" s="9">
        <v>1525560</v>
      </c>
      <c r="F21" s="27">
        <f t="shared" si="2"/>
        <v>255.32384937238493</v>
      </c>
      <c r="G21" s="2"/>
      <c r="H21" s="2"/>
      <c r="I21" s="55"/>
      <c r="J21" s="55"/>
      <c r="K21" s="2"/>
      <c r="L21" s="2"/>
      <c r="M21" s="2"/>
      <c r="N21" s="2"/>
      <c r="O21" s="2"/>
      <c r="P21" s="2"/>
      <c r="Q21" s="2"/>
    </row>
    <row r="22" spans="2:17" ht="18.75" x14ac:dyDescent="0.3">
      <c r="B22" s="26" t="s">
        <v>24</v>
      </c>
      <c r="C22" s="9">
        <v>7675</v>
      </c>
      <c r="D22" s="3">
        <v>15843</v>
      </c>
      <c r="E22" s="9">
        <v>1993437</v>
      </c>
      <c r="F22" s="27">
        <f t="shared" si="2"/>
        <v>259.73120521172638</v>
      </c>
      <c r="G22" s="2"/>
      <c r="H22" s="2"/>
      <c r="I22" s="55"/>
      <c r="J22" s="55"/>
      <c r="K22" s="2"/>
      <c r="L22" s="2"/>
      <c r="M22" s="2"/>
      <c r="N22" s="2"/>
      <c r="O22" s="2"/>
      <c r="P22" s="2"/>
      <c r="Q22" s="2"/>
    </row>
    <row r="23" spans="2:17" ht="18.75" x14ac:dyDescent="0.3">
      <c r="B23" s="26" t="s">
        <v>25</v>
      </c>
      <c r="C23" s="9">
        <v>4777</v>
      </c>
      <c r="D23" s="3">
        <v>10373</v>
      </c>
      <c r="E23" s="9">
        <v>1293223</v>
      </c>
      <c r="F23" s="27">
        <f t="shared" si="2"/>
        <v>270.71865187356082</v>
      </c>
      <c r="G23" s="2"/>
      <c r="H23" s="2"/>
      <c r="I23" s="55"/>
      <c r="J23" s="55"/>
      <c r="K23" s="2"/>
      <c r="L23" s="2"/>
      <c r="M23" s="2"/>
      <c r="N23" s="2"/>
      <c r="O23" s="2"/>
      <c r="P23" s="2"/>
      <c r="Q23" s="2"/>
    </row>
    <row r="24" spans="2:17" ht="18.75" x14ac:dyDescent="0.3">
      <c r="B24" s="26" t="s">
        <v>26</v>
      </c>
      <c r="C24" s="9">
        <v>3228</v>
      </c>
      <c r="D24" s="3">
        <v>6948</v>
      </c>
      <c r="E24" s="9">
        <v>877329</v>
      </c>
      <c r="F24" s="27">
        <f t="shared" si="2"/>
        <v>271.78717472118961</v>
      </c>
      <c r="G24" s="2"/>
      <c r="H24" s="2"/>
      <c r="I24" s="55"/>
      <c r="J24" s="55"/>
      <c r="K24" s="2"/>
      <c r="L24" s="2"/>
      <c r="M24" s="2"/>
      <c r="N24" s="2"/>
      <c r="O24" s="2"/>
      <c r="P24" s="2"/>
      <c r="Q24" s="2"/>
    </row>
    <row r="25" spans="2:17" ht="18.75" x14ac:dyDescent="0.3">
      <c r="B25" s="26" t="s">
        <v>27</v>
      </c>
      <c r="C25" s="9">
        <v>8342</v>
      </c>
      <c r="D25" s="3">
        <v>17177</v>
      </c>
      <c r="E25" s="9">
        <v>2184548</v>
      </c>
      <c r="F25" s="27">
        <f t="shared" si="2"/>
        <v>261.87341165188207</v>
      </c>
      <c r="G25" s="2"/>
      <c r="H25" s="2"/>
      <c r="I25" s="55"/>
      <c r="J25" s="55"/>
      <c r="K25" s="2"/>
      <c r="L25" s="2"/>
      <c r="M25" s="2"/>
      <c r="N25" s="2"/>
      <c r="O25" s="2"/>
      <c r="P25" s="2"/>
      <c r="Q25" s="2"/>
    </row>
    <row r="26" spans="2:17" ht="18.75" x14ac:dyDescent="0.3">
      <c r="B26" s="26" t="s">
        <v>28</v>
      </c>
      <c r="C26" s="9">
        <v>7554</v>
      </c>
      <c r="D26" s="3">
        <v>16269</v>
      </c>
      <c r="E26" s="9">
        <v>2059885</v>
      </c>
      <c r="F26" s="27">
        <f t="shared" si="2"/>
        <v>272.68797987821023</v>
      </c>
      <c r="G26" s="2"/>
      <c r="H26" s="2"/>
      <c r="I26" s="55"/>
      <c r="J26" s="55"/>
      <c r="K26" s="2"/>
      <c r="L26" s="2"/>
      <c r="M26" s="2"/>
      <c r="N26" s="2"/>
      <c r="O26" s="2"/>
      <c r="P26" s="2"/>
      <c r="Q26" s="2"/>
    </row>
    <row r="27" spans="2:17" ht="18.75" x14ac:dyDescent="0.3">
      <c r="B27" s="26" t="s">
        <v>29</v>
      </c>
      <c r="C27" s="9">
        <v>9763</v>
      </c>
      <c r="D27" s="3">
        <v>19507</v>
      </c>
      <c r="E27" s="9">
        <v>2470024</v>
      </c>
      <c r="F27" s="27">
        <f t="shared" si="2"/>
        <v>252.9984635870122</v>
      </c>
      <c r="G27" s="2"/>
      <c r="H27" s="2"/>
      <c r="I27" s="55"/>
      <c r="J27" s="55"/>
      <c r="K27" s="2"/>
      <c r="L27" s="2"/>
      <c r="M27" s="2"/>
      <c r="N27" s="2"/>
      <c r="O27" s="2"/>
      <c r="P27" s="2"/>
      <c r="Q27" s="2"/>
    </row>
    <row r="28" spans="2:17" ht="18.75" x14ac:dyDescent="0.3">
      <c r="B28" s="26" t="s">
        <v>30</v>
      </c>
      <c r="C28" s="9">
        <v>6545</v>
      </c>
      <c r="D28" s="3">
        <v>15015</v>
      </c>
      <c r="E28" s="9">
        <v>1861046</v>
      </c>
      <c r="F28" s="27">
        <f t="shared" si="2"/>
        <v>284.34621848739494</v>
      </c>
      <c r="G28" s="2"/>
      <c r="H28" s="2"/>
      <c r="I28" s="55"/>
      <c r="J28" s="55"/>
      <c r="K28" s="2"/>
      <c r="L28" s="2"/>
      <c r="M28" s="2"/>
      <c r="N28" s="2"/>
      <c r="O28" s="2"/>
      <c r="P28" s="2"/>
      <c r="Q28" s="2"/>
    </row>
    <row r="29" spans="2:17" ht="18.75" x14ac:dyDescent="0.3">
      <c r="B29" s="26" t="s">
        <v>31</v>
      </c>
      <c r="C29" s="9">
        <v>5658</v>
      </c>
      <c r="D29" s="3">
        <v>12119</v>
      </c>
      <c r="E29" s="9">
        <v>1517765</v>
      </c>
      <c r="F29" s="27">
        <f t="shared" si="2"/>
        <v>268.25114881583596</v>
      </c>
      <c r="G29" s="2"/>
      <c r="H29" s="2"/>
      <c r="I29" s="55"/>
      <c r="J29" s="55"/>
      <c r="K29" s="2"/>
      <c r="L29" s="2"/>
      <c r="M29" s="2"/>
      <c r="N29" s="2"/>
      <c r="O29" s="2"/>
      <c r="P29" s="2"/>
      <c r="Q29" s="2"/>
    </row>
    <row r="30" spans="2:17" ht="18.75" x14ac:dyDescent="0.3">
      <c r="B30" s="39" t="s">
        <v>32</v>
      </c>
      <c r="C30" s="8">
        <v>5473</v>
      </c>
      <c r="D30" s="13">
        <v>11999</v>
      </c>
      <c r="E30" s="8">
        <v>1522304</v>
      </c>
      <c r="F30" s="27">
        <f t="shared" si="2"/>
        <v>278.1479992691394</v>
      </c>
      <c r="G30" s="2"/>
      <c r="H30" s="2"/>
      <c r="I30" s="55"/>
      <c r="J30" s="55"/>
      <c r="K30" s="2"/>
      <c r="L30" s="2"/>
      <c r="M30" s="2"/>
      <c r="N30" s="2"/>
      <c r="O30" s="2"/>
      <c r="P30" s="2"/>
      <c r="Q30" s="2"/>
    </row>
    <row r="31" spans="2:17" ht="19.5" thickBot="1" x14ac:dyDescent="0.35">
      <c r="B31" s="39" t="s">
        <v>33</v>
      </c>
      <c r="C31" s="56">
        <v>1932</v>
      </c>
      <c r="D31" s="5">
        <v>4121</v>
      </c>
      <c r="E31" s="57">
        <v>526709</v>
      </c>
      <c r="F31" s="27">
        <f t="shared" si="2"/>
        <v>272.62370600414079</v>
      </c>
      <c r="G31" s="2"/>
      <c r="H31" s="2"/>
      <c r="I31" s="55"/>
      <c r="J31" s="55"/>
      <c r="K31" s="2"/>
      <c r="L31" s="2"/>
      <c r="M31" s="2"/>
      <c r="N31" s="2"/>
      <c r="O31" s="2"/>
      <c r="P31" s="2"/>
      <c r="Q31" s="2"/>
    </row>
    <row r="32" spans="2:17" ht="19.5" thickBot="1" x14ac:dyDescent="0.35">
      <c r="B32" s="29" t="s">
        <v>34</v>
      </c>
      <c r="C32" s="40">
        <f>SUM(C19:C31)</f>
        <v>88613</v>
      </c>
      <c r="D32" s="40">
        <f t="shared" ref="D32:E32" si="3">SUM(D19:D31)</f>
        <v>183263</v>
      </c>
      <c r="E32" s="40">
        <f t="shared" si="3"/>
        <v>23227309</v>
      </c>
      <c r="F32" s="31">
        <f t="shared" si="2"/>
        <v>262.12078363219842</v>
      </c>
      <c r="G32" s="2"/>
      <c r="H32" s="2"/>
      <c r="I32" s="55"/>
      <c r="J32" s="55"/>
      <c r="K32" s="2"/>
      <c r="L32" s="2"/>
      <c r="M32" s="2"/>
      <c r="N32" s="2"/>
      <c r="O32" s="2"/>
      <c r="P32" s="2"/>
      <c r="Q32" s="2"/>
    </row>
    <row r="33" spans="2:10" ht="19.5" thickBot="1" x14ac:dyDescent="0.35">
      <c r="B33" s="32"/>
      <c r="C33" s="41"/>
      <c r="D33" s="41"/>
      <c r="E33" s="41"/>
      <c r="F33" s="33"/>
      <c r="G33" s="17"/>
      <c r="H33" s="17"/>
      <c r="I33" s="55"/>
      <c r="J33" s="55"/>
    </row>
    <row r="34" spans="2:10" ht="19.5" thickBot="1" x14ac:dyDescent="0.35">
      <c r="B34" s="21" t="s">
        <v>35</v>
      </c>
      <c r="C34" s="42"/>
      <c r="D34" s="42"/>
      <c r="E34" s="42"/>
      <c r="F34" s="43"/>
      <c r="G34" s="17"/>
      <c r="H34" s="17"/>
      <c r="I34" s="55"/>
      <c r="J34" s="55"/>
    </row>
    <row r="35" spans="2:10" ht="18.75" x14ac:dyDescent="0.3">
      <c r="B35" s="24" t="s">
        <v>36</v>
      </c>
      <c r="C35" s="16">
        <v>8674</v>
      </c>
      <c r="D35" s="7">
        <v>18333</v>
      </c>
      <c r="E35" s="8">
        <v>2303772</v>
      </c>
      <c r="F35" s="27">
        <f t="shared" ref="F35:F48" si="4">E35/C35</f>
        <v>265.59511182845284</v>
      </c>
      <c r="G35" s="17"/>
      <c r="H35" s="17"/>
      <c r="I35" s="55"/>
      <c r="J35" s="55"/>
    </row>
    <row r="36" spans="2:10" ht="18.75" x14ac:dyDescent="0.3">
      <c r="B36" s="26" t="s">
        <v>37</v>
      </c>
      <c r="C36" s="9">
        <v>8799</v>
      </c>
      <c r="D36" s="7">
        <v>17668</v>
      </c>
      <c r="E36" s="9">
        <v>2232010</v>
      </c>
      <c r="F36" s="27">
        <f t="shared" si="4"/>
        <v>253.66632571883167</v>
      </c>
      <c r="G36" s="17"/>
      <c r="H36" s="17"/>
      <c r="I36" s="55"/>
      <c r="J36" s="55"/>
    </row>
    <row r="37" spans="2:10" ht="18.75" x14ac:dyDescent="0.3">
      <c r="B37" s="26" t="s">
        <v>38</v>
      </c>
      <c r="C37" s="9">
        <v>10053</v>
      </c>
      <c r="D37" s="7">
        <v>20805</v>
      </c>
      <c r="E37" s="9">
        <v>2604200</v>
      </c>
      <c r="F37" s="27">
        <f t="shared" si="4"/>
        <v>259.04705063165227</v>
      </c>
      <c r="G37" s="17"/>
      <c r="H37" s="17"/>
      <c r="I37" s="55"/>
      <c r="J37" s="55"/>
    </row>
    <row r="38" spans="2:10" ht="18.75" x14ac:dyDescent="0.3">
      <c r="B38" s="26" t="s">
        <v>39</v>
      </c>
      <c r="C38" s="9">
        <v>5211</v>
      </c>
      <c r="D38" s="7">
        <v>11085</v>
      </c>
      <c r="E38" s="9">
        <v>1415353</v>
      </c>
      <c r="F38" s="27">
        <f t="shared" si="4"/>
        <v>271.60871233928231</v>
      </c>
      <c r="G38" s="17"/>
      <c r="H38" s="17"/>
      <c r="I38" s="55"/>
      <c r="J38" s="55"/>
    </row>
    <row r="39" spans="2:10" ht="18.75" x14ac:dyDescent="0.3">
      <c r="B39" s="26" t="s">
        <v>40</v>
      </c>
      <c r="C39" s="9">
        <v>7963</v>
      </c>
      <c r="D39" s="7">
        <v>17287</v>
      </c>
      <c r="E39" s="9">
        <v>2165369</v>
      </c>
      <c r="F39" s="27">
        <f t="shared" si="4"/>
        <v>271.92879568002007</v>
      </c>
      <c r="G39" s="17"/>
      <c r="H39" s="17"/>
      <c r="I39" s="55"/>
      <c r="J39" s="55"/>
    </row>
    <row r="40" spans="2:10" ht="18.75" x14ac:dyDescent="0.3">
      <c r="B40" s="26" t="s">
        <v>41</v>
      </c>
      <c r="C40" s="9">
        <v>5667</v>
      </c>
      <c r="D40" s="7">
        <v>11684</v>
      </c>
      <c r="E40" s="9">
        <v>1456923</v>
      </c>
      <c r="F40" s="27">
        <f t="shared" si="4"/>
        <v>257.08893594494441</v>
      </c>
      <c r="G40" s="17"/>
      <c r="H40" s="17"/>
      <c r="I40" s="55"/>
      <c r="J40" s="55"/>
    </row>
    <row r="41" spans="2:10" ht="18.75" x14ac:dyDescent="0.3">
      <c r="B41" s="26" t="s">
        <v>42</v>
      </c>
      <c r="C41" s="9">
        <v>6994</v>
      </c>
      <c r="D41" s="7">
        <v>15254</v>
      </c>
      <c r="E41" s="9">
        <v>1895011</v>
      </c>
      <c r="F41" s="27">
        <f t="shared" si="4"/>
        <v>270.94809837003146</v>
      </c>
      <c r="G41" s="17"/>
      <c r="H41" s="17"/>
      <c r="I41" s="55"/>
      <c r="J41" s="55"/>
    </row>
    <row r="42" spans="2:10" ht="18.75" x14ac:dyDescent="0.3">
      <c r="B42" s="26" t="s">
        <v>43</v>
      </c>
      <c r="C42" s="9">
        <v>10125</v>
      </c>
      <c r="D42" s="7">
        <v>22276</v>
      </c>
      <c r="E42" s="9">
        <v>2785692</v>
      </c>
      <c r="F42" s="27">
        <f t="shared" si="4"/>
        <v>275.13007407407406</v>
      </c>
      <c r="G42" s="17"/>
      <c r="H42" s="17"/>
      <c r="I42" s="55"/>
      <c r="J42" s="55"/>
    </row>
    <row r="43" spans="2:10" ht="18.75" x14ac:dyDescent="0.3">
      <c r="B43" s="26" t="s">
        <v>44</v>
      </c>
      <c r="C43" s="9">
        <v>6817</v>
      </c>
      <c r="D43" s="7">
        <v>14434</v>
      </c>
      <c r="E43" s="9">
        <v>1808921</v>
      </c>
      <c r="F43" s="27">
        <f t="shared" si="4"/>
        <v>265.35440809740356</v>
      </c>
      <c r="G43" s="17"/>
      <c r="H43" s="17"/>
      <c r="I43" s="55"/>
      <c r="J43" s="55"/>
    </row>
    <row r="44" spans="2:10" ht="18.75" x14ac:dyDescent="0.3">
      <c r="B44" s="26" t="s">
        <v>45</v>
      </c>
      <c r="C44" s="9">
        <v>5385</v>
      </c>
      <c r="D44" s="7">
        <v>10996</v>
      </c>
      <c r="E44" s="9">
        <v>1363282</v>
      </c>
      <c r="F44" s="27">
        <f t="shared" si="4"/>
        <v>253.16285979572888</v>
      </c>
      <c r="G44" s="17"/>
      <c r="H44" s="17"/>
      <c r="I44" s="55"/>
      <c r="J44" s="55"/>
    </row>
    <row r="45" spans="2:10" ht="18.75" x14ac:dyDescent="0.3">
      <c r="B45" s="26" t="s">
        <v>46</v>
      </c>
      <c r="C45" s="9">
        <v>7321</v>
      </c>
      <c r="D45" s="7">
        <v>15715</v>
      </c>
      <c r="E45" s="9">
        <v>1978682</v>
      </c>
      <c r="F45" s="27">
        <f t="shared" si="4"/>
        <v>270.27482584346399</v>
      </c>
      <c r="G45" s="17"/>
      <c r="H45" s="17"/>
      <c r="I45" s="55"/>
      <c r="J45" s="55"/>
    </row>
    <row r="46" spans="2:10" ht="18.75" x14ac:dyDescent="0.3">
      <c r="B46" s="39" t="s">
        <v>47</v>
      </c>
      <c r="C46" s="9">
        <v>6716</v>
      </c>
      <c r="D46" s="7">
        <v>13914</v>
      </c>
      <c r="E46" s="12">
        <v>1764573</v>
      </c>
      <c r="F46" s="27">
        <f t="shared" si="4"/>
        <v>262.74166170339487</v>
      </c>
      <c r="G46" s="17"/>
      <c r="H46" s="17"/>
      <c r="I46" s="55"/>
      <c r="J46" s="55"/>
    </row>
    <row r="47" spans="2:10" ht="19.5" thickBot="1" x14ac:dyDescent="0.35">
      <c r="B47" s="39" t="s">
        <v>48</v>
      </c>
      <c r="C47" s="56">
        <v>4921</v>
      </c>
      <c r="D47" s="7">
        <v>10134</v>
      </c>
      <c r="E47" s="12">
        <v>1267578</v>
      </c>
      <c r="F47" s="27">
        <f t="shared" si="4"/>
        <v>257.58545011176591</v>
      </c>
      <c r="G47" s="17"/>
      <c r="H47" s="17"/>
      <c r="I47" s="55"/>
      <c r="J47" s="55"/>
    </row>
    <row r="48" spans="2:10" ht="19.5" thickBot="1" x14ac:dyDescent="0.35">
      <c r="B48" s="29" t="s">
        <v>49</v>
      </c>
      <c r="C48" s="40">
        <f>SUM(C35:C47)</f>
        <v>94646</v>
      </c>
      <c r="D48" s="40">
        <f t="shared" ref="D48:E48" si="5">SUM(D35:D47)</f>
        <v>199585</v>
      </c>
      <c r="E48" s="40">
        <f t="shared" si="5"/>
        <v>25041366</v>
      </c>
      <c r="F48" s="31">
        <f t="shared" si="4"/>
        <v>264.57923208587789</v>
      </c>
      <c r="G48" s="17"/>
      <c r="H48" s="17"/>
      <c r="I48" s="55"/>
      <c r="J48" s="55"/>
    </row>
    <row r="49" spans="2:10" ht="19.5" thickBot="1" x14ac:dyDescent="0.35">
      <c r="B49" s="44"/>
      <c r="C49" s="45"/>
      <c r="D49" s="45"/>
      <c r="E49" s="45"/>
      <c r="F49" s="46"/>
      <c r="G49" s="17"/>
      <c r="H49" s="17"/>
      <c r="I49" s="55"/>
      <c r="J49" s="55"/>
    </row>
    <row r="50" spans="2:10" ht="19.5" thickBot="1" x14ac:dyDescent="0.35">
      <c r="B50" s="21" t="s">
        <v>50</v>
      </c>
      <c r="C50" s="42"/>
      <c r="D50" s="42"/>
      <c r="E50" s="42"/>
      <c r="F50" s="43"/>
      <c r="G50" s="17"/>
      <c r="H50" s="17"/>
      <c r="I50" s="55"/>
      <c r="J50" s="55"/>
    </row>
    <row r="51" spans="2:10" ht="18.75" x14ac:dyDescent="0.3">
      <c r="B51" s="24" t="s">
        <v>51</v>
      </c>
      <c r="C51" s="16">
        <v>5298</v>
      </c>
      <c r="D51" s="7">
        <v>11013</v>
      </c>
      <c r="E51" s="8">
        <v>1391418</v>
      </c>
      <c r="F51" s="27">
        <f t="shared" ref="F51:F58" si="6">E51/C51</f>
        <v>262.63080407701017</v>
      </c>
      <c r="G51" s="17"/>
      <c r="H51" s="17"/>
      <c r="I51" s="55"/>
      <c r="J51" s="55"/>
    </row>
    <row r="52" spans="2:10" ht="18.75" x14ac:dyDescent="0.3">
      <c r="B52" s="26" t="s">
        <v>52</v>
      </c>
      <c r="C52" s="9">
        <v>7837</v>
      </c>
      <c r="D52" s="7">
        <v>17424</v>
      </c>
      <c r="E52" s="9">
        <v>2197780</v>
      </c>
      <c r="F52" s="27">
        <f t="shared" si="6"/>
        <v>280.43639147633024</v>
      </c>
      <c r="G52" s="17"/>
      <c r="H52" s="17"/>
      <c r="I52" s="55"/>
      <c r="J52" s="55"/>
    </row>
    <row r="53" spans="2:10" ht="18.75" x14ac:dyDescent="0.3">
      <c r="B53" s="26" t="s">
        <v>53</v>
      </c>
      <c r="C53" s="9">
        <v>21596</v>
      </c>
      <c r="D53" s="7">
        <v>43735</v>
      </c>
      <c r="E53" s="9">
        <v>5480219</v>
      </c>
      <c r="F53" s="27">
        <f t="shared" si="6"/>
        <v>253.76083533987776</v>
      </c>
      <c r="G53" s="17"/>
      <c r="H53" s="17"/>
      <c r="I53" s="55"/>
      <c r="J53" s="55"/>
    </row>
    <row r="54" spans="2:10" ht="18.75" x14ac:dyDescent="0.3">
      <c r="B54" s="26" t="s">
        <v>54</v>
      </c>
      <c r="C54" s="9">
        <v>7146</v>
      </c>
      <c r="D54" s="7">
        <v>15351</v>
      </c>
      <c r="E54" s="9">
        <v>1907946</v>
      </c>
      <c r="F54" s="27">
        <f t="shared" si="6"/>
        <v>266.99496221662469</v>
      </c>
      <c r="G54" s="17"/>
      <c r="H54" s="17"/>
      <c r="I54" s="55"/>
      <c r="J54" s="55"/>
    </row>
    <row r="55" spans="2:10" ht="18.75" x14ac:dyDescent="0.3">
      <c r="B55" s="26" t="s">
        <v>55</v>
      </c>
      <c r="C55" s="9">
        <v>5436</v>
      </c>
      <c r="D55" s="7">
        <v>11047</v>
      </c>
      <c r="E55" s="9">
        <v>1415967</v>
      </c>
      <c r="F55" s="27">
        <f t="shared" si="6"/>
        <v>260.47958057395141</v>
      </c>
      <c r="G55" s="17"/>
      <c r="H55" s="17"/>
      <c r="I55" s="55"/>
      <c r="J55" s="55"/>
    </row>
    <row r="56" spans="2:10" ht="18.75" x14ac:dyDescent="0.3">
      <c r="B56" s="26" t="s">
        <v>56</v>
      </c>
      <c r="C56" s="9">
        <v>5571</v>
      </c>
      <c r="D56" s="7">
        <v>11473</v>
      </c>
      <c r="E56" s="9">
        <v>1438894</v>
      </c>
      <c r="F56" s="27">
        <f t="shared" si="6"/>
        <v>258.28289355591454</v>
      </c>
      <c r="G56" s="17"/>
      <c r="H56" s="17"/>
      <c r="I56" s="55"/>
      <c r="J56" s="55"/>
    </row>
    <row r="57" spans="2:10" ht="19.5" thickBot="1" x14ac:dyDescent="0.35">
      <c r="B57" s="26" t="s">
        <v>57</v>
      </c>
      <c r="C57" s="10">
        <v>7706</v>
      </c>
      <c r="D57" s="7">
        <v>15627</v>
      </c>
      <c r="E57" s="9">
        <v>1955964</v>
      </c>
      <c r="F57" s="27">
        <f t="shared" si="6"/>
        <v>253.82351414482221</v>
      </c>
      <c r="G57" s="17"/>
      <c r="H57" s="17"/>
      <c r="I57" s="55"/>
      <c r="J57" s="55"/>
    </row>
    <row r="58" spans="2:10" ht="19.5" thickBot="1" x14ac:dyDescent="0.35">
      <c r="B58" s="29" t="s">
        <v>49</v>
      </c>
      <c r="C58" s="40">
        <f>SUM(C51:C57)</f>
        <v>60590</v>
      </c>
      <c r="D58" s="40">
        <f t="shared" ref="D58:E58" si="7">SUM(D51:D57)</f>
        <v>125670</v>
      </c>
      <c r="E58" s="40">
        <f t="shared" si="7"/>
        <v>15788188</v>
      </c>
      <c r="F58" s="31">
        <f t="shared" si="6"/>
        <v>260.57415415084995</v>
      </c>
      <c r="G58" s="17"/>
      <c r="H58" s="17"/>
      <c r="I58" s="55"/>
      <c r="J58" s="55"/>
    </row>
    <row r="59" spans="2:10" ht="19.5" thickBot="1" x14ac:dyDescent="0.35">
      <c r="B59" s="44"/>
      <c r="C59" s="45"/>
      <c r="D59" s="45"/>
      <c r="E59" s="45"/>
      <c r="F59" s="46"/>
      <c r="G59" s="17"/>
      <c r="H59" s="17"/>
      <c r="I59" s="55"/>
      <c r="J59" s="55"/>
    </row>
    <row r="60" spans="2:10" ht="19.5" thickBot="1" x14ac:dyDescent="0.35">
      <c r="B60" s="21" t="s">
        <v>58</v>
      </c>
      <c r="C60" s="42"/>
      <c r="D60" s="42"/>
      <c r="E60" s="42"/>
      <c r="F60" s="43"/>
      <c r="G60" s="17"/>
      <c r="H60" s="17"/>
      <c r="I60" s="55"/>
      <c r="J60" s="55"/>
    </row>
    <row r="61" spans="2:10" ht="18.75" x14ac:dyDescent="0.3">
      <c r="B61" s="24" t="s">
        <v>59</v>
      </c>
      <c r="C61" s="16">
        <v>8796</v>
      </c>
      <c r="D61" s="7">
        <v>18816</v>
      </c>
      <c r="E61" s="8">
        <v>2356232</v>
      </c>
      <c r="F61" s="27">
        <f t="shared" ref="F61:F68" si="8">E61/C61</f>
        <v>267.87539790814009</v>
      </c>
      <c r="G61" s="17"/>
      <c r="H61" s="17"/>
      <c r="I61" s="55"/>
      <c r="J61" s="55"/>
    </row>
    <row r="62" spans="2:10" ht="18.75" x14ac:dyDescent="0.3">
      <c r="B62" s="26" t="s">
        <v>60</v>
      </c>
      <c r="C62" s="9">
        <v>9572</v>
      </c>
      <c r="D62" s="7">
        <v>19992</v>
      </c>
      <c r="E62" s="9">
        <v>2515921</v>
      </c>
      <c r="F62" s="27">
        <f t="shared" si="8"/>
        <v>262.84172586711242</v>
      </c>
      <c r="G62" s="17"/>
      <c r="H62" s="17"/>
      <c r="I62" s="55"/>
      <c r="J62" s="55"/>
    </row>
    <row r="63" spans="2:10" ht="18.75" x14ac:dyDescent="0.3">
      <c r="B63" s="26" t="s">
        <v>61</v>
      </c>
      <c r="C63" s="9">
        <v>11352</v>
      </c>
      <c r="D63" s="7">
        <v>22943</v>
      </c>
      <c r="E63" s="9">
        <v>2882329</v>
      </c>
      <c r="F63" s="27">
        <f t="shared" si="8"/>
        <v>253.90495066948554</v>
      </c>
      <c r="G63" s="17"/>
      <c r="H63" s="17"/>
      <c r="I63" s="55"/>
      <c r="J63" s="55"/>
    </row>
    <row r="64" spans="2:10" ht="18.75" x14ac:dyDescent="0.3">
      <c r="B64" s="26" t="s">
        <v>62</v>
      </c>
      <c r="C64" s="9">
        <v>5178</v>
      </c>
      <c r="D64" s="7">
        <v>11519</v>
      </c>
      <c r="E64" s="9">
        <v>1465349</v>
      </c>
      <c r="F64" s="27">
        <f t="shared" si="8"/>
        <v>282.99517188103516</v>
      </c>
      <c r="G64" s="17"/>
      <c r="H64" s="17"/>
      <c r="I64" s="55"/>
      <c r="J64" s="55"/>
    </row>
    <row r="65" spans="2:10" ht="18.75" x14ac:dyDescent="0.3">
      <c r="B65" s="26" t="s">
        <v>63</v>
      </c>
      <c r="C65" s="9">
        <v>3937</v>
      </c>
      <c r="D65" s="7">
        <v>8131</v>
      </c>
      <c r="E65" s="9">
        <v>1015521</v>
      </c>
      <c r="F65" s="27">
        <f t="shared" si="8"/>
        <v>257.94284988569979</v>
      </c>
      <c r="G65" s="17"/>
      <c r="H65" s="17"/>
      <c r="I65" s="55"/>
      <c r="J65" s="55"/>
    </row>
    <row r="66" spans="2:10" ht="18.75" x14ac:dyDescent="0.3">
      <c r="B66" s="26" t="s">
        <v>64</v>
      </c>
      <c r="C66" s="9">
        <v>9758</v>
      </c>
      <c r="D66" s="7">
        <v>20376</v>
      </c>
      <c r="E66" s="9">
        <v>2547331</v>
      </c>
      <c r="F66" s="27">
        <f t="shared" si="8"/>
        <v>261.05052264808364</v>
      </c>
      <c r="G66" s="17"/>
      <c r="H66" s="17"/>
      <c r="I66" s="55"/>
      <c r="J66" s="55"/>
    </row>
    <row r="67" spans="2:10" ht="19.5" thickBot="1" x14ac:dyDescent="0.35">
      <c r="B67" s="26" t="s">
        <v>66</v>
      </c>
      <c r="C67" s="9">
        <v>9053</v>
      </c>
      <c r="D67" s="7">
        <v>18347</v>
      </c>
      <c r="E67" s="9">
        <v>2321142</v>
      </c>
      <c r="F67" s="27">
        <f t="shared" si="8"/>
        <v>256.39478625869879</v>
      </c>
      <c r="G67" s="17"/>
      <c r="H67" s="17"/>
      <c r="I67" s="55"/>
      <c r="J67" s="55"/>
    </row>
    <row r="68" spans="2:10" ht="19.5" thickBot="1" x14ac:dyDescent="0.35">
      <c r="B68" s="29" t="s">
        <v>49</v>
      </c>
      <c r="C68" s="40">
        <f>SUM(C61:C67)</f>
        <v>57646</v>
      </c>
      <c r="D68" s="40">
        <f>SUM(D61:D67)</f>
        <v>120124</v>
      </c>
      <c r="E68" s="40">
        <f>SUM(E61:E67)</f>
        <v>15103825</v>
      </c>
      <c r="F68" s="31">
        <f t="shared" si="8"/>
        <v>262.0099399784894</v>
      </c>
      <c r="G68" s="17"/>
      <c r="H68" s="17"/>
      <c r="I68" s="55"/>
      <c r="J68" s="55"/>
    </row>
    <row r="69" spans="2:10" ht="19.5" thickBot="1" x14ac:dyDescent="0.35">
      <c r="B69" s="44"/>
      <c r="C69" s="45"/>
      <c r="D69" s="45"/>
      <c r="E69" s="45"/>
      <c r="F69" s="46"/>
      <c r="G69" s="17"/>
      <c r="H69" s="17"/>
      <c r="I69" s="55"/>
      <c r="J69" s="55"/>
    </row>
    <row r="70" spans="2:10" ht="19.5" thickBot="1" x14ac:dyDescent="0.35">
      <c r="B70" s="21" t="s">
        <v>67</v>
      </c>
      <c r="C70" s="42"/>
      <c r="D70" s="42"/>
      <c r="E70" s="42"/>
      <c r="F70" s="43"/>
      <c r="G70" s="17"/>
      <c r="H70" s="17"/>
      <c r="I70" s="55"/>
      <c r="J70" s="55"/>
    </row>
    <row r="71" spans="2:10" ht="18.75" x14ac:dyDescent="0.3">
      <c r="B71" s="24" t="s">
        <v>68</v>
      </c>
      <c r="C71" s="16">
        <v>3969</v>
      </c>
      <c r="D71" s="7">
        <v>8468</v>
      </c>
      <c r="E71" s="8">
        <v>1058804</v>
      </c>
      <c r="F71" s="27">
        <f t="shared" ref="F71:F77" si="9">E71/C71</f>
        <v>266.76845553036031</v>
      </c>
      <c r="G71" s="17"/>
      <c r="H71" s="17"/>
      <c r="I71" s="55"/>
      <c r="J71" s="55"/>
    </row>
    <row r="72" spans="2:10" ht="18.75" x14ac:dyDescent="0.3">
      <c r="B72" s="26" t="s">
        <v>69</v>
      </c>
      <c r="C72" s="9">
        <v>6998</v>
      </c>
      <c r="D72" s="7">
        <v>13698</v>
      </c>
      <c r="E72" s="9">
        <v>1705797</v>
      </c>
      <c r="F72" s="27">
        <f t="shared" si="9"/>
        <v>243.75492997999427</v>
      </c>
      <c r="G72" s="17"/>
      <c r="H72" s="17"/>
      <c r="I72" s="55"/>
      <c r="J72" s="55"/>
    </row>
    <row r="73" spans="2:10" ht="18.75" x14ac:dyDescent="0.3">
      <c r="B73" s="26" t="s">
        <v>67</v>
      </c>
      <c r="C73" s="9">
        <v>8067</v>
      </c>
      <c r="D73" s="7">
        <v>16923</v>
      </c>
      <c r="E73" s="9">
        <v>2117063</v>
      </c>
      <c r="F73" s="27">
        <f t="shared" si="9"/>
        <v>262.43498202553616</v>
      </c>
      <c r="G73" s="17"/>
      <c r="H73" s="17"/>
      <c r="I73" s="55"/>
      <c r="J73" s="55"/>
    </row>
    <row r="74" spans="2:10" ht="18.75" x14ac:dyDescent="0.3">
      <c r="B74" s="26" t="s">
        <v>70</v>
      </c>
      <c r="C74" s="9">
        <v>4320</v>
      </c>
      <c r="D74" s="7">
        <v>8813</v>
      </c>
      <c r="E74" s="9">
        <v>1107805</v>
      </c>
      <c r="F74" s="27">
        <f t="shared" si="9"/>
        <v>256.43634259259261</v>
      </c>
      <c r="G74" s="17"/>
      <c r="H74" s="17"/>
      <c r="I74" s="55"/>
      <c r="J74" s="55"/>
    </row>
    <row r="75" spans="2:10" ht="18.75" x14ac:dyDescent="0.3">
      <c r="B75" s="26" t="s">
        <v>71</v>
      </c>
      <c r="C75" s="9">
        <v>6262</v>
      </c>
      <c r="D75" s="7">
        <v>13026</v>
      </c>
      <c r="E75" s="9">
        <v>1625017</v>
      </c>
      <c r="F75" s="27">
        <f t="shared" si="9"/>
        <v>259.50447141488343</v>
      </c>
      <c r="G75" s="17"/>
      <c r="H75" s="17"/>
      <c r="I75" s="55"/>
      <c r="J75" s="55"/>
    </row>
    <row r="76" spans="2:10" ht="19.5" thickBot="1" x14ac:dyDescent="0.35">
      <c r="B76" s="28" t="s">
        <v>72</v>
      </c>
      <c r="C76" s="10">
        <v>4004</v>
      </c>
      <c r="D76" s="7">
        <v>8600</v>
      </c>
      <c r="E76" s="10">
        <v>1060819</v>
      </c>
      <c r="F76" s="27">
        <f t="shared" si="9"/>
        <v>264.9398101898102</v>
      </c>
      <c r="G76" s="17"/>
      <c r="H76" s="17"/>
      <c r="I76" s="55"/>
      <c r="J76" s="55"/>
    </row>
    <row r="77" spans="2:10" ht="19.5" thickBot="1" x14ac:dyDescent="0.35">
      <c r="B77" s="29" t="s">
        <v>49</v>
      </c>
      <c r="C77" s="40">
        <f>SUM(C71:C76)</f>
        <v>33620</v>
      </c>
      <c r="D77" s="40">
        <f t="shared" ref="D77:E77" si="10">SUM(D71:D76)</f>
        <v>69528</v>
      </c>
      <c r="E77" s="40">
        <f t="shared" si="10"/>
        <v>8675305</v>
      </c>
      <c r="F77" s="31">
        <f t="shared" si="9"/>
        <v>258.04000594883996</v>
      </c>
      <c r="G77" s="17"/>
      <c r="H77" s="17"/>
      <c r="I77" s="55"/>
      <c r="J77" s="55"/>
    </row>
    <row r="78" spans="2:10" ht="19.5" thickBot="1" x14ac:dyDescent="0.35">
      <c r="B78" s="44"/>
      <c r="C78" s="45"/>
      <c r="D78" s="45"/>
      <c r="E78" s="45"/>
      <c r="F78" s="46"/>
      <c r="G78" s="17"/>
      <c r="H78" s="17"/>
      <c r="I78" s="55"/>
      <c r="J78" s="55"/>
    </row>
    <row r="79" spans="2:10" ht="19.5" thickBot="1" x14ac:dyDescent="0.35">
      <c r="B79" s="21" t="s">
        <v>73</v>
      </c>
      <c r="C79" s="42"/>
      <c r="D79" s="42"/>
      <c r="E79" s="42"/>
      <c r="F79" s="43"/>
      <c r="G79" s="17"/>
      <c r="H79" s="17"/>
      <c r="I79" s="55"/>
      <c r="J79" s="55"/>
    </row>
    <row r="80" spans="2:10" ht="18.75" x14ac:dyDescent="0.3">
      <c r="B80" s="24" t="s">
        <v>74</v>
      </c>
      <c r="C80" s="16">
        <v>2471</v>
      </c>
      <c r="D80" s="7">
        <v>5030</v>
      </c>
      <c r="E80" s="8">
        <v>625368</v>
      </c>
      <c r="F80" s="27">
        <f t="shared" ref="F80:F90" si="11">E80/C80</f>
        <v>253.08296236341562</v>
      </c>
      <c r="G80" s="17"/>
      <c r="H80" s="17"/>
      <c r="I80" s="55"/>
      <c r="J80" s="55"/>
    </row>
    <row r="81" spans="2:10" ht="18.75" x14ac:dyDescent="0.3">
      <c r="B81" s="26" t="s">
        <v>75</v>
      </c>
      <c r="C81" s="9">
        <v>251</v>
      </c>
      <c r="D81" s="7">
        <v>538</v>
      </c>
      <c r="E81" s="9">
        <v>63870</v>
      </c>
      <c r="F81" s="27">
        <f t="shared" si="11"/>
        <v>254.46215139442231</v>
      </c>
      <c r="G81" s="17"/>
      <c r="H81" s="17"/>
      <c r="I81" s="55"/>
      <c r="J81" s="55"/>
    </row>
    <row r="82" spans="2:10" ht="18.75" x14ac:dyDescent="0.3">
      <c r="B82" s="26" t="s">
        <v>76</v>
      </c>
      <c r="C82" s="9">
        <v>6841</v>
      </c>
      <c r="D82" s="7">
        <v>13991</v>
      </c>
      <c r="E82" s="9">
        <v>1769933</v>
      </c>
      <c r="F82" s="27">
        <f t="shared" si="11"/>
        <v>258.72430931150416</v>
      </c>
      <c r="G82" s="17"/>
      <c r="H82" s="17"/>
      <c r="I82" s="55"/>
      <c r="J82" s="55"/>
    </row>
    <row r="83" spans="2:10" ht="18.75" x14ac:dyDescent="0.3">
      <c r="B83" s="26" t="s">
        <v>73</v>
      </c>
      <c r="C83" s="9">
        <v>11128</v>
      </c>
      <c r="D83" s="7">
        <v>21875</v>
      </c>
      <c r="E83" s="9">
        <v>2769226</v>
      </c>
      <c r="F83" s="27">
        <f t="shared" si="11"/>
        <v>248.8520848310568</v>
      </c>
      <c r="G83" s="17"/>
      <c r="H83" s="17"/>
      <c r="I83" s="55"/>
      <c r="J83" s="55"/>
    </row>
    <row r="84" spans="2:10" ht="18.75" x14ac:dyDescent="0.3">
      <c r="B84" s="26" t="s">
        <v>77</v>
      </c>
      <c r="C84" s="9">
        <v>8172</v>
      </c>
      <c r="D84" s="7">
        <v>17080</v>
      </c>
      <c r="E84" s="9">
        <v>2160795</v>
      </c>
      <c r="F84" s="27">
        <f t="shared" si="11"/>
        <v>264.41446402349487</v>
      </c>
      <c r="G84" s="17"/>
      <c r="H84" s="17"/>
      <c r="I84" s="55"/>
      <c r="J84" s="55"/>
    </row>
    <row r="85" spans="2:10" ht="18.75" x14ac:dyDescent="0.3">
      <c r="B85" s="26" t="s">
        <v>78</v>
      </c>
      <c r="C85" s="9">
        <v>7501</v>
      </c>
      <c r="D85" s="7">
        <v>15198</v>
      </c>
      <c r="E85" s="9">
        <v>1922697</v>
      </c>
      <c r="F85" s="27">
        <f t="shared" si="11"/>
        <v>256.3254232768964</v>
      </c>
      <c r="G85" s="17"/>
      <c r="H85" s="17"/>
      <c r="I85" s="55"/>
      <c r="J85" s="55"/>
    </row>
    <row r="86" spans="2:10" ht="18.75" x14ac:dyDescent="0.3">
      <c r="B86" s="26" t="s">
        <v>79</v>
      </c>
      <c r="C86" s="9">
        <v>2899</v>
      </c>
      <c r="D86" s="7">
        <v>5954</v>
      </c>
      <c r="E86" s="9">
        <v>741596</v>
      </c>
      <c r="F86" s="27">
        <f t="shared" si="11"/>
        <v>255.81096929975854</v>
      </c>
      <c r="G86" s="17"/>
      <c r="H86" s="17"/>
      <c r="I86" s="55"/>
      <c r="J86" s="55"/>
    </row>
    <row r="87" spans="2:10" ht="18.75" x14ac:dyDescent="0.3">
      <c r="B87" s="26" t="s">
        <v>80</v>
      </c>
      <c r="C87" s="9">
        <v>5473</v>
      </c>
      <c r="D87" s="7">
        <v>11446</v>
      </c>
      <c r="E87" s="9">
        <v>1438326</v>
      </c>
      <c r="F87" s="27">
        <f t="shared" si="11"/>
        <v>262.80394664717704</v>
      </c>
      <c r="G87" s="17"/>
      <c r="H87" s="17"/>
      <c r="I87" s="55"/>
      <c r="J87" s="55"/>
    </row>
    <row r="88" spans="2:10" ht="18.75" x14ac:dyDescent="0.3">
      <c r="B88" s="26" t="s">
        <v>81</v>
      </c>
      <c r="C88" s="9">
        <v>2067</v>
      </c>
      <c r="D88" s="7">
        <v>4141</v>
      </c>
      <c r="E88" s="9">
        <v>530177</v>
      </c>
      <c r="F88" s="27">
        <f t="shared" si="11"/>
        <v>256.49588776003873</v>
      </c>
      <c r="G88" s="17"/>
      <c r="H88" s="17"/>
      <c r="I88" s="55"/>
      <c r="J88" s="55"/>
    </row>
    <row r="89" spans="2:10" ht="19.5" thickBot="1" x14ac:dyDescent="0.35">
      <c r="B89" s="28" t="s">
        <v>82</v>
      </c>
      <c r="C89" s="10">
        <v>9275</v>
      </c>
      <c r="D89" s="7">
        <v>18602</v>
      </c>
      <c r="E89" s="10">
        <v>2336498</v>
      </c>
      <c r="F89" s="27">
        <f t="shared" si="11"/>
        <v>251.91353099730458</v>
      </c>
      <c r="G89" s="17"/>
      <c r="H89" s="17"/>
      <c r="I89" s="55"/>
      <c r="J89" s="55"/>
    </row>
    <row r="90" spans="2:10" ht="19.5" thickBot="1" x14ac:dyDescent="0.35">
      <c r="B90" s="29" t="s">
        <v>49</v>
      </c>
      <c r="C90" s="40">
        <f>SUM(C80:C89)</f>
        <v>56078</v>
      </c>
      <c r="D90" s="40">
        <f t="shared" ref="D90:E90" si="12">SUM(D80:D89)</f>
        <v>113855</v>
      </c>
      <c r="E90" s="40">
        <f t="shared" si="12"/>
        <v>14358486</v>
      </c>
      <c r="F90" s="31">
        <f t="shared" si="11"/>
        <v>256.04490174399945</v>
      </c>
      <c r="G90" s="17"/>
      <c r="H90" s="17"/>
      <c r="I90" s="55"/>
      <c r="J90" s="55"/>
    </row>
    <row r="91" spans="2:10" ht="19.5" thickBot="1" x14ac:dyDescent="0.35">
      <c r="B91" s="44"/>
      <c r="C91" s="45"/>
      <c r="D91" s="45"/>
      <c r="E91" s="45"/>
      <c r="F91" s="46"/>
      <c r="G91" s="17"/>
      <c r="H91" s="17"/>
      <c r="I91" s="55"/>
      <c r="J91" s="55"/>
    </row>
    <row r="92" spans="2:10" ht="19.5" thickBot="1" x14ac:dyDescent="0.35">
      <c r="B92" s="21" t="s">
        <v>83</v>
      </c>
      <c r="C92" s="42"/>
      <c r="D92" s="42"/>
      <c r="E92" s="42"/>
      <c r="F92" s="43"/>
      <c r="G92" s="17"/>
      <c r="H92" s="17"/>
      <c r="I92" s="55"/>
      <c r="J92" s="55"/>
    </row>
    <row r="93" spans="2:10" ht="18.75" x14ac:dyDescent="0.3">
      <c r="B93" s="24" t="s">
        <v>84</v>
      </c>
      <c r="C93" s="16">
        <v>5597</v>
      </c>
      <c r="D93" s="7">
        <v>11416</v>
      </c>
      <c r="E93" s="8">
        <v>1426215</v>
      </c>
      <c r="F93" s="27">
        <f t="shared" ref="F93:F101" si="13">E93/C93</f>
        <v>254.81775951402537</v>
      </c>
      <c r="G93" s="17"/>
      <c r="H93" s="17"/>
      <c r="I93" s="55"/>
      <c r="J93" s="55"/>
    </row>
    <row r="94" spans="2:10" ht="18.75" x14ac:dyDescent="0.3">
      <c r="B94" s="26" t="s">
        <v>85</v>
      </c>
      <c r="C94" s="9">
        <v>7572</v>
      </c>
      <c r="D94" s="7">
        <v>15888</v>
      </c>
      <c r="E94" s="9">
        <v>2002491</v>
      </c>
      <c r="F94" s="27">
        <f t="shared" si="13"/>
        <v>264.45998415213944</v>
      </c>
      <c r="G94" s="17"/>
      <c r="H94" s="17"/>
      <c r="I94" s="55"/>
      <c r="J94" s="55"/>
    </row>
    <row r="95" spans="2:10" ht="18.75" x14ac:dyDescent="0.3">
      <c r="B95" s="26" t="s">
        <v>86</v>
      </c>
      <c r="C95" s="9">
        <v>4008</v>
      </c>
      <c r="D95" s="7">
        <v>8554</v>
      </c>
      <c r="E95" s="9">
        <v>1077038</v>
      </c>
      <c r="F95" s="27">
        <f t="shared" si="13"/>
        <v>268.72205588822357</v>
      </c>
      <c r="G95" s="17"/>
      <c r="H95" s="17"/>
      <c r="I95" s="55"/>
      <c r="J95" s="55"/>
    </row>
    <row r="96" spans="2:10" ht="18.75" x14ac:dyDescent="0.3">
      <c r="B96" s="26" t="s">
        <v>87</v>
      </c>
      <c r="C96" s="9">
        <v>2688</v>
      </c>
      <c r="D96" s="7">
        <v>5103</v>
      </c>
      <c r="E96" s="9">
        <v>641806</v>
      </c>
      <c r="F96" s="27">
        <f t="shared" si="13"/>
        <v>238.7671130952381</v>
      </c>
      <c r="G96" s="17"/>
      <c r="H96" s="17"/>
      <c r="I96" s="55"/>
      <c r="J96" s="55"/>
    </row>
    <row r="97" spans="2:10" ht="18.75" x14ac:dyDescent="0.3">
      <c r="B97" s="26" t="s">
        <v>88</v>
      </c>
      <c r="C97" s="9">
        <v>5158</v>
      </c>
      <c r="D97" s="7">
        <v>10955</v>
      </c>
      <c r="E97" s="9">
        <v>1384307</v>
      </c>
      <c r="F97" s="27">
        <f t="shared" si="13"/>
        <v>268.38057386583949</v>
      </c>
      <c r="G97" s="17"/>
      <c r="H97" s="17"/>
      <c r="I97" s="55"/>
      <c r="J97" s="55"/>
    </row>
    <row r="98" spans="2:10" ht="18.75" x14ac:dyDescent="0.3">
      <c r="B98" s="26" t="s">
        <v>89</v>
      </c>
      <c r="C98" s="9">
        <v>1164</v>
      </c>
      <c r="D98" s="7">
        <v>2772</v>
      </c>
      <c r="E98" s="9">
        <v>343714</v>
      </c>
      <c r="F98" s="27">
        <f t="shared" si="13"/>
        <v>295.28694158075604</v>
      </c>
      <c r="G98" s="17"/>
      <c r="H98" s="17"/>
      <c r="I98" s="55"/>
      <c r="J98" s="55"/>
    </row>
    <row r="99" spans="2:10" ht="18.75" x14ac:dyDescent="0.3">
      <c r="B99" s="26" t="s">
        <v>90</v>
      </c>
      <c r="C99" s="9">
        <v>15394</v>
      </c>
      <c r="D99" s="7">
        <v>30489</v>
      </c>
      <c r="E99" s="9">
        <v>3899658</v>
      </c>
      <c r="F99" s="27">
        <f t="shared" si="13"/>
        <v>253.32324282187867</v>
      </c>
      <c r="G99" s="17"/>
      <c r="H99" s="17"/>
      <c r="I99" s="55"/>
      <c r="J99" s="55"/>
    </row>
    <row r="100" spans="2:10" ht="18.75" x14ac:dyDescent="0.3">
      <c r="B100" s="47" t="s">
        <v>92</v>
      </c>
      <c r="C100" s="9">
        <v>4359</v>
      </c>
      <c r="D100" s="7">
        <v>9337</v>
      </c>
      <c r="E100" s="9">
        <v>1162671</v>
      </c>
      <c r="F100" s="27">
        <f t="shared" si="13"/>
        <v>266.72883688919478</v>
      </c>
      <c r="G100" s="17"/>
      <c r="H100" s="17"/>
      <c r="I100" s="55"/>
      <c r="J100" s="55"/>
    </row>
    <row r="101" spans="2:10" ht="19.5" thickBot="1" x14ac:dyDescent="0.35">
      <c r="B101" s="26" t="s">
        <v>93</v>
      </c>
      <c r="C101" s="10">
        <v>6489</v>
      </c>
      <c r="D101" s="7">
        <v>13385</v>
      </c>
      <c r="E101" s="9">
        <v>1682230</v>
      </c>
      <c r="F101" s="27">
        <f t="shared" si="13"/>
        <v>259.24333487440282</v>
      </c>
      <c r="G101" s="17"/>
      <c r="H101" s="17"/>
      <c r="I101" s="55"/>
      <c r="J101" s="55"/>
    </row>
    <row r="102" spans="2:10" ht="19.5" thickBot="1" x14ac:dyDescent="0.35">
      <c r="B102" s="29" t="s">
        <v>49</v>
      </c>
      <c r="C102" s="40">
        <f>SUM(C93:C101)</f>
        <v>52429</v>
      </c>
      <c r="D102" s="40">
        <f t="shared" ref="D102:E102" si="14">SUM(D93:D101)</f>
        <v>107899</v>
      </c>
      <c r="E102" s="40">
        <f t="shared" si="14"/>
        <v>13620130</v>
      </c>
      <c r="F102" s="31">
        <f t="shared" ref="F102" si="15">E102/C102</f>
        <v>259.78237235117967</v>
      </c>
      <c r="G102" s="17"/>
      <c r="H102" s="17"/>
      <c r="I102" s="55"/>
      <c r="J102" s="55"/>
    </row>
    <row r="103" spans="2:10" ht="19.5" thickBot="1" x14ac:dyDescent="0.35">
      <c r="B103" s="44"/>
      <c r="C103" s="45"/>
      <c r="D103" s="45"/>
      <c r="E103" s="45"/>
      <c r="F103" s="46"/>
      <c r="G103" s="17"/>
      <c r="H103" s="17"/>
      <c r="I103" s="55"/>
      <c r="J103" s="55"/>
    </row>
    <row r="104" spans="2:10" ht="19.5" thickBot="1" x14ac:dyDescent="0.35">
      <c r="B104" s="34" t="s">
        <v>94</v>
      </c>
      <c r="C104" s="42"/>
      <c r="D104" s="42"/>
      <c r="E104" s="42"/>
      <c r="F104" s="43"/>
      <c r="G104" s="17"/>
      <c r="H104" s="17"/>
      <c r="I104" s="55"/>
      <c r="J104" s="55"/>
    </row>
    <row r="105" spans="2:10" ht="18.75" x14ac:dyDescent="0.3">
      <c r="B105" s="48" t="s">
        <v>95</v>
      </c>
      <c r="C105" s="60">
        <v>3923</v>
      </c>
      <c r="D105" s="7">
        <v>9325</v>
      </c>
      <c r="E105" s="8">
        <v>1173758</v>
      </c>
      <c r="F105" s="27">
        <f t="shared" ref="F105:F118" si="16">E105/C105</f>
        <v>299.19908233494772</v>
      </c>
      <c r="G105" s="17"/>
      <c r="H105" s="17"/>
      <c r="I105" s="55"/>
      <c r="J105" s="55"/>
    </row>
    <row r="106" spans="2:10" ht="18.75" x14ac:dyDescent="0.3">
      <c r="B106" s="49" t="s">
        <v>96</v>
      </c>
      <c r="C106" s="9">
        <v>5649</v>
      </c>
      <c r="D106" s="7">
        <v>11486</v>
      </c>
      <c r="E106" s="8">
        <v>1438771</v>
      </c>
      <c r="F106" s="27">
        <f t="shared" si="16"/>
        <v>254.69481324128165</v>
      </c>
      <c r="G106" s="17"/>
      <c r="H106" s="17"/>
      <c r="I106" s="55"/>
      <c r="J106" s="55"/>
    </row>
    <row r="107" spans="2:10" ht="18.75" x14ac:dyDescent="0.3">
      <c r="B107" s="49" t="s">
        <v>97</v>
      </c>
      <c r="C107" s="9">
        <v>876</v>
      </c>
      <c r="D107" s="7">
        <v>1964</v>
      </c>
      <c r="E107" s="9">
        <v>255052</v>
      </c>
      <c r="F107" s="27">
        <f t="shared" si="16"/>
        <v>291.15525114155253</v>
      </c>
      <c r="G107" s="17"/>
      <c r="H107" s="17"/>
      <c r="I107" s="55"/>
      <c r="J107" s="55"/>
    </row>
    <row r="108" spans="2:10" ht="18.75" x14ac:dyDescent="0.3">
      <c r="B108" s="49" t="s">
        <v>98</v>
      </c>
      <c r="C108" s="9">
        <v>7598</v>
      </c>
      <c r="D108" s="7">
        <v>16331</v>
      </c>
      <c r="E108" s="9">
        <v>2047363</v>
      </c>
      <c r="F108" s="27">
        <f t="shared" si="16"/>
        <v>269.46077915240852</v>
      </c>
      <c r="G108" s="17"/>
      <c r="H108" s="17"/>
      <c r="I108" s="55"/>
      <c r="J108" s="55"/>
    </row>
    <row r="109" spans="2:10" ht="18.75" x14ac:dyDescent="0.3">
      <c r="B109" s="26" t="s">
        <v>99</v>
      </c>
      <c r="C109" s="9">
        <v>4721</v>
      </c>
      <c r="D109" s="7">
        <v>10310</v>
      </c>
      <c r="E109" s="9">
        <v>1294377</v>
      </c>
      <c r="F109" s="27">
        <f t="shared" si="16"/>
        <v>274.17432747299301</v>
      </c>
      <c r="G109" s="17"/>
      <c r="H109" s="17"/>
      <c r="I109" s="55"/>
      <c r="J109" s="55"/>
    </row>
    <row r="110" spans="2:10" ht="18.75" x14ac:dyDescent="0.3">
      <c r="B110" s="26" t="s">
        <v>100</v>
      </c>
      <c r="C110" s="9">
        <v>3738</v>
      </c>
      <c r="D110" s="7">
        <v>8864</v>
      </c>
      <c r="E110" s="9">
        <v>1117097</v>
      </c>
      <c r="F110" s="27">
        <f t="shared" si="16"/>
        <v>298.84884965222045</v>
      </c>
      <c r="G110" s="17"/>
      <c r="H110" s="17"/>
      <c r="I110" s="55"/>
      <c r="J110" s="55"/>
    </row>
    <row r="111" spans="2:10" ht="18.75" x14ac:dyDescent="0.3">
      <c r="B111" s="26" t="s">
        <v>101</v>
      </c>
      <c r="C111" s="9">
        <v>8854</v>
      </c>
      <c r="D111" s="7">
        <v>19916</v>
      </c>
      <c r="E111" s="9">
        <v>2477496</v>
      </c>
      <c r="F111" s="27">
        <f t="shared" si="16"/>
        <v>279.81658007680147</v>
      </c>
      <c r="G111" s="17"/>
      <c r="H111" s="17"/>
      <c r="I111" s="55"/>
      <c r="J111" s="55"/>
    </row>
    <row r="112" spans="2:10" ht="18.75" x14ac:dyDescent="0.3">
      <c r="B112" s="26" t="s">
        <v>102</v>
      </c>
      <c r="C112" s="9">
        <v>5782</v>
      </c>
      <c r="D112" s="7">
        <v>13150</v>
      </c>
      <c r="E112" s="9">
        <v>1641691</v>
      </c>
      <c r="F112" s="27">
        <f t="shared" si="16"/>
        <v>283.93133863714979</v>
      </c>
      <c r="G112" s="17"/>
      <c r="H112" s="17"/>
      <c r="I112" s="55"/>
      <c r="J112" s="55"/>
    </row>
    <row r="113" spans="2:10" ht="18.75" x14ac:dyDescent="0.3">
      <c r="B113" s="26" t="s">
        <v>103</v>
      </c>
      <c r="C113" s="9">
        <v>5139</v>
      </c>
      <c r="D113" s="7">
        <v>12022</v>
      </c>
      <c r="E113" s="9">
        <v>1489082</v>
      </c>
      <c r="F113" s="27">
        <f t="shared" si="16"/>
        <v>289.7610430044756</v>
      </c>
      <c r="G113" s="17"/>
      <c r="H113" s="17"/>
      <c r="I113" s="55"/>
      <c r="J113" s="55"/>
    </row>
    <row r="114" spans="2:10" ht="18.75" x14ac:dyDescent="0.3">
      <c r="B114" s="26" t="s">
        <v>104</v>
      </c>
      <c r="C114" s="9">
        <v>7274</v>
      </c>
      <c r="D114" s="7">
        <v>14569</v>
      </c>
      <c r="E114" s="9">
        <v>1848193</v>
      </c>
      <c r="F114" s="27">
        <f t="shared" si="16"/>
        <v>254.08207313720098</v>
      </c>
      <c r="G114" s="17"/>
      <c r="H114" s="17"/>
      <c r="I114" s="55"/>
      <c r="J114" s="55"/>
    </row>
    <row r="115" spans="2:10" ht="18.75" x14ac:dyDescent="0.3">
      <c r="B115" s="26" t="s">
        <v>105</v>
      </c>
      <c r="C115" s="9">
        <v>8530</v>
      </c>
      <c r="D115" s="7">
        <v>19684</v>
      </c>
      <c r="E115" s="9">
        <v>2466505</v>
      </c>
      <c r="F115" s="27">
        <f t="shared" si="16"/>
        <v>289.15650644783119</v>
      </c>
      <c r="G115" s="17"/>
      <c r="H115" s="17"/>
      <c r="I115" s="55"/>
      <c r="J115" s="55"/>
    </row>
    <row r="116" spans="2:10" ht="18.75" x14ac:dyDescent="0.3">
      <c r="B116" s="26" t="s">
        <v>106</v>
      </c>
      <c r="C116" s="9">
        <v>16456</v>
      </c>
      <c r="D116" s="7">
        <v>35686</v>
      </c>
      <c r="E116" s="9">
        <v>4544381</v>
      </c>
      <c r="F116" s="27">
        <f t="shared" si="16"/>
        <v>276.15343947496353</v>
      </c>
      <c r="G116" s="17"/>
      <c r="H116" s="17"/>
      <c r="I116" s="55"/>
      <c r="J116" s="55"/>
    </row>
    <row r="117" spans="2:10" ht="18.75" x14ac:dyDescent="0.3">
      <c r="B117" s="26" t="s">
        <v>107</v>
      </c>
      <c r="C117" s="9">
        <v>5458</v>
      </c>
      <c r="D117" s="7">
        <v>12447</v>
      </c>
      <c r="E117" s="9">
        <v>1563609</v>
      </c>
      <c r="F117" s="27">
        <f t="shared" si="16"/>
        <v>286.48021253206304</v>
      </c>
      <c r="G117" s="17"/>
      <c r="H117" s="17"/>
      <c r="I117" s="55"/>
      <c r="J117" s="55"/>
    </row>
    <row r="118" spans="2:10" ht="19.5" thickBot="1" x14ac:dyDescent="0.35">
      <c r="B118" s="26" t="s">
        <v>108</v>
      </c>
      <c r="C118" s="10">
        <v>8347</v>
      </c>
      <c r="D118" s="7">
        <v>17732</v>
      </c>
      <c r="E118" s="9">
        <v>2229188</v>
      </c>
      <c r="F118" s="27">
        <f t="shared" si="16"/>
        <v>267.06457409847849</v>
      </c>
      <c r="G118" s="17"/>
      <c r="H118" s="17"/>
      <c r="I118" s="55"/>
      <c r="J118" s="55"/>
    </row>
    <row r="119" spans="2:10" ht="19.5" thickBot="1" x14ac:dyDescent="0.35">
      <c r="B119" s="29" t="s">
        <v>49</v>
      </c>
      <c r="C119" s="40">
        <f>SUM(C105:C118)</f>
        <v>92345</v>
      </c>
      <c r="D119" s="40">
        <f t="shared" ref="D119:E119" si="17">SUM(D105:D118)</f>
        <v>203486</v>
      </c>
      <c r="E119" s="40">
        <f t="shared" si="17"/>
        <v>25586563</v>
      </c>
      <c r="F119" s="31">
        <f t="shared" ref="F119" si="18">E119/C119</f>
        <v>277.07578103849693</v>
      </c>
      <c r="G119" s="17"/>
      <c r="H119" s="17"/>
      <c r="I119" s="55"/>
      <c r="J119" s="55"/>
    </row>
    <row r="120" spans="2:10" ht="19.5" thickBot="1" x14ac:dyDescent="0.35">
      <c r="B120" s="44"/>
      <c r="C120" s="45"/>
      <c r="D120" s="45"/>
      <c r="E120" s="45"/>
      <c r="F120" s="46"/>
      <c r="G120" s="17"/>
      <c r="H120" s="17"/>
      <c r="I120" s="55"/>
      <c r="J120" s="55"/>
    </row>
    <row r="121" spans="2:10" ht="19.5" thickBot="1" x14ac:dyDescent="0.35">
      <c r="B121" s="21" t="s">
        <v>109</v>
      </c>
      <c r="C121" s="42"/>
      <c r="D121" s="42"/>
      <c r="E121" s="42"/>
      <c r="F121" s="43"/>
      <c r="G121" s="17"/>
      <c r="H121" s="17"/>
      <c r="I121" s="55"/>
      <c r="J121" s="55"/>
    </row>
    <row r="122" spans="2:10" ht="18.75" x14ac:dyDescent="0.3">
      <c r="B122" s="24" t="s">
        <v>110</v>
      </c>
      <c r="C122" s="16">
        <v>1557</v>
      </c>
      <c r="D122" s="7">
        <v>3491</v>
      </c>
      <c r="E122" s="8">
        <v>441820</v>
      </c>
      <c r="F122" s="27">
        <f t="shared" ref="F122:F130" si="19">E122/C122</f>
        <v>283.76364804110472</v>
      </c>
      <c r="G122" s="17"/>
      <c r="H122" s="17"/>
      <c r="I122" s="55"/>
      <c r="J122" s="55"/>
    </row>
    <row r="123" spans="2:10" ht="18.75" x14ac:dyDescent="0.3">
      <c r="B123" s="26" t="s">
        <v>111</v>
      </c>
      <c r="C123" s="9">
        <v>5014</v>
      </c>
      <c r="D123" s="7">
        <v>10106</v>
      </c>
      <c r="E123" s="9">
        <v>1281479</v>
      </c>
      <c r="F123" s="27">
        <f t="shared" si="19"/>
        <v>255.58017550857599</v>
      </c>
      <c r="G123" s="17"/>
      <c r="H123" s="17"/>
      <c r="I123" s="55"/>
      <c r="J123" s="55"/>
    </row>
    <row r="124" spans="2:10" ht="18.75" x14ac:dyDescent="0.3">
      <c r="B124" s="26" t="s">
        <v>112</v>
      </c>
      <c r="C124" s="9">
        <v>1651</v>
      </c>
      <c r="D124" s="7">
        <v>3442</v>
      </c>
      <c r="E124" s="9">
        <v>433644</v>
      </c>
      <c r="F124" s="27">
        <f t="shared" si="19"/>
        <v>262.65536038764384</v>
      </c>
      <c r="G124" s="17"/>
      <c r="H124" s="17"/>
      <c r="I124" s="55"/>
      <c r="J124" s="55"/>
    </row>
    <row r="125" spans="2:10" ht="18.75" x14ac:dyDescent="0.3">
      <c r="B125" s="26" t="s">
        <v>113</v>
      </c>
      <c r="C125" s="9">
        <v>4863</v>
      </c>
      <c r="D125" s="7">
        <v>9554</v>
      </c>
      <c r="E125" s="9">
        <v>1221240</v>
      </c>
      <c r="F125" s="27">
        <f t="shared" si="19"/>
        <v>251.12893275755707</v>
      </c>
      <c r="G125" s="17"/>
      <c r="H125" s="17"/>
      <c r="I125" s="55"/>
      <c r="J125" s="55"/>
    </row>
    <row r="126" spans="2:10" ht="18.75" x14ac:dyDescent="0.3">
      <c r="B126" s="26" t="s">
        <v>114</v>
      </c>
      <c r="C126" s="9">
        <v>7642</v>
      </c>
      <c r="D126" s="7">
        <v>13127</v>
      </c>
      <c r="E126" s="9">
        <v>1762669</v>
      </c>
      <c r="F126" s="27">
        <f t="shared" si="19"/>
        <v>230.65545668673121</v>
      </c>
      <c r="G126" s="17"/>
      <c r="H126" s="17"/>
      <c r="I126" s="55"/>
      <c r="J126" s="55"/>
    </row>
    <row r="127" spans="2:10" ht="18.75" x14ac:dyDescent="0.3">
      <c r="B127" s="26" t="s">
        <v>115</v>
      </c>
      <c r="C127" s="9">
        <v>10736</v>
      </c>
      <c r="D127" s="7">
        <v>23072</v>
      </c>
      <c r="E127" s="9">
        <v>2946195</v>
      </c>
      <c r="F127" s="27">
        <f t="shared" si="19"/>
        <v>274.42203800298063</v>
      </c>
      <c r="G127" s="17"/>
      <c r="H127" s="17"/>
      <c r="I127" s="55"/>
      <c r="J127" s="55"/>
    </row>
    <row r="128" spans="2:10" ht="18.75" x14ac:dyDescent="0.3">
      <c r="B128" s="26" t="s">
        <v>116</v>
      </c>
      <c r="C128" s="9">
        <v>9611</v>
      </c>
      <c r="D128" s="7">
        <v>19806</v>
      </c>
      <c r="E128" s="9">
        <v>2516119</v>
      </c>
      <c r="F128" s="27">
        <f t="shared" si="19"/>
        <v>261.79575486421811</v>
      </c>
      <c r="G128" s="17"/>
      <c r="H128" s="17"/>
      <c r="I128" s="55"/>
      <c r="J128" s="55"/>
    </row>
    <row r="129" spans="2:10" ht="18.75" x14ac:dyDescent="0.3">
      <c r="B129" s="26" t="s">
        <v>117</v>
      </c>
      <c r="C129" s="9">
        <v>7231</v>
      </c>
      <c r="D129" s="7">
        <v>15809</v>
      </c>
      <c r="E129" s="9">
        <v>2022495</v>
      </c>
      <c r="F129" s="27">
        <f t="shared" si="19"/>
        <v>279.69782879269809</v>
      </c>
      <c r="G129" s="17"/>
      <c r="H129" s="17"/>
      <c r="I129" s="55"/>
      <c r="J129" s="55"/>
    </row>
    <row r="130" spans="2:10" ht="19.5" thickBot="1" x14ac:dyDescent="0.35">
      <c r="B130" s="47" t="s">
        <v>118</v>
      </c>
      <c r="C130" s="9">
        <v>14364</v>
      </c>
      <c r="D130" s="7">
        <v>27542</v>
      </c>
      <c r="E130" s="9">
        <v>3573543</v>
      </c>
      <c r="F130" s="27">
        <f t="shared" si="19"/>
        <v>248.78467000835423</v>
      </c>
      <c r="G130" s="17"/>
      <c r="H130" s="17"/>
      <c r="I130" s="55"/>
      <c r="J130" s="55"/>
    </row>
    <row r="131" spans="2:10" ht="19.5" thickBot="1" x14ac:dyDescent="0.35">
      <c r="B131" s="29" t="s">
        <v>49</v>
      </c>
      <c r="C131" s="40">
        <f>SUM(C122:C130)</f>
        <v>62669</v>
      </c>
      <c r="D131" s="40">
        <f>SUM(D122:D130)</f>
        <v>125949</v>
      </c>
      <c r="E131" s="40">
        <f>SUM(E122:E130)</f>
        <v>16199204</v>
      </c>
      <c r="F131" s="31">
        <f t="shared" ref="F131" si="20">E131/C131</f>
        <v>258.48831160541897</v>
      </c>
      <c r="G131" s="17"/>
      <c r="H131" s="17"/>
      <c r="I131" s="55"/>
      <c r="J131" s="55"/>
    </row>
    <row r="132" spans="2:10" ht="19.5" thickBot="1" x14ac:dyDescent="0.35">
      <c r="B132" s="44"/>
      <c r="C132" s="45"/>
      <c r="D132" s="45"/>
      <c r="E132" s="45"/>
      <c r="F132" s="46"/>
      <c r="G132" s="17"/>
      <c r="H132" s="17"/>
      <c r="I132" s="55"/>
      <c r="J132" s="55"/>
    </row>
    <row r="133" spans="2:10" ht="19.5" thickBot="1" x14ac:dyDescent="0.35">
      <c r="B133" s="52" t="s">
        <v>120</v>
      </c>
      <c r="C133" s="50">
        <f>SUM(C131+C119+C102+C90+C77+C68+C58+C48+C32+C16)</f>
        <v>650217</v>
      </c>
      <c r="D133" s="50">
        <f>SUM(D131+D119+D102+D90+D77+D68+D58+D48+D32+D16)</f>
        <v>1357368</v>
      </c>
      <c r="E133" s="50">
        <f>SUM(E131+E119+E102+E90+E77+E68+E58+E48+E32+E16)</f>
        <v>171277869</v>
      </c>
      <c r="F133" s="43">
        <f t="shared" ref="F133" si="21">E133/C133</f>
        <v>263.41647326969303</v>
      </c>
      <c r="G133" s="17"/>
      <c r="H133" s="17"/>
      <c r="I133" s="55"/>
      <c r="J133" s="55"/>
    </row>
    <row r="134" spans="2:10" ht="18.75" x14ac:dyDescent="0.3">
      <c r="B134" s="51"/>
      <c r="C134" s="17"/>
      <c r="D134" s="17"/>
      <c r="E134" s="17"/>
      <c r="F134" s="17"/>
      <c r="G134" s="17"/>
      <c r="H134" s="17"/>
      <c r="I134" s="53"/>
      <c r="J134" s="53"/>
    </row>
    <row r="135" spans="2:10" ht="18.75" x14ac:dyDescent="0.3">
      <c r="B135" s="51"/>
      <c r="C135" s="17"/>
      <c r="D135" s="17"/>
      <c r="E135" s="17"/>
      <c r="F135" s="17"/>
      <c r="G135" s="17"/>
      <c r="H135" s="17"/>
      <c r="I135" s="53"/>
      <c r="J135" s="53"/>
    </row>
    <row r="136" spans="2:10" ht="18.75" x14ac:dyDescent="0.3">
      <c r="B136" s="51"/>
      <c r="C136" s="17"/>
      <c r="D136" s="17"/>
      <c r="E136" s="17"/>
      <c r="F136" s="17"/>
      <c r="G136" s="17"/>
      <c r="H136" s="17"/>
      <c r="I136" s="53"/>
      <c r="J136" s="53"/>
    </row>
    <row r="137" spans="2:10" ht="18.75" x14ac:dyDescent="0.3">
      <c r="B137" s="51"/>
      <c r="C137" s="17"/>
      <c r="D137" s="17"/>
      <c r="E137" s="17"/>
      <c r="F137" s="17"/>
      <c r="G137" s="17"/>
      <c r="H137" s="17"/>
      <c r="I137" s="53"/>
      <c r="J137" s="53"/>
    </row>
    <row r="138" spans="2:10" ht="18.75" x14ac:dyDescent="0.3">
      <c r="B138" s="51"/>
      <c r="C138" s="17"/>
      <c r="D138" s="17"/>
      <c r="E138" s="17"/>
      <c r="F138" s="17"/>
      <c r="G138" s="17"/>
      <c r="H138" s="17"/>
      <c r="I138" s="53"/>
      <c r="J138" s="53"/>
    </row>
    <row r="139" spans="2:10" ht="18.75" x14ac:dyDescent="0.3">
      <c r="B139" s="51"/>
      <c r="C139" s="17"/>
      <c r="D139" s="17"/>
      <c r="E139" s="17"/>
      <c r="F139" s="17"/>
      <c r="G139" s="17"/>
      <c r="H139" s="17"/>
      <c r="I139" s="53"/>
      <c r="J139" s="53"/>
    </row>
  </sheetData>
  <mergeCells count="6">
    <mergeCell ref="I6:J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39"/>
  <sheetViews>
    <sheetView topLeftCell="A120" workbookViewId="0">
      <selection activeCell="H33" sqref="H33"/>
    </sheetView>
  </sheetViews>
  <sheetFormatPr defaultRowHeight="15" x14ac:dyDescent="0.25"/>
  <cols>
    <col min="1" max="1" width="9.140625" style="1"/>
    <col min="2" max="2" width="18.7109375" style="1" bestFit="1" customWidth="1"/>
    <col min="3" max="3" width="10.5703125" style="1" bestFit="1" customWidth="1"/>
    <col min="4" max="4" width="12.7109375" style="1" bestFit="1" customWidth="1"/>
    <col min="5" max="5" width="15.7109375" style="1" bestFit="1" customWidth="1"/>
    <col min="6" max="6" width="15.85546875" style="1" customWidth="1"/>
    <col min="7" max="16384" width="9.140625" style="1"/>
  </cols>
  <sheetData>
    <row r="1" spans="2:10" ht="18.75" x14ac:dyDescent="0.3">
      <c r="B1" s="162" t="s">
        <v>0</v>
      </c>
      <c r="C1" s="162"/>
      <c r="D1" s="162"/>
      <c r="E1" s="162"/>
      <c r="F1" s="162"/>
      <c r="G1" s="17"/>
      <c r="H1" s="17"/>
      <c r="I1" s="17"/>
      <c r="J1" s="17"/>
    </row>
    <row r="2" spans="2:10" ht="18.75" x14ac:dyDescent="0.3">
      <c r="B2" s="162" t="s">
        <v>1</v>
      </c>
      <c r="C2" s="162"/>
      <c r="D2" s="162"/>
      <c r="E2" s="162"/>
      <c r="F2" s="162"/>
      <c r="G2" s="17"/>
      <c r="H2" s="17"/>
      <c r="I2" s="17"/>
      <c r="J2" s="17"/>
    </row>
    <row r="3" spans="2:10" ht="18.75" x14ac:dyDescent="0.3">
      <c r="B3" s="163" t="s">
        <v>2</v>
      </c>
      <c r="C3" s="163"/>
      <c r="D3" s="163"/>
      <c r="E3" s="163"/>
      <c r="F3" s="163"/>
      <c r="G3" s="17"/>
      <c r="H3" s="17"/>
      <c r="I3" s="17"/>
      <c r="J3" s="17"/>
    </row>
    <row r="4" spans="2:10" ht="18.75" x14ac:dyDescent="0.3">
      <c r="B4" s="162" t="s">
        <v>136</v>
      </c>
      <c r="C4" s="162"/>
      <c r="D4" s="162"/>
      <c r="E4" s="162"/>
      <c r="F4" s="162"/>
      <c r="G4" s="17"/>
      <c r="H4" s="17"/>
      <c r="I4" s="17"/>
      <c r="J4" s="17"/>
    </row>
    <row r="5" spans="2:10" ht="19.5" thickBot="1" x14ac:dyDescent="0.35">
      <c r="B5" s="164"/>
      <c r="C5" s="164"/>
      <c r="D5" s="164"/>
      <c r="E5" s="164"/>
      <c r="F5" s="164"/>
      <c r="G5" s="17"/>
      <c r="H5" s="17"/>
      <c r="I5" s="17"/>
      <c r="J5" s="17"/>
    </row>
    <row r="6" spans="2:10" ht="57" thickBot="1" x14ac:dyDescent="0.35">
      <c r="B6" s="18"/>
      <c r="C6" s="19" t="s">
        <v>3</v>
      </c>
      <c r="D6" s="20" t="s">
        <v>4</v>
      </c>
      <c r="E6" s="20" t="s">
        <v>5</v>
      </c>
      <c r="F6" s="20" t="s">
        <v>6</v>
      </c>
      <c r="G6" s="17"/>
      <c r="H6" s="17"/>
      <c r="I6" s="160" t="s">
        <v>7</v>
      </c>
      <c r="J6" s="161"/>
    </row>
    <row r="7" spans="2:10" ht="19.5" thickBot="1" x14ac:dyDescent="0.35">
      <c r="B7" s="21" t="s">
        <v>8</v>
      </c>
      <c r="C7" s="22"/>
      <c r="D7" s="22"/>
      <c r="E7" s="22"/>
      <c r="F7" s="23"/>
      <c r="G7" s="17"/>
      <c r="H7" s="17"/>
      <c r="I7" s="54" t="s">
        <v>9</v>
      </c>
      <c r="J7" s="54" t="s">
        <v>10</v>
      </c>
    </row>
    <row r="8" spans="2:10" ht="18.75" x14ac:dyDescent="0.3">
      <c r="B8" s="24" t="s">
        <v>11</v>
      </c>
      <c r="C8" s="15">
        <f>7736</f>
        <v>7736</v>
      </c>
      <c r="D8" s="13">
        <f>17141</f>
        <v>17141</v>
      </c>
      <c r="E8" s="14">
        <f>1686261</f>
        <v>1686261</v>
      </c>
      <c r="F8" s="25">
        <f>E8/C8</f>
        <v>217.97582730093072</v>
      </c>
      <c r="G8" s="17"/>
      <c r="H8" s="17"/>
      <c r="I8" s="55"/>
      <c r="J8" s="55"/>
    </row>
    <row r="9" spans="2:10" ht="18.75" x14ac:dyDescent="0.3">
      <c r="B9" s="26" t="s">
        <v>12</v>
      </c>
      <c r="C9" s="3">
        <f>5862</f>
        <v>5862</v>
      </c>
      <c r="D9" s="13">
        <f>11937</f>
        <v>11937</v>
      </c>
      <c r="E9" s="3">
        <f>1216220</f>
        <v>1216220</v>
      </c>
      <c r="F9" s="25">
        <f t="shared" ref="F9:F16" si="0">E9/C9</f>
        <v>207.47526441487548</v>
      </c>
      <c r="G9" s="17"/>
      <c r="H9" s="17"/>
      <c r="I9" s="55"/>
      <c r="J9" s="55"/>
    </row>
    <row r="10" spans="2:10" ht="18.75" x14ac:dyDescent="0.3">
      <c r="B10" s="26" t="s">
        <v>13</v>
      </c>
      <c r="C10" s="3">
        <f>6400</f>
        <v>6400</v>
      </c>
      <c r="D10" s="13">
        <f>12701</f>
        <v>12701</v>
      </c>
      <c r="E10" s="3">
        <f>1305488</f>
        <v>1305488</v>
      </c>
      <c r="F10" s="25">
        <f t="shared" si="0"/>
        <v>203.98249999999999</v>
      </c>
      <c r="G10" s="17"/>
      <c r="H10" s="17"/>
      <c r="I10" s="55"/>
      <c r="J10" s="55"/>
    </row>
    <row r="11" spans="2:10" ht="18.75" x14ac:dyDescent="0.3">
      <c r="B11" s="26" t="s">
        <v>14</v>
      </c>
      <c r="C11" s="3">
        <f>8273</f>
        <v>8273</v>
      </c>
      <c r="D11" s="13">
        <f>17302</f>
        <v>17302</v>
      </c>
      <c r="E11" s="3">
        <f>1722690</f>
        <v>1722690</v>
      </c>
      <c r="F11" s="25">
        <f t="shared" si="0"/>
        <v>208.2303880091865</v>
      </c>
      <c r="G11" s="17"/>
      <c r="H11" s="17"/>
      <c r="I11" s="55"/>
      <c r="J11" s="55"/>
    </row>
    <row r="12" spans="2:10" ht="18.75" x14ac:dyDescent="0.3">
      <c r="B12" s="26" t="s">
        <v>15</v>
      </c>
      <c r="C12" s="3">
        <v>2032</v>
      </c>
      <c r="D12" s="13">
        <v>4511</v>
      </c>
      <c r="E12" s="3">
        <v>452765</v>
      </c>
      <c r="F12" s="25">
        <f t="shared" si="0"/>
        <v>222.81742125984252</v>
      </c>
      <c r="G12" s="17"/>
      <c r="H12" s="17"/>
      <c r="I12" s="55"/>
      <c r="J12" s="55"/>
    </row>
    <row r="13" spans="2:10" ht="18.75" x14ac:dyDescent="0.3">
      <c r="B13" s="26" t="s">
        <v>16</v>
      </c>
      <c r="C13" s="3">
        <f>8684</f>
        <v>8684</v>
      </c>
      <c r="D13" s="13">
        <f>18839</f>
        <v>18839</v>
      </c>
      <c r="E13" s="3">
        <f>1887903</f>
        <v>1887903</v>
      </c>
      <c r="F13" s="25">
        <f t="shared" si="0"/>
        <v>217.40016121602949</v>
      </c>
      <c r="G13" s="17"/>
      <c r="H13" s="17"/>
      <c r="I13" s="55"/>
      <c r="J13" s="55"/>
    </row>
    <row r="14" spans="2:10" ht="18.75" x14ac:dyDescent="0.3">
      <c r="B14" s="26" t="s">
        <v>17</v>
      </c>
      <c r="C14" s="3">
        <f>3123</f>
        <v>3123</v>
      </c>
      <c r="D14" s="13">
        <f>6184</f>
        <v>6184</v>
      </c>
      <c r="E14" s="3">
        <f>621102</f>
        <v>621102</v>
      </c>
      <c r="F14" s="25">
        <f t="shared" si="0"/>
        <v>198.87992315081652</v>
      </c>
      <c r="G14" s="17"/>
      <c r="H14" s="17"/>
      <c r="I14" s="55"/>
      <c r="J14" s="55"/>
    </row>
    <row r="15" spans="2:10" ht="19.5" thickBot="1" x14ac:dyDescent="0.35">
      <c r="B15" s="28" t="s">
        <v>18</v>
      </c>
      <c r="C15" s="4">
        <f>10090</f>
        <v>10090</v>
      </c>
      <c r="D15" s="13">
        <f>20482</f>
        <v>20482</v>
      </c>
      <c r="E15" s="11">
        <f>2092237</f>
        <v>2092237</v>
      </c>
      <c r="F15" s="25">
        <f t="shared" si="0"/>
        <v>207.35748265609516</v>
      </c>
      <c r="G15" s="17"/>
      <c r="H15" s="17"/>
      <c r="I15" s="55"/>
      <c r="J15" s="55"/>
    </row>
    <row r="16" spans="2:10" ht="19.5" thickBot="1" x14ac:dyDescent="0.35">
      <c r="B16" s="29" t="s">
        <v>19</v>
      </c>
      <c r="C16" s="30">
        <f>SUM(C8:C15)</f>
        <v>52200</v>
      </c>
      <c r="D16" s="30">
        <f t="shared" ref="D16:E16" si="1">SUM(D8:D15)</f>
        <v>109097</v>
      </c>
      <c r="E16" s="30">
        <f t="shared" si="1"/>
        <v>10984666</v>
      </c>
      <c r="F16" s="31">
        <f t="shared" si="0"/>
        <v>210.43421455938699</v>
      </c>
      <c r="G16" s="17"/>
      <c r="H16" s="17"/>
      <c r="I16" s="55"/>
      <c r="J16" s="55"/>
    </row>
    <row r="17" spans="2:17" ht="19.5" thickBot="1" x14ac:dyDescent="0.35">
      <c r="B17" s="32"/>
      <c r="C17" s="33"/>
      <c r="D17" s="33"/>
      <c r="E17" s="33"/>
      <c r="F17" s="33"/>
      <c r="G17" s="2"/>
      <c r="H17" s="2"/>
      <c r="I17" s="55"/>
      <c r="J17" s="55"/>
      <c r="K17" s="2"/>
      <c r="L17" s="2"/>
      <c r="M17" s="2"/>
      <c r="N17" s="2"/>
      <c r="O17" s="2"/>
      <c r="P17" s="2"/>
      <c r="Q17" s="2"/>
    </row>
    <row r="18" spans="2:17" ht="19.5" thickBot="1" x14ac:dyDescent="0.35">
      <c r="B18" s="34" t="s">
        <v>20</v>
      </c>
      <c r="C18" s="35"/>
      <c r="D18" s="35"/>
      <c r="E18" s="35"/>
      <c r="F18" s="36"/>
      <c r="G18" s="2"/>
      <c r="H18" s="2"/>
      <c r="I18" s="55"/>
      <c r="J18" s="55"/>
      <c r="K18" s="2"/>
      <c r="L18" s="2"/>
      <c r="M18" s="2"/>
      <c r="N18" s="2"/>
      <c r="O18" s="2"/>
      <c r="P18" s="2"/>
      <c r="Q18" s="2"/>
    </row>
    <row r="19" spans="2:17" ht="18.75" x14ac:dyDescent="0.3">
      <c r="B19" s="37" t="s">
        <v>21</v>
      </c>
      <c r="C19" s="3">
        <f>14862</f>
        <v>14862</v>
      </c>
      <c r="D19" s="3">
        <f>29047</f>
        <v>29047</v>
      </c>
      <c r="E19" s="6">
        <f>2967440</f>
        <v>2967440</v>
      </c>
      <c r="F19" s="27">
        <f t="shared" ref="F19:F32" si="2">E19/C19</f>
        <v>199.66626295249631</v>
      </c>
      <c r="G19" s="38"/>
      <c r="H19" s="38"/>
      <c r="I19" s="55"/>
      <c r="J19" s="55"/>
      <c r="K19" s="38"/>
      <c r="L19" s="38"/>
      <c r="M19" s="38"/>
      <c r="N19" s="38"/>
      <c r="O19" s="38"/>
      <c r="P19" s="38"/>
      <c r="Q19" s="38"/>
    </row>
    <row r="20" spans="2:17" ht="18.75" x14ac:dyDescent="0.3">
      <c r="B20" s="59" t="s">
        <v>22</v>
      </c>
      <c r="C20" s="3">
        <f>7180+6</f>
        <v>7186</v>
      </c>
      <c r="D20" s="3">
        <f>13397</f>
        <v>13397</v>
      </c>
      <c r="E20" s="3">
        <f>1375450</f>
        <v>1375450</v>
      </c>
      <c r="F20" s="27">
        <f t="shared" si="2"/>
        <v>191.40690231004731</v>
      </c>
      <c r="G20" s="38"/>
      <c r="H20" s="38"/>
      <c r="I20" s="55"/>
      <c r="J20" s="55"/>
      <c r="K20" s="38"/>
      <c r="L20" s="38"/>
      <c r="M20" s="38"/>
      <c r="N20" s="38"/>
      <c r="O20" s="38"/>
      <c r="P20" s="38"/>
      <c r="Q20" s="38"/>
    </row>
    <row r="21" spans="2:17" ht="18.75" x14ac:dyDescent="0.3">
      <c r="B21" s="58" t="s">
        <v>23</v>
      </c>
      <c r="C21" s="9">
        <f>6035</f>
        <v>6035</v>
      </c>
      <c r="D21" s="3">
        <f>12133</f>
        <v>12133</v>
      </c>
      <c r="E21" s="9">
        <f>1218109</f>
        <v>1218109</v>
      </c>
      <c r="F21" s="27">
        <f t="shared" si="2"/>
        <v>201.84076222038112</v>
      </c>
      <c r="G21" s="2"/>
      <c r="H21" s="2"/>
      <c r="I21" s="55"/>
      <c r="J21" s="55"/>
      <c r="K21" s="2"/>
      <c r="L21" s="2"/>
      <c r="M21" s="2"/>
      <c r="N21" s="2"/>
      <c r="O21" s="2"/>
      <c r="P21" s="2"/>
      <c r="Q21" s="2"/>
    </row>
    <row r="22" spans="2:17" ht="18.75" x14ac:dyDescent="0.3">
      <c r="B22" s="26" t="s">
        <v>24</v>
      </c>
      <c r="C22" s="9">
        <f>7812</f>
        <v>7812</v>
      </c>
      <c r="D22" s="3">
        <f>16083</f>
        <v>16083</v>
      </c>
      <c r="E22" s="9">
        <f>1604167</f>
        <v>1604167</v>
      </c>
      <c r="F22" s="27">
        <f t="shared" si="2"/>
        <v>205.34651817716335</v>
      </c>
      <c r="G22" s="2"/>
      <c r="H22" s="2"/>
      <c r="I22" s="55"/>
      <c r="J22" s="55"/>
      <c r="K22" s="2"/>
      <c r="L22" s="2"/>
      <c r="M22" s="2"/>
      <c r="N22" s="2"/>
      <c r="O22" s="2"/>
      <c r="P22" s="2"/>
      <c r="Q22" s="2"/>
    </row>
    <row r="23" spans="2:17" ht="18.75" x14ac:dyDescent="0.3">
      <c r="B23" s="26" t="s">
        <v>25</v>
      </c>
      <c r="C23" s="9">
        <f>4805</f>
        <v>4805</v>
      </c>
      <c r="D23" s="3">
        <f>10367</f>
        <v>10367</v>
      </c>
      <c r="E23" s="9">
        <f>1026654</f>
        <v>1026654</v>
      </c>
      <c r="F23" s="27">
        <f t="shared" si="2"/>
        <v>213.66368366285118</v>
      </c>
      <c r="G23" s="2"/>
      <c r="H23" s="2"/>
      <c r="I23" s="55"/>
      <c r="J23" s="55"/>
      <c r="K23" s="2"/>
      <c r="L23" s="2"/>
      <c r="M23" s="2"/>
      <c r="N23" s="2"/>
      <c r="O23" s="2"/>
      <c r="P23" s="2"/>
      <c r="Q23" s="2"/>
    </row>
    <row r="24" spans="2:17" ht="18.75" x14ac:dyDescent="0.3">
      <c r="B24" s="26" t="s">
        <v>26</v>
      </c>
      <c r="C24" s="9">
        <f>3261</f>
        <v>3261</v>
      </c>
      <c r="D24" s="3">
        <f>6984</f>
        <v>6984</v>
      </c>
      <c r="E24" s="9">
        <f>700219</f>
        <v>700219</v>
      </c>
      <c r="F24" s="27">
        <f t="shared" si="2"/>
        <v>214.72523765716039</v>
      </c>
      <c r="G24" s="2"/>
      <c r="H24" s="2"/>
      <c r="I24" s="55"/>
      <c r="J24" s="55"/>
      <c r="K24" s="2"/>
      <c r="L24" s="2"/>
      <c r="M24" s="2"/>
      <c r="N24" s="2"/>
      <c r="O24" s="2"/>
      <c r="P24" s="2"/>
      <c r="Q24" s="2"/>
    </row>
    <row r="25" spans="2:17" ht="18.75" x14ac:dyDescent="0.3">
      <c r="B25" s="26" t="s">
        <v>27</v>
      </c>
      <c r="C25" s="9">
        <f>8445</f>
        <v>8445</v>
      </c>
      <c r="D25" s="3">
        <f>17350</f>
        <v>17350</v>
      </c>
      <c r="E25" s="9">
        <f>1750061</f>
        <v>1750061</v>
      </c>
      <c r="F25" s="27">
        <f t="shared" si="2"/>
        <v>207.23043220840734</v>
      </c>
      <c r="G25" s="2"/>
      <c r="H25" s="2"/>
      <c r="I25" s="55"/>
      <c r="J25" s="55"/>
      <c r="K25" s="2"/>
      <c r="L25" s="2"/>
      <c r="M25" s="2"/>
      <c r="N25" s="2"/>
      <c r="O25" s="2"/>
      <c r="P25" s="2"/>
      <c r="Q25" s="2"/>
    </row>
    <row r="26" spans="2:17" ht="18.75" x14ac:dyDescent="0.3">
      <c r="B26" s="26" t="s">
        <v>28</v>
      </c>
      <c r="C26" s="9">
        <f>7592</f>
        <v>7592</v>
      </c>
      <c r="D26" s="3">
        <f>16324</f>
        <v>16324</v>
      </c>
      <c r="E26" s="9">
        <f>1640377</f>
        <v>1640377</v>
      </c>
      <c r="F26" s="27">
        <f t="shared" si="2"/>
        <v>216.06651738672286</v>
      </c>
      <c r="G26" s="2"/>
      <c r="H26" s="2"/>
      <c r="I26" s="55"/>
      <c r="J26" s="55"/>
      <c r="K26" s="2"/>
      <c r="L26" s="2"/>
      <c r="M26" s="2"/>
      <c r="N26" s="2"/>
      <c r="O26" s="2"/>
      <c r="P26" s="2"/>
      <c r="Q26" s="2"/>
    </row>
    <row r="27" spans="2:17" ht="18.75" x14ac:dyDescent="0.3">
      <c r="B27" s="26" t="s">
        <v>29</v>
      </c>
      <c r="C27" s="9">
        <f>9891</f>
        <v>9891</v>
      </c>
      <c r="D27" s="3">
        <f>19696</f>
        <v>19696</v>
      </c>
      <c r="E27" s="9">
        <f>1982054</f>
        <v>1982054</v>
      </c>
      <c r="F27" s="27">
        <f t="shared" si="2"/>
        <v>200.38964715397836</v>
      </c>
      <c r="G27" s="2"/>
      <c r="H27" s="2"/>
      <c r="I27" s="55"/>
      <c r="J27" s="55"/>
      <c r="K27" s="2"/>
      <c r="L27" s="2"/>
      <c r="M27" s="2"/>
      <c r="N27" s="2"/>
      <c r="O27" s="2"/>
      <c r="P27" s="2"/>
      <c r="Q27" s="2"/>
    </row>
    <row r="28" spans="2:17" ht="18.75" x14ac:dyDescent="0.3">
      <c r="B28" s="26" t="s">
        <v>30</v>
      </c>
      <c r="C28" s="9">
        <f>6601</f>
        <v>6601</v>
      </c>
      <c r="D28" s="3">
        <f>15096</f>
        <v>15096</v>
      </c>
      <c r="E28" s="9">
        <f>1489144</f>
        <v>1489144</v>
      </c>
      <c r="F28" s="27">
        <f t="shared" si="2"/>
        <v>225.59369792455689</v>
      </c>
      <c r="G28" s="2"/>
      <c r="H28" s="2"/>
      <c r="I28" s="55"/>
      <c r="J28" s="55"/>
      <c r="K28" s="2"/>
      <c r="L28" s="2"/>
      <c r="M28" s="2"/>
      <c r="N28" s="2"/>
      <c r="O28" s="2"/>
      <c r="P28" s="2"/>
      <c r="Q28" s="2"/>
    </row>
    <row r="29" spans="2:17" ht="18.75" x14ac:dyDescent="0.3">
      <c r="B29" s="26" t="s">
        <v>31</v>
      </c>
      <c r="C29" s="9">
        <f>5736</f>
        <v>5736</v>
      </c>
      <c r="D29" s="3">
        <f>12268</f>
        <v>12268</v>
      </c>
      <c r="E29" s="9">
        <f>1218884</f>
        <v>1218884</v>
      </c>
      <c r="F29" s="27">
        <f t="shared" si="2"/>
        <v>212.49721059972106</v>
      </c>
      <c r="G29" s="2"/>
      <c r="H29" s="2"/>
      <c r="I29" s="55"/>
      <c r="J29" s="55"/>
      <c r="K29" s="2"/>
      <c r="L29" s="2"/>
      <c r="M29" s="2"/>
      <c r="N29" s="2"/>
      <c r="O29" s="2"/>
      <c r="P29" s="2"/>
      <c r="Q29" s="2"/>
    </row>
    <row r="30" spans="2:17" ht="18.75" x14ac:dyDescent="0.3">
      <c r="B30" s="39" t="s">
        <v>32</v>
      </c>
      <c r="C30" s="8">
        <f>5553</f>
        <v>5553</v>
      </c>
      <c r="D30" s="13">
        <f>12143</f>
        <v>12143</v>
      </c>
      <c r="E30" s="8">
        <f>1224406</f>
        <v>1224406</v>
      </c>
      <c r="F30" s="27">
        <f t="shared" si="2"/>
        <v>220.49450747343778</v>
      </c>
      <c r="G30" s="2"/>
      <c r="H30" s="2"/>
      <c r="I30" s="55"/>
      <c r="J30" s="55"/>
      <c r="K30" s="2"/>
      <c r="L30" s="2"/>
      <c r="M30" s="2"/>
      <c r="N30" s="2"/>
      <c r="O30" s="2"/>
      <c r="P30" s="2"/>
      <c r="Q30" s="2"/>
    </row>
    <row r="31" spans="2:17" ht="19.5" thickBot="1" x14ac:dyDescent="0.35">
      <c r="B31" s="39" t="s">
        <v>33</v>
      </c>
      <c r="C31" s="56">
        <f>1948</f>
        <v>1948</v>
      </c>
      <c r="D31" s="5">
        <f>4139</f>
        <v>4139</v>
      </c>
      <c r="E31" s="57">
        <f>420151</f>
        <v>420151</v>
      </c>
      <c r="F31" s="27">
        <f t="shared" si="2"/>
        <v>215.68326488706364</v>
      </c>
      <c r="G31" s="2"/>
      <c r="H31" s="2"/>
      <c r="I31" s="55"/>
      <c r="J31" s="55"/>
      <c r="K31" s="2"/>
      <c r="L31" s="2"/>
      <c r="M31" s="2"/>
      <c r="N31" s="2"/>
      <c r="O31" s="2"/>
      <c r="P31" s="2"/>
      <c r="Q31" s="2"/>
    </row>
    <row r="32" spans="2:17" ht="19.5" thickBot="1" x14ac:dyDescent="0.35">
      <c r="B32" s="29" t="s">
        <v>34</v>
      </c>
      <c r="C32" s="40">
        <f>SUM(C19:C31)</f>
        <v>89727</v>
      </c>
      <c r="D32" s="40">
        <f t="shared" ref="D32:E32" si="3">SUM(D19:D31)</f>
        <v>185027</v>
      </c>
      <c r="E32" s="40">
        <f t="shared" si="3"/>
        <v>18617116</v>
      </c>
      <c r="F32" s="31">
        <f t="shared" si="2"/>
        <v>207.48621930968383</v>
      </c>
      <c r="G32" s="2"/>
      <c r="H32" s="2"/>
      <c r="I32" s="55"/>
      <c r="J32" s="55"/>
      <c r="K32" s="2"/>
      <c r="L32" s="2"/>
      <c r="M32" s="2"/>
      <c r="N32" s="2"/>
      <c r="O32" s="2"/>
      <c r="P32" s="2"/>
      <c r="Q32" s="2"/>
    </row>
    <row r="33" spans="2:10" ht="19.5" thickBot="1" x14ac:dyDescent="0.35">
      <c r="B33" s="32"/>
      <c r="C33" s="41"/>
      <c r="D33" s="41"/>
      <c r="E33" s="41"/>
      <c r="F33" s="33"/>
      <c r="G33" s="17"/>
      <c r="H33" s="17"/>
      <c r="I33" s="55"/>
      <c r="J33" s="55"/>
    </row>
    <row r="34" spans="2:10" ht="19.5" thickBot="1" x14ac:dyDescent="0.35">
      <c r="B34" s="21" t="s">
        <v>35</v>
      </c>
      <c r="C34" s="42"/>
      <c r="D34" s="42"/>
      <c r="E34" s="42"/>
      <c r="F34" s="43"/>
      <c r="G34" s="17"/>
      <c r="H34" s="17"/>
      <c r="I34" s="55"/>
      <c r="J34" s="55"/>
    </row>
    <row r="35" spans="2:10" ht="18.75" x14ac:dyDescent="0.3">
      <c r="B35" s="24" t="s">
        <v>36</v>
      </c>
      <c r="C35" s="16">
        <f>8859</f>
        <v>8859</v>
      </c>
      <c r="D35" s="7">
        <f>18660</f>
        <v>18660</v>
      </c>
      <c r="E35" s="8">
        <f>1859457</f>
        <v>1859457</v>
      </c>
      <c r="F35" s="27">
        <f t="shared" ref="F35:F48" si="4">E35/C35</f>
        <v>209.89468337284117</v>
      </c>
      <c r="G35" s="17"/>
      <c r="H35" s="17"/>
      <c r="I35" s="55"/>
      <c r="J35" s="55"/>
    </row>
    <row r="36" spans="2:10" ht="18.75" x14ac:dyDescent="0.3">
      <c r="B36" s="26" t="s">
        <v>37</v>
      </c>
      <c r="C36" s="9">
        <f>8962</f>
        <v>8962</v>
      </c>
      <c r="D36" s="7">
        <f>18021</f>
        <v>18021</v>
      </c>
      <c r="E36" s="9">
        <f>1807201</f>
        <v>1807201</v>
      </c>
      <c r="F36" s="27">
        <f t="shared" si="4"/>
        <v>201.65152867663468</v>
      </c>
      <c r="G36" s="17"/>
      <c r="H36" s="17"/>
      <c r="I36" s="55"/>
      <c r="J36" s="55"/>
    </row>
    <row r="37" spans="2:10" ht="18.75" x14ac:dyDescent="0.3">
      <c r="B37" s="26" t="s">
        <v>38</v>
      </c>
      <c r="C37" s="9">
        <f>10348</f>
        <v>10348</v>
      </c>
      <c r="D37" s="7">
        <f>21424</f>
        <v>21424</v>
      </c>
      <c r="E37" s="9">
        <f>2127913</f>
        <v>2127913</v>
      </c>
      <c r="F37" s="27">
        <f t="shared" si="4"/>
        <v>205.63519520680325</v>
      </c>
      <c r="G37" s="17"/>
      <c r="H37" s="17"/>
      <c r="I37" s="55"/>
      <c r="J37" s="55"/>
    </row>
    <row r="38" spans="2:10" ht="18.75" x14ac:dyDescent="0.3">
      <c r="B38" s="26" t="s">
        <v>39</v>
      </c>
      <c r="C38" s="9">
        <f>5252</f>
        <v>5252</v>
      </c>
      <c r="D38" s="7">
        <f>11135</f>
        <v>11135</v>
      </c>
      <c r="E38" s="9">
        <f>1129426</f>
        <v>1129426</v>
      </c>
      <c r="F38" s="27">
        <f t="shared" si="4"/>
        <v>215.04683929931454</v>
      </c>
      <c r="G38" s="17"/>
      <c r="H38" s="17"/>
      <c r="I38" s="55"/>
      <c r="J38" s="55"/>
    </row>
    <row r="39" spans="2:10" ht="18.75" x14ac:dyDescent="0.3">
      <c r="B39" s="26" t="s">
        <v>40</v>
      </c>
      <c r="C39" s="9">
        <f>8036</f>
        <v>8036</v>
      </c>
      <c r="D39" s="7">
        <f>17401</f>
        <v>17401</v>
      </c>
      <c r="E39" s="9">
        <f>1731805</f>
        <v>1731805</v>
      </c>
      <c r="F39" s="27">
        <f t="shared" si="4"/>
        <v>215.5058486809358</v>
      </c>
      <c r="G39" s="17"/>
      <c r="H39" s="17"/>
      <c r="I39" s="55"/>
      <c r="J39" s="55"/>
    </row>
    <row r="40" spans="2:10" ht="18.75" x14ac:dyDescent="0.3">
      <c r="B40" s="26" t="s">
        <v>41</v>
      </c>
      <c r="C40" s="9">
        <f>5741</f>
        <v>5741</v>
      </c>
      <c r="D40" s="7">
        <f>11846</f>
        <v>11846</v>
      </c>
      <c r="E40" s="9">
        <f>1170984</f>
        <v>1170984</v>
      </c>
      <c r="F40" s="27">
        <f t="shared" si="4"/>
        <v>203.96864657725135</v>
      </c>
      <c r="G40" s="17"/>
      <c r="H40" s="17"/>
      <c r="I40" s="55"/>
      <c r="J40" s="55"/>
    </row>
    <row r="41" spans="2:10" ht="18.75" x14ac:dyDescent="0.3">
      <c r="B41" s="26" t="s">
        <v>42</v>
      </c>
      <c r="C41" s="9">
        <f>7057</f>
        <v>7057</v>
      </c>
      <c r="D41" s="7">
        <f>15386</f>
        <v>15386</v>
      </c>
      <c r="E41" s="9">
        <f>1515678</f>
        <v>1515678</v>
      </c>
      <c r="F41" s="27">
        <f t="shared" si="4"/>
        <v>214.77653393793398</v>
      </c>
      <c r="G41" s="17"/>
      <c r="H41" s="17"/>
      <c r="I41" s="55"/>
      <c r="J41" s="55"/>
    </row>
    <row r="42" spans="2:10" ht="18.75" x14ac:dyDescent="0.3">
      <c r="B42" s="26" t="s">
        <v>43</v>
      </c>
      <c r="C42" s="9">
        <f>10311</f>
        <v>10311</v>
      </c>
      <c r="D42" s="7">
        <f>22634</f>
        <v>22634</v>
      </c>
      <c r="E42" s="9">
        <f>2245011</f>
        <v>2245011</v>
      </c>
      <c r="F42" s="27">
        <f t="shared" si="4"/>
        <v>217.72970613907478</v>
      </c>
      <c r="G42" s="17"/>
      <c r="H42" s="17"/>
      <c r="I42" s="55"/>
      <c r="J42" s="55"/>
    </row>
    <row r="43" spans="2:10" ht="18.75" x14ac:dyDescent="0.3">
      <c r="B43" s="26" t="s">
        <v>44</v>
      </c>
      <c r="C43" s="9">
        <f>6909</f>
        <v>6909</v>
      </c>
      <c r="D43" s="7">
        <f>14582</f>
        <v>14582</v>
      </c>
      <c r="E43" s="9">
        <f>1450010</f>
        <v>1450010</v>
      </c>
      <c r="F43" s="27">
        <f t="shared" si="4"/>
        <v>209.87262990302503</v>
      </c>
      <c r="G43" s="17"/>
      <c r="H43" s="17"/>
      <c r="I43" s="55"/>
      <c r="J43" s="55"/>
    </row>
    <row r="44" spans="2:10" ht="18.75" x14ac:dyDescent="0.3">
      <c r="B44" s="26" t="s">
        <v>45</v>
      </c>
      <c r="C44" s="9">
        <f>5531</f>
        <v>5531</v>
      </c>
      <c r="D44" s="7">
        <f>926</f>
        <v>926</v>
      </c>
      <c r="E44" s="9">
        <f>1105199</f>
        <v>1105199</v>
      </c>
      <c r="F44" s="27">
        <f t="shared" si="4"/>
        <v>199.81902006870368</v>
      </c>
      <c r="G44" s="17"/>
      <c r="H44" s="17"/>
      <c r="I44" s="55"/>
      <c r="J44" s="55"/>
    </row>
    <row r="45" spans="2:10" ht="18.75" x14ac:dyDescent="0.3">
      <c r="B45" s="26" t="s">
        <v>46</v>
      </c>
      <c r="C45" s="9">
        <f>7445</f>
        <v>7445</v>
      </c>
      <c r="D45" s="7">
        <f>15989</f>
        <v>15989</v>
      </c>
      <c r="E45" s="9">
        <f>1594822</f>
        <v>1594822</v>
      </c>
      <c r="F45" s="27">
        <f t="shared" si="4"/>
        <v>214.21383478844862</v>
      </c>
      <c r="G45" s="17"/>
      <c r="H45" s="17"/>
      <c r="I45" s="55"/>
      <c r="J45" s="55"/>
    </row>
    <row r="46" spans="2:10" ht="18.75" x14ac:dyDescent="0.3">
      <c r="B46" s="39" t="s">
        <v>47</v>
      </c>
      <c r="C46" s="9">
        <f>6775</f>
        <v>6775</v>
      </c>
      <c r="D46" s="7">
        <f>14015</f>
        <v>14015</v>
      </c>
      <c r="E46" s="12">
        <f>1409340</f>
        <v>1409340</v>
      </c>
      <c r="F46" s="27">
        <f t="shared" si="4"/>
        <v>208.02066420664207</v>
      </c>
      <c r="G46" s="17"/>
      <c r="H46" s="17"/>
      <c r="I46" s="55"/>
      <c r="J46" s="55"/>
    </row>
    <row r="47" spans="2:10" ht="19.5" thickBot="1" x14ac:dyDescent="0.35">
      <c r="B47" s="39" t="s">
        <v>48</v>
      </c>
      <c r="C47" s="56">
        <f>4949</f>
        <v>4949</v>
      </c>
      <c r="D47" s="7">
        <f>10163</f>
        <v>10163</v>
      </c>
      <c r="E47" s="12">
        <f>1010260</f>
        <v>1010260</v>
      </c>
      <c r="F47" s="27">
        <f t="shared" si="4"/>
        <v>204.13416851889269</v>
      </c>
      <c r="G47" s="17"/>
      <c r="H47" s="17"/>
      <c r="I47" s="55"/>
      <c r="J47" s="55"/>
    </row>
    <row r="48" spans="2:10" ht="19.5" thickBot="1" x14ac:dyDescent="0.35">
      <c r="B48" s="29" t="s">
        <v>49</v>
      </c>
      <c r="C48" s="40">
        <f>SUM(C35:C47)</f>
        <v>96175</v>
      </c>
      <c r="D48" s="40">
        <f t="shared" ref="D48:E48" si="5">SUM(D35:D47)</f>
        <v>192182</v>
      </c>
      <c r="E48" s="40">
        <f t="shared" si="5"/>
        <v>20157106</v>
      </c>
      <c r="F48" s="31">
        <f t="shared" si="4"/>
        <v>209.58779308552118</v>
      </c>
      <c r="G48" s="17"/>
      <c r="H48" s="17"/>
      <c r="I48" s="55"/>
      <c r="J48" s="55"/>
    </row>
    <row r="49" spans="2:10" ht="19.5" thickBot="1" x14ac:dyDescent="0.35">
      <c r="B49" s="44"/>
      <c r="C49" s="45"/>
      <c r="D49" s="45"/>
      <c r="E49" s="45"/>
      <c r="F49" s="46"/>
      <c r="G49" s="17"/>
      <c r="H49" s="17"/>
      <c r="I49" s="55"/>
      <c r="J49" s="55"/>
    </row>
    <row r="50" spans="2:10" ht="19.5" thickBot="1" x14ac:dyDescent="0.35">
      <c r="B50" s="21" t="s">
        <v>50</v>
      </c>
      <c r="C50" s="42"/>
      <c r="D50" s="42"/>
      <c r="E50" s="42"/>
      <c r="F50" s="43"/>
      <c r="G50" s="17"/>
      <c r="H50" s="17"/>
      <c r="I50" s="55"/>
      <c r="J50" s="55"/>
    </row>
    <row r="51" spans="2:10" ht="18.75" x14ac:dyDescent="0.3">
      <c r="B51" s="24" t="s">
        <v>51</v>
      </c>
      <c r="C51" s="16">
        <f>5382</f>
        <v>5382</v>
      </c>
      <c r="D51" s="7">
        <f>11167</f>
        <v>11167</v>
      </c>
      <c r="E51" s="8">
        <f>1118477</f>
        <v>1118477</v>
      </c>
      <c r="F51" s="27">
        <f t="shared" ref="F51:F58" si="6">E51/C51</f>
        <v>207.81809736157561</v>
      </c>
      <c r="G51" s="17"/>
      <c r="H51" s="17"/>
      <c r="I51" s="55"/>
      <c r="J51" s="55"/>
    </row>
    <row r="52" spans="2:10" ht="18.75" x14ac:dyDescent="0.3">
      <c r="B52" s="26" t="s">
        <v>52</v>
      </c>
      <c r="C52" s="9">
        <f>797</f>
        <v>797</v>
      </c>
      <c r="D52" s="7">
        <f>17565</f>
        <v>17565</v>
      </c>
      <c r="E52" s="9">
        <f>1759217</f>
        <v>1759217</v>
      </c>
      <c r="F52" s="27">
        <f t="shared" si="6"/>
        <v>2207.2986198243411</v>
      </c>
      <c r="G52" s="17"/>
      <c r="H52" s="17"/>
      <c r="I52" s="55"/>
      <c r="J52" s="55"/>
    </row>
    <row r="53" spans="2:10" ht="18.75" x14ac:dyDescent="0.3">
      <c r="B53" s="26" t="s">
        <v>53</v>
      </c>
      <c r="C53" s="9">
        <f>21889</f>
        <v>21889</v>
      </c>
      <c r="D53" s="7">
        <f>44252</f>
        <v>44252</v>
      </c>
      <c r="E53" s="9">
        <f>4396545</f>
        <v>4396545</v>
      </c>
      <c r="F53" s="27">
        <f t="shared" si="6"/>
        <v>200.85636621133904</v>
      </c>
      <c r="G53" s="17"/>
      <c r="H53" s="17"/>
      <c r="I53" s="55"/>
      <c r="J53" s="55"/>
    </row>
    <row r="54" spans="2:10" ht="18.75" x14ac:dyDescent="0.3">
      <c r="B54" s="26" t="s">
        <v>54</v>
      </c>
      <c r="C54" s="9">
        <f>7264</f>
        <v>7264</v>
      </c>
      <c r="D54" s="7">
        <f>15570</f>
        <v>15570</v>
      </c>
      <c r="E54" s="9">
        <f>1533616</f>
        <v>1533616</v>
      </c>
      <c r="F54" s="27">
        <f t="shared" si="6"/>
        <v>211.12555066079295</v>
      </c>
      <c r="G54" s="17"/>
      <c r="H54" s="17"/>
      <c r="I54" s="55"/>
      <c r="J54" s="55"/>
    </row>
    <row r="55" spans="2:10" ht="18.75" x14ac:dyDescent="0.3">
      <c r="B55" s="26" t="s">
        <v>55</v>
      </c>
      <c r="C55" s="9">
        <f>5523</f>
        <v>5523</v>
      </c>
      <c r="D55" s="7">
        <f>11211</f>
        <v>11211</v>
      </c>
      <c r="E55" s="9">
        <f>1139259</f>
        <v>1139259</v>
      </c>
      <c r="F55" s="27">
        <f t="shared" si="6"/>
        <v>206.27539380771319</v>
      </c>
      <c r="G55" s="17"/>
      <c r="H55" s="17"/>
      <c r="I55" s="55"/>
      <c r="J55" s="55"/>
    </row>
    <row r="56" spans="2:10" ht="18.75" x14ac:dyDescent="0.3">
      <c r="B56" s="26" t="s">
        <v>56</v>
      </c>
      <c r="C56" s="9">
        <f>5677</f>
        <v>5677</v>
      </c>
      <c r="D56" s="7">
        <f>11687</f>
        <v>11687</v>
      </c>
      <c r="E56" s="9">
        <f>1163493</f>
        <v>1163493</v>
      </c>
      <c r="F56" s="27">
        <f t="shared" si="6"/>
        <v>204.94856438259643</v>
      </c>
      <c r="G56" s="17"/>
      <c r="H56" s="17"/>
      <c r="I56" s="55"/>
      <c r="J56" s="55"/>
    </row>
    <row r="57" spans="2:10" ht="19.5" thickBot="1" x14ac:dyDescent="0.35">
      <c r="B57" s="26" t="s">
        <v>57</v>
      </c>
      <c r="C57" s="10">
        <f>7749+1291</f>
        <v>9040</v>
      </c>
      <c r="D57" s="7">
        <f>15675</f>
        <v>15675</v>
      </c>
      <c r="E57" s="9">
        <f>1557556</f>
        <v>1557556</v>
      </c>
      <c r="F57" s="27">
        <f t="shared" si="6"/>
        <v>172.29601769911505</v>
      </c>
      <c r="G57" s="17"/>
      <c r="H57" s="17"/>
      <c r="I57" s="55"/>
      <c r="J57" s="55"/>
    </row>
    <row r="58" spans="2:10" ht="19.5" thickBot="1" x14ac:dyDescent="0.35">
      <c r="B58" s="29" t="s">
        <v>49</v>
      </c>
      <c r="C58" s="40">
        <f>SUM(C51:C57)</f>
        <v>55572</v>
      </c>
      <c r="D58" s="40">
        <f t="shared" ref="D58:E58" si="7">SUM(D51:D57)</f>
        <v>127127</v>
      </c>
      <c r="E58" s="40">
        <f t="shared" si="7"/>
        <v>12668163</v>
      </c>
      <c r="F58" s="31">
        <f t="shared" si="6"/>
        <v>227.95945800043188</v>
      </c>
      <c r="G58" s="17"/>
      <c r="H58" s="17"/>
      <c r="I58" s="55"/>
      <c r="J58" s="55"/>
    </row>
    <row r="59" spans="2:10" ht="19.5" thickBot="1" x14ac:dyDescent="0.35">
      <c r="B59" s="44"/>
      <c r="C59" s="45"/>
      <c r="D59" s="45"/>
      <c r="E59" s="45"/>
      <c r="F59" s="46"/>
      <c r="G59" s="17"/>
      <c r="H59" s="17"/>
      <c r="I59" s="55"/>
      <c r="J59" s="55"/>
    </row>
    <row r="60" spans="2:10" ht="19.5" thickBot="1" x14ac:dyDescent="0.35">
      <c r="B60" s="21" t="s">
        <v>58</v>
      </c>
      <c r="C60" s="42"/>
      <c r="D60" s="42"/>
      <c r="E60" s="42"/>
      <c r="F60" s="43"/>
      <c r="G60" s="17"/>
      <c r="H60" s="17"/>
      <c r="I60" s="55"/>
      <c r="J60" s="55"/>
    </row>
    <row r="61" spans="2:10" ht="18.75" x14ac:dyDescent="0.3">
      <c r="B61" s="24" t="s">
        <v>59</v>
      </c>
      <c r="C61" s="16">
        <f>8929</f>
        <v>8929</v>
      </c>
      <c r="D61" s="7">
        <f>19041</f>
        <v>19041</v>
      </c>
      <c r="E61" s="8">
        <f>1897476</f>
        <v>1897476</v>
      </c>
      <c r="F61" s="27">
        <f t="shared" ref="F61:F68" si="8">E61/C61</f>
        <v>212.50711165864038</v>
      </c>
      <c r="G61" s="17"/>
      <c r="H61" s="17"/>
      <c r="I61" s="55"/>
      <c r="J61" s="55"/>
    </row>
    <row r="62" spans="2:10" ht="18.75" x14ac:dyDescent="0.3">
      <c r="B62" s="26" t="s">
        <v>60</v>
      </c>
      <c r="C62" s="9">
        <f>9714</f>
        <v>9714</v>
      </c>
      <c r="D62" s="7">
        <f>20225</f>
        <v>20225</v>
      </c>
      <c r="E62" s="9">
        <f>2018982</f>
        <v>2018982</v>
      </c>
      <c r="F62" s="27">
        <f t="shared" si="8"/>
        <v>207.84249536751082</v>
      </c>
      <c r="G62" s="17"/>
      <c r="H62" s="17"/>
      <c r="I62" s="55"/>
      <c r="J62" s="55"/>
    </row>
    <row r="63" spans="2:10" ht="18.75" x14ac:dyDescent="0.3">
      <c r="B63" s="26" t="s">
        <v>61</v>
      </c>
      <c r="C63" s="9">
        <f>11511</f>
        <v>11511</v>
      </c>
      <c r="D63" s="7">
        <f>23205</f>
        <v>23205</v>
      </c>
      <c r="E63" s="9">
        <f>2314170</f>
        <v>2314170</v>
      </c>
      <c r="F63" s="27">
        <f t="shared" si="8"/>
        <v>201.0398749022674</v>
      </c>
      <c r="G63" s="17"/>
      <c r="H63" s="17"/>
      <c r="I63" s="55"/>
      <c r="J63" s="55"/>
    </row>
    <row r="64" spans="2:10" ht="18.75" x14ac:dyDescent="0.3">
      <c r="B64" s="26" t="s">
        <v>62</v>
      </c>
      <c r="C64" s="9">
        <f>5211</f>
        <v>5211</v>
      </c>
      <c r="D64" s="7">
        <v>11595</v>
      </c>
      <c r="E64" s="9">
        <v>1172975</v>
      </c>
      <c r="F64" s="27">
        <f t="shared" si="8"/>
        <v>225.09595087315296</v>
      </c>
      <c r="G64" s="17"/>
      <c r="H64" s="17"/>
      <c r="I64" s="55"/>
      <c r="J64" s="55"/>
    </row>
    <row r="65" spans="2:10" ht="18.75" x14ac:dyDescent="0.3">
      <c r="B65" s="26" t="s">
        <v>63</v>
      </c>
      <c r="C65" s="9">
        <f>3997</f>
        <v>3997</v>
      </c>
      <c r="D65" s="7">
        <f>8266</f>
        <v>8266</v>
      </c>
      <c r="E65" s="9">
        <f>818777</f>
        <v>818777</v>
      </c>
      <c r="F65" s="27">
        <f t="shared" si="8"/>
        <v>204.84788591443584</v>
      </c>
      <c r="G65" s="17"/>
      <c r="H65" s="17"/>
      <c r="I65" s="55"/>
      <c r="J65" s="55"/>
    </row>
    <row r="66" spans="2:10" ht="18.75" x14ac:dyDescent="0.3">
      <c r="B66" s="26" t="s">
        <v>64</v>
      </c>
      <c r="C66" s="9">
        <f>9917</f>
        <v>9917</v>
      </c>
      <c r="D66" s="7">
        <f>20713</f>
        <v>20713</v>
      </c>
      <c r="E66" s="9">
        <f>2056453</f>
        <v>2056453</v>
      </c>
      <c r="F66" s="27">
        <f t="shared" si="8"/>
        <v>207.36644146415247</v>
      </c>
      <c r="G66" s="17"/>
      <c r="H66" s="17"/>
      <c r="I66" s="55"/>
      <c r="J66" s="55"/>
    </row>
    <row r="67" spans="2:10" ht="19.5" thickBot="1" x14ac:dyDescent="0.35">
      <c r="B67" s="26" t="s">
        <v>66</v>
      </c>
      <c r="C67" s="9">
        <f>9202</f>
        <v>9202</v>
      </c>
      <c r="D67" s="7">
        <f>18613</f>
        <v>18613</v>
      </c>
      <c r="E67" s="9">
        <f>118002</f>
        <v>118002</v>
      </c>
      <c r="F67" s="27">
        <f t="shared" si="8"/>
        <v>12.823516626820256</v>
      </c>
      <c r="G67" s="17"/>
      <c r="H67" s="17"/>
      <c r="I67" s="55"/>
      <c r="J67" s="55"/>
    </row>
    <row r="68" spans="2:10" ht="19.5" thickBot="1" x14ac:dyDescent="0.35">
      <c r="B68" s="29" t="s">
        <v>49</v>
      </c>
      <c r="C68" s="40">
        <f>SUM(C61:C67)</f>
        <v>58481</v>
      </c>
      <c r="D68" s="40">
        <f>SUM(D61:D67)</f>
        <v>121658</v>
      </c>
      <c r="E68" s="40">
        <f>SUM(E61:E67)</f>
        <v>10396835</v>
      </c>
      <c r="F68" s="31">
        <f t="shared" si="8"/>
        <v>177.78141618645373</v>
      </c>
      <c r="G68" s="17"/>
      <c r="H68" s="17"/>
      <c r="I68" s="55"/>
      <c r="J68" s="55"/>
    </row>
    <row r="69" spans="2:10" ht="19.5" thickBot="1" x14ac:dyDescent="0.35">
      <c r="B69" s="44"/>
      <c r="C69" s="45"/>
      <c r="D69" s="45"/>
      <c r="E69" s="45"/>
      <c r="F69" s="46"/>
      <c r="G69" s="17"/>
      <c r="H69" s="17"/>
      <c r="I69" s="55"/>
      <c r="J69" s="55"/>
    </row>
    <row r="70" spans="2:10" ht="19.5" thickBot="1" x14ac:dyDescent="0.35">
      <c r="B70" s="21" t="s">
        <v>67</v>
      </c>
      <c r="C70" s="42"/>
      <c r="D70" s="42"/>
      <c r="E70" s="42"/>
      <c r="F70" s="43"/>
      <c r="G70" s="17"/>
      <c r="H70" s="17"/>
      <c r="I70" s="55"/>
      <c r="J70" s="55"/>
    </row>
    <row r="71" spans="2:10" ht="18.75" x14ac:dyDescent="0.3">
      <c r="B71" s="24" t="s">
        <v>68</v>
      </c>
      <c r="C71" s="16">
        <f>3998</f>
        <v>3998</v>
      </c>
      <c r="D71" s="7">
        <f>8517</f>
        <v>8517</v>
      </c>
      <c r="E71" s="8">
        <f>845416</f>
        <v>845416</v>
      </c>
      <c r="F71" s="27">
        <f t="shared" ref="F71:F77" si="9">E71/C71</f>
        <v>211.45972986493246</v>
      </c>
      <c r="G71" s="17"/>
      <c r="H71" s="17"/>
      <c r="I71" s="55"/>
      <c r="J71" s="55"/>
    </row>
    <row r="72" spans="2:10" ht="18.75" x14ac:dyDescent="0.3">
      <c r="B72" s="26" t="s">
        <v>69</v>
      </c>
      <c r="C72" s="9">
        <f>7082</f>
        <v>7082</v>
      </c>
      <c r="D72" s="7">
        <f>13830</f>
        <v>13830</v>
      </c>
      <c r="E72" s="9">
        <f>1368129</f>
        <v>1368129</v>
      </c>
      <c r="F72" s="27">
        <f t="shared" si="9"/>
        <v>193.18398757413161</v>
      </c>
      <c r="G72" s="17"/>
      <c r="H72" s="17"/>
      <c r="I72" s="55"/>
      <c r="J72" s="55"/>
    </row>
    <row r="73" spans="2:10" ht="18.75" x14ac:dyDescent="0.3">
      <c r="B73" s="26" t="s">
        <v>67</v>
      </c>
      <c r="C73" s="9">
        <f>8161</f>
        <v>8161</v>
      </c>
      <c r="D73" s="7">
        <f>17072</f>
        <v>17072</v>
      </c>
      <c r="E73" s="9">
        <f>1696721</f>
        <v>1696721</v>
      </c>
      <c r="F73" s="27">
        <f t="shared" si="9"/>
        <v>207.90601641955644</v>
      </c>
      <c r="G73" s="17"/>
      <c r="H73" s="17"/>
      <c r="I73" s="55"/>
      <c r="J73" s="55"/>
    </row>
    <row r="74" spans="2:10" ht="18.75" x14ac:dyDescent="0.3">
      <c r="B74" s="26" t="s">
        <v>70</v>
      </c>
      <c r="C74" s="9">
        <f>4372</f>
        <v>4372</v>
      </c>
      <c r="D74" s="7">
        <f>8897</f>
        <v>8897</v>
      </c>
      <c r="E74" s="9">
        <f>887321</f>
        <v>887321</v>
      </c>
      <c r="F74" s="27">
        <f t="shared" si="9"/>
        <v>202.95539798719122</v>
      </c>
      <c r="G74" s="17"/>
      <c r="H74" s="17"/>
      <c r="I74" s="55"/>
      <c r="J74" s="55"/>
    </row>
    <row r="75" spans="2:10" ht="18.75" x14ac:dyDescent="0.3">
      <c r="B75" s="26" t="s">
        <v>71</v>
      </c>
      <c r="C75" s="9">
        <f>6361</f>
        <v>6361</v>
      </c>
      <c r="D75" s="7">
        <f>13173</f>
        <v>13173</v>
      </c>
      <c r="E75" s="9">
        <f>1307356</f>
        <v>1307356</v>
      </c>
      <c r="F75" s="27">
        <f t="shared" si="9"/>
        <v>205.52680396164126</v>
      </c>
      <c r="G75" s="17"/>
      <c r="H75" s="17"/>
      <c r="I75" s="55"/>
      <c r="J75" s="55"/>
    </row>
    <row r="76" spans="2:10" ht="19.5" thickBot="1" x14ac:dyDescent="0.35">
      <c r="B76" s="28" t="s">
        <v>72</v>
      </c>
      <c r="C76" s="10">
        <f>4025</f>
        <v>4025</v>
      </c>
      <c r="D76" s="7">
        <f>8613</f>
        <v>8613</v>
      </c>
      <c r="E76" s="10">
        <f>843315</f>
        <v>843315</v>
      </c>
      <c r="F76" s="27">
        <f t="shared" si="9"/>
        <v>209.51925465838508</v>
      </c>
      <c r="G76" s="17"/>
      <c r="H76" s="17"/>
      <c r="I76" s="55"/>
      <c r="J76" s="55"/>
    </row>
    <row r="77" spans="2:10" ht="19.5" thickBot="1" x14ac:dyDescent="0.35">
      <c r="B77" s="29" t="s">
        <v>49</v>
      </c>
      <c r="C77" s="40">
        <f>SUM(C71:C76)</f>
        <v>33999</v>
      </c>
      <c r="D77" s="40">
        <f t="shared" ref="D77:E77" si="10">SUM(D71:D76)</f>
        <v>70102</v>
      </c>
      <c r="E77" s="40">
        <f t="shared" si="10"/>
        <v>6948258</v>
      </c>
      <c r="F77" s="31">
        <f t="shared" si="9"/>
        <v>204.3665401923586</v>
      </c>
      <c r="G77" s="17"/>
      <c r="H77" s="17"/>
      <c r="I77" s="55"/>
      <c r="J77" s="55"/>
    </row>
    <row r="78" spans="2:10" ht="19.5" thickBot="1" x14ac:dyDescent="0.35">
      <c r="B78" s="44"/>
      <c r="C78" s="45"/>
      <c r="D78" s="45"/>
      <c r="E78" s="45"/>
      <c r="F78" s="46"/>
      <c r="G78" s="17"/>
      <c r="H78" s="17"/>
      <c r="I78" s="55"/>
      <c r="J78" s="55"/>
    </row>
    <row r="79" spans="2:10" ht="19.5" thickBot="1" x14ac:dyDescent="0.35">
      <c r="B79" s="21" t="s">
        <v>73</v>
      </c>
      <c r="C79" s="42"/>
      <c r="D79" s="42"/>
      <c r="E79" s="42"/>
      <c r="F79" s="43"/>
      <c r="G79" s="17"/>
      <c r="H79" s="17"/>
      <c r="I79" s="55"/>
      <c r="J79" s="55"/>
    </row>
    <row r="80" spans="2:10" ht="18.75" x14ac:dyDescent="0.3">
      <c r="B80" s="24" t="s">
        <v>74</v>
      </c>
      <c r="C80" s="16">
        <f>2518</f>
        <v>2518</v>
      </c>
      <c r="D80" s="7">
        <f>5103</f>
        <v>5103</v>
      </c>
      <c r="E80" s="8">
        <f>504279</f>
        <v>504279</v>
      </c>
      <c r="F80" s="27">
        <f t="shared" ref="F80:F90" si="11">E80/C80</f>
        <v>200.26965845909453</v>
      </c>
      <c r="G80" s="17"/>
      <c r="H80" s="17"/>
      <c r="I80" s="55"/>
      <c r="J80" s="55"/>
    </row>
    <row r="81" spans="2:10" ht="18.75" x14ac:dyDescent="0.3">
      <c r="B81" s="26" t="s">
        <v>75</v>
      </c>
      <c r="C81" s="9">
        <f>253</f>
        <v>253</v>
      </c>
      <c r="D81" s="7">
        <f>537</f>
        <v>537</v>
      </c>
      <c r="E81" s="9">
        <f>50884</f>
        <v>50884</v>
      </c>
      <c r="F81" s="27">
        <f t="shared" si="11"/>
        <v>201.12252964426878</v>
      </c>
      <c r="G81" s="17"/>
      <c r="H81" s="17"/>
      <c r="I81" s="55"/>
      <c r="J81" s="55"/>
    </row>
    <row r="82" spans="2:10" ht="18.75" x14ac:dyDescent="0.3">
      <c r="B82" s="26" t="s">
        <v>76</v>
      </c>
      <c r="C82" s="9">
        <f>6927</f>
        <v>6927</v>
      </c>
      <c r="D82" s="7">
        <f>14156</f>
        <v>14156</v>
      </c>
      <c r="E82" s="9">
        <f>1419991</f>
        <v>1419991</v>
      </c>
      <c r="F82" s="27">
        <f t="shared" si="11"/>
        <v>204.99364804388625</v>
      </c>
      <c r="G82" s="17"/>
      <c r="H82" s="17"/>
      <c r="I82" s="55"/>
      <c r="J82" s="55"/>
    </row>
    <row r="83" spans="2:10" ht="18.75" x14ac:dyDescent="0.3">
      <c r="B83" s="26" t="s">
        <v>73</v>
      </c>
      <c r="C83" s="9">
        <f>11348</f>
        <v>11348</v>
      </c>
      <c r="D83" s="7">
        <f>22287</f>
        <v>22287</v>
      </c>
      <c r="E83" s="9">
        <f>2241721</f>
        <v>2241721</v>
      </c>
      <c r="F83" s="27">
        <f t="shared" si="11"/>
        <v>197.54326753612972</v>
      </c>
      <c r="G83" s="17"/>
      <c r="H83" s="17"/>
      <c r="I83" s="55"/>
      <c r="J83" s="55"/>
    </row>
    <row r="84" spans="2:10" ht="18.75" x14ac:dyDescent="0.3">
      <c r="B84" s="26" t="s">
        <v>77</v>
      </c>
      <c r="C84" s="9">
        <f>8317</f>
        <v>8317</v>
      </c>
      <c r="D84" s="7">
        <f>17348</f>
        <v>17348</v>
      </c>
      <c r="E84" s="9">
        <f>1740980</f>
        <v>1740980</v>
      </c>
      <c r="F84" s="27">
        <f t="shared" si="11"/>
        <v>209.327882649994</v>
      </c>
      <c r="G84" s="17"/>
      <c r="H84" s="17"/>
      <c r="I84" s="55"/>
      <c r="J84" s="55"/>
    </row>
    <row r="85" spans="2:10" ht="18.75" x14ac:dyDescent="0.3">
      <c r="B85" s="26" t="s">
        <v>78</v>
      </c>
      <c r="C85" s="9">
        <f>7599</f>
        <v>7599</v>
      </c>
      <c r="D85" s="7">
        <f>15374</f>
        <v>15374</v>
      </c>
      <c r="E85" s="9">
        <f>1544093</f>
        <v>1544093</v>
      </c>
      <c r="F85" s="27">
        <f t="shared" si="11"/>
        <v>203.19686800894854</v>
      </c>
      <c r="G85" s="17"/>
      <c r="H85" s="17"/>
      <c r="I85" s="55"/>
      <c r="J85" s="55"/>
    </row>
    <row r="86" spans="2:10" ht="18.75" x14ac:dyDescent="0.3">
      <c r="B86" s="26" t="s">
        <v>79</v>
      </c>
      <c r="C86" s="9">
        <f>2921</f>
        <v>2921</v>
      </c>
      <c r="D86" s="7">
        <f>5974</f>
        <v>5974</v>
      </c>
      <c r="E86" s="9">
        <f>591347</f>
        <v>591347</v>
      </c>
      <c r="F86" s="27">
        <f t="shared" si="11"/>
        <v>202.4467648065731</v>
      </c>
      <c r="G86" s="17"/>
      <c r="H86" s="17"/>
      <c r="I86" s="55"/>
      <c r="J86" s="55"/>
    </row>
    <row r="87" spans="2:10" ht="18.75" x14ac:dyDescent="0.3">
      <c r="B87" s="26" t="s">
        <v>80</v>
      </c>
      <c r="C87" s="9">
        <f>5526</f>
        <v>5526</v>
      </c>
      <c r="D87" s="7">
        <f>11535</f>
        <v>11535</v>
      </c>
      <c r="E87" s="9">
        <f>1154271</f>
        <v>1154271</v>
      </c>
      <c r="F87" s="27">
        <f t="shared" si="11"/>
        <v>208.8800217155266</v>
      </c>
      <c r="G87" s="17"/>
      <c r="H87" s="17"/>
      <c r="I87" s="55"/>
      <c r="J87" s="55"/>
    </row>
    <row r="88" spans="2:10" ht="18.75" x14ac:dyDescent="0.3">
      <c r="B88" s="26" t="s">
        <v>81</v>
      </c>
      <c r="C88" s="9">
        <f>2085</f>
        <v>2085</v>
      </c>
      <c r="D88" s="7">
        <f>4171</f>
        <v>4171</v>
      </c>
      <c r="E88" s="9">
        <f>424450</f>
        <v>424450</v>
      </c>
      <c r="F88" s="27">
        <f t="shared" si="11"/>
        <v>203.57314148681056</v>
      </c>
      <c r="G88" s="17"/>
      <c r="H88" s="17"/>
      <c r="I88" s="55"/>
      <c r="J88" s="55"/>
    </row>
    <row r="89" spans="2:10" ht="19.5" thickBot="1" x14ac:dyDescent="0.35">
      <c r="B89" s="28" t="s">
        <v>82</v>
      </c>
      <c r="C89" s="10">
        <f>9399</f>
        <v>9399</v>
      </c>
      <c r="D89" s="7">
        <f>18795</f>
        <v>18795</v>
      </c>
      <c r="E89" s="10">
        <f>1875859</f>
        <v>1875859</v>
      </c>
      <c r="F89" s="27">
        <f t="shared" si="11"/>
        <v>199.580700074476</v>
      </c>
      <c r="G89" s="17"/>
      <c r="H89" s="17"/>
      <c r="I89" s="55"/>
      <c r="J89" s="55"/>
    </row>
    <row r="90" spans="2:10" ht="19.5" thickBot="1" x14ac:dyDescent="0.35">
      <c r="B90" s="29" t="s">
        <v>49</v>
      </c>
      <c r="C90" s="40">
        <f>SUM(C80:C89)</f>
        <v>56893</v>
      </c>
      <c r="D90" s="40">
        <f t="shared" ref="D90:E90" si="12">SUM(D80:D89)</f>
        <v>115280</v>
      </c>
      <c r="E90" s="40">
        <f t="shared" si="12"/>
        <v>11547875</v>
      </c>
      <c r="F90" s="31">
        <f t="shared" si="11"/>
        <v>202.97532209586416</v>
      </c>
      <c r="G90" s="17"/>
      <c r="H90" s="17"/>
      <c r="I90" s="55"/>
      <c r="J90" s="55"/>
    </row>
    <row r="91" spans="2:10" ht="19.5" thickBot="1" x14ac:dyDescent="0.35">
      <c r="B91" s="44"/>
      <c r="C91" s="45"/>
      <c r="D91" s="45"/>
      <c r="E91" s="45"/>
      <c r="F91" s="46"/>
      <c r="G91" s="17"/>
      <c r="H91" s="17"/>
      <c r="I91" s="55"/>
      <c r="J91" s="55"/>
    </row>
    <row r="92" spans="2:10" ht="19.5" thickBot="1" x14ac:dyDescent="0.35">
      <c r="B92" s="21" t="s">
        <v>83</v>
      </c>
      <c r="C92" s="42"/>
      <c r="D92" s="42"/>
      <c r="E92" s="42"/>
      <c r="F92" s="43"/>
      <c r="G92" s="17"/>
      <c r="H92" s="17"/>
      <c r="I92" s="55"/>
      <c r="J92" s="55"/>
    </row>
    <row r="93" spans="2:10" ht="18.75" x14ac:dyDescent="0.3">
      <c r="B93" s="24" t="s">
        <v>84</v>
      </c>
      <c r="C93" s="16">
        <f>5701</f>
        <v>5701</v>
      </c>
      <c r="D93" s="7">
        <f>11588</f>
        <v>11588</v>
      </c>
      <c r="E93" s="8">
        <f>1148027</f>
        <v>1148027</v>
      </c>
      <c r="F93" s="27">
        <f t="shared" ref="F93:F101" si="13">E93/C93</f>
        <v>201.37291703209962</v>
      </c>
      <c r="G93" s="17"/>
      <c r="H93" s="17"/>
      <c r="I93" s="55"/>
      <c r="J93" s="55"/>
    </row>
    <row r="94" spans="2:10" ht="18.75" x14ac:dyDescent="0.3">
      <c r="B94" s="26" t="s">
        <v>85</v>
      </c>
      <c r="C94" s="9">
        <f>7666</f>
        <v>7666</v>
      </c>
      <c r="D94" s="7">
        <f>16100</f>
        <v>16100</v>
      </c>
      <c r="E94" s="9">
        <f>1608198</f>
        <v>1608198</v>
      </c>
      <c r="F94" s="27">
        <f t="shared" si="13"/>
        <v>209.78319853900339</v>
      </c>
      <c r="G94" s="17"/>
      <c r="H94" s="17"/>
      <c r="I94" s="55"/>
      <c r="J94" s="55"/>
    </row>
    <row r="95" spans="2:10" ht="18.75" x14ac:dyDescent="0.3">
      <c r="B95" s="26" t="s">
        <v>86</v>
      </c>
      <c r="C95" s="9">
        <f>4074</f>
        <v>4074</v>
      </c>
      <c r="D95" s="7">
        <f>8663</f>
        <v>8663</v>
      </c>
      <c r="E95" s="9">
        <f>867867</f>
        <v>867867</v>
      </c>
      <c r="F95" s="27">
        <f t="shared" si="13"/>
        <v>213.0257731958763</v>
      </c>
      <c r="G95" s="17"/>
      <c r="H95" s="17"/>
      <c r="I95" s="55"/>
      <c r="J95" s="55"/>
    </row>
    <row r="96" spans="2:10" ht="18.75" x14ac:dyDescent="0.3">
      <c r="B96" s="26" t="s">
        <v>87</v>
      </c>
      <c r="C96" s="9">
        <f>2722</f>
        <v>2722</v>
      </c>
      <c r="D96" s="7">
        <f>5154</f>
        <v>5154</v>
      </c>
      <c r="E96" s="9">
        <f>514395</f>
        <v>514395</v>
      </c>
      <c r="F96" s="27">
        <f t="shared" si="13"/>
        <v>188.97685525349007</v>
      </c>
      <c r="G96" s="17"/>
      <c r="H96" s="17"/>
      <c r="I96" s="55"/>
      <c r="J96" s="55"/>
    </row>
    <row r="97" spans="2:10" ht="18.75" x14ac:dyDescent="0.3">
      <c r="B97" s="26" t="s">
        <v>88</v>
      </c>
      <c r="C97" s="9">
        <f>5268</f>
        <v>5268</v>
      </c>
      <c r="D97" s="7">
        <f>11150</f>
        <v>11150</v>
      </c>
      <c r="E97" s="9">
        <f>1118699</f>
        <v>1118699</v>
      </c>
      <c r="F97" s="27">
        <f t="shared" si="13"/>
        <v>212.3574411541382</v>
      </c>
      <c r="G97" s="17"/>
      <c r="H97" s="17"/>
      <c r="I97" s="55"/>
      <c r="J97" s="55"/>
    </row>
    <row r="98" spans="2:10" ht="18.75" x14ac:dyDescent="0.3">
      <c r="B98" s="26" t="s">
        <v>89</v>
      </c>
      <c r="C98" s="9">
        <f>1169</f>
        <v>1169</v>
      </c>
      <c r="D98" s="7">
        <f>2762</f>
        <v>2762</v>
      </c>
      <c r="E98" s="9">
        <f>272644</f>
        <v>272644</v>
      </c>
      <c r="F98" s="27">
        <f t="shared" si="13"/>
        <v>233.22840034217279</v>
      </c>
      <c r="G98" s="17"/>
      <c r="H98" s="17"/>
      <c r="I98" s="55"/>
      <c r="J98" s="55"/>
    </row>
    <row r="99" spans="2:10" ht="18.75" x14ac:dyDescent="0.3">
      <c r="B99" s="26" t="s">
        <v>90</v>
      </c>
      <c r="C99" s="9">
        <f>15620</f>
        <v>15620</v>
      </c>
      <c r="D99" s="7">
        <f>30918</f>
        <v>30918</v>
      </c>
      <c r="E99" s="9">
        <f>3136924</f>
        <v>3136924</v>
      </c>
      <c r="F99" s="27">
        <f t="shared" si="13"/>
        <v>200.82740076824584</v>
      </c>
      <c r="G99" s="17"/>
      <c r="H99" s="17"/>
      <c r="I99" s="55"/>
      <c r="J99" s="55"/>
    </row>
    <row r="100" spans="2:10" ht="18.75" x14ac:dyDescent="0.3">
      <c r="B100" s="47" t="s">
        <v>92</v>
      </c>
      <c r="C100" s="9">
        <f>4439</f>
        <v>4439</v>
      </c>
      <c r="D100" s="7">
        <f>9516</f>
        <v>9516</v>
      </c>
      <c r="E100" s="9">
        <f>939772</f>
        <v>939772</v>
      </c>
      <c r="F100" s="27">
        <f t="shared" si="13"/>
        <v>211.70804235188106</v>
      </c>
      <c r="G100" s="17"/>
      <c r="H100" s="17"/>
      <c r="I100" s="55"/>
      <c r="J100" s="55"/>
    </row>
    <row r="101" spans="2:10" ht="19.5" thickBot="1" x14ac:dyDescent="0.35">
      <c r="B101" s="26" t="s">
        <v>93</v>
      </c>
      <c r="C101" s="10">
        <f>6577</f>
        <v>6577</v>
      </c>
      <c r="D101" s="7">
        <f>13575</f>
        <v>13575</v>
      </c>
      <c r="E101" s="9">
        <f>1352997</f>
        <v>1352997</v>
      </c>
      <c r="F101" s="27">
        <f t="shared" si="13"/>
        <v>205.71643606507527</v>
      </c>
      <c r="G101" s="17"/>
      <c r="H101" s="17"/>
      <c r="I101" s="55"/>
      <c r="J101" s="55"/>
    </row>
    <row r="102" spans="2:10" ht="19.5" thickBot="1" x14ac:dyDescent="0.35">
      <c r="B102" s="29" t="s">
        <v>49</v>
      </c>
      <c r="C102" s="40">
        <f>SUM(C93:C101)</f>
        <v>53236</v>
      </c>
      <c r="D102" s="40">
        <f t="shared" ref="D102:E102" si="14">SUM(D93:D101)</f>
        <v>109426</v>
      </c>
      <c r="E102" s="40">
        <f t="shared" si="14"/>
        <v>10959523</v>
      </c>
      <c r="F102" s="31">
        <f t="shared" ref="F102" si="15">E102/C102</f>
        <v>205.86676309264408</v>
      </c>
      <c r="G102" s="17"/>
      <c r="H102" s="17"/>
      <c r="I102" s="55"/>
      <c r="J102" s="55"/>
    </row>
    <row r="103" spans="2:10" ht="19.5" thickBot="1" x14ac:dyDescent="0.35">
      <c r="B103" s="44"/>
      <c r="C103" s="45"/>
      <c r="D103" s="45"/>
      <c r="E103" s="45"/>
      <c r="F103" s="46"/>
      <c r="G103" s="17"/>
      <c r="H103" s="17"/>
      <c r="I103" s="55"/>
      <c r="J103" s="55"/>
    </row>
    <row r="104" spans="2:10" ht="19.5" thickBot="1" x14ac:dyDescent="0.35">
      <c r="B104" s="34" t="s">
        <v>94</v>
      </c>
      <c r="C104" s="42"/>
      <c r="D104" s="42"/>
      <c r="E104" s="42"/>
      <c r="F104" s="43"/>
      <c r="G104" s="17"/>
      <c r="H104" s="17"/>
      <c r="I104" s="55"/>
      <c r="J104" s="55"/>
    </row>
    <row r="105" spans="2:10" ht="18.75" x14ac:dyDescent="0.3">
      <c r="B105" s="48" t="s">
        <v>95</v>
      </c>
      <c r="C105" s="60">
        <f>3997</f>
        <v>3997</v>
      </c>
      <c r="D105" s="7">
        <f>9453</f>
        <v>9453</v>
      </c>
      <c r="E105" s="8">
        <f>943250</f>
        <v>943250</v>
      </c>
      <c r="F105" s="27">
        <f t="shared" ref="F105:F118" si="16">E105/C105</f>
        <v>235.98949211908931</v>
      </c>
      <c r="G105" s="17"/>
      <c r="H105" s="17"/>
      <c r="I105" s="55"/>
      <c r="J105" s="55"/>
    </row>
    <row r="106" spans="2:10" ht="18.75" x14ac:dyDescent="0.3">
      <c r="B106" s="49" t="s">
        <v>96</v>
      </c>
      <c r="C106" s="9">
        <f>5748</f>
        <v>5748</v>
      </c>
      <c r="D106" s="7">
        <f>11672</f>
        <v>11672</v>
      </c>
      <c r="E106" s="8">
        <f>1161900</f>
        <v>1161900</v>
      </c>
      <c r="F106" s="27">
        <f t="shared" si="16"/>
        <v>202.13987473903967</v>
      </c>
      <c r="G106" s="17"/>
      <c r="H106" s="17"/>
      <c r="I106" s="55"/>
      <c r="J106" s="55"/>
    </row>
    <row r="107" spans="2:10" ht="18.75" x14ac:dyDescent="0.3">
      <c r="B107" s="49" t="s">
        <v>97</v>
      </c>
      <c r="C107" s="9">
        <v>879</v>
      </c>
      <c r="D107" s="7">
        <v>1967</v>
      </c>
      <c r="E107" s="9">
        <v>202510</v>
      </c>
      <c r="F107" s="27">
        <f t="shared" si="16"/>
        <v>230.386803185438</v>
      </c>
      <c r="G107" s="17"/>
      <c r="H107" s="17"/>
      <c r="I107" s="55"/>
      <c r="J107" s="55"/>
    </row>
    <row r="108" spans="2:10" ht="18.75" x14ac:dyDescent="0.3">
      <c r="B108" s="49" t="s">
        <v>98</v>
      </c>
      <c r="C108" s="9">
        <f>7698</f>
        <v>7698</v>
      </c>
      <c r="D108" s="7">
        <f>16536</f>
        <v>16536</v>
      </c>
      <c r="E108" s="9">
        <f>1642659</f>
        <v>1642659</v>
      </c>
      <c r="F108" s="27">
        <f t="shared" si="16"/>
        <v>213.38776305533904</v>
      </c>
      <c r="G108" s="17"/>
      <c r="H108" s="17"/>
      <c r="I108" s="55"/>
      <c r="J108" s="55"/>
    </row>
    <row r="109" spans="2:10" ht="18.75" x14ac:dyDescent="0.3">
      <c r="B109" s="26" t="s">
        <v>99</v>
      </c>
      <c r="C109" s="9">
        <f>4790</f>
        <v>4790</v>
      </c>
      <c r="D109" s="7">
        <f>10442</f>
        <v>10442</v>
      </c>
      <c r="E109" s="9">
        <f>1040074</f>
        <v>1040074</v>
      </c>
      <c r="F109" s="27">
        <f t="shared" si="16"/>
        <v>217.13444676409185</v>
      </c>
      <c r="G109" s="17"/>
      <c r="H109" s="17"/>
      <c r="I109" s="55"/>
      <c r="J109" s="55"/>
    </row>
    <row r="110" spans="2:10" ht="18.75" x14ac:dyDescent="0.3">
      <c r="B110" s="26" t="s">
        <v>100</v>
      </c>
      <c r="C110" s="9">
        <f>3785</f>
        <v>3785</v>
      </c>
      <c r="D110" s="7">
        <f>8925</f>
        <v>8925</v>
      </c>
      <c r="E110" s="9">
        <f>891280</f>
        <v>891280</v>
      </c>
      <c r="F110" s="27">
        <f t="shared" si="16"/>
        <v>235.47688243064729</v>
      </c>
      <c r="G110" s="17"/>
      <c r="H110" s="17"/>
      <c r="I110" s="55"/>
      <c r="J110" s="55"/>
    </row>
    <row r="111" spans="2:10" ht="18.75" x14ac:dyDescent="0.3">
      <c r="B111" s="26" t="s">
        <v>101</v>
      </c>
      <c r="C111" s="9">
        <f>8939</f>
        <v>8939</v>
      </c>
      <c r="D111" s="7">
        <f>20054</f>
        <v>20054</v>
      </c>
      <c r="E111" s="9">
        <f>1978912</f>
        <v>1978912</v>
      </c>
      <c r="F111" s="27">
        <f t="shared" si="16"/>
        <v>221.37957265913414</v>
      </c>
      <c r="G111" s="17"/>
      <c r="H111" s="17"/>
      <c r="I111" s="55"/>
      <c r="J111" s="55"/>
    </row>
    <row r="112" spans="2:10" ht="18.75" x14ac:dyDescent="0.3">
      <c r="B112" s="26" t="s">
        <v>102</v>
      </c>
      <c r="C112" s="9">
        <f>5848</f>
        <v>5848</v>
      </c>
      <c r="D112" s="7">
        <f>13232</f>
        <v>13232</v>
      </c>
      <c r="E112" s="9">
        <f>1310601</f>
        <v>1310601</v>
      </c>
      <c r="F112" s="27">
        <f t="shared" si="16"/>
        <v>224.1109781121751</v>
      </c>
      <c r="G112" s="17"/>
      <c r="H112" s="17"/>
      <c r="I112" s="55"/>
      <c r="J112" s="55"/>
    </row>
    <row r="113" spans="2:10" ht="18.75" x14ac:dyDescent="0.3">
      <c r="B113" s="26" t="s">
        <v>103</v>
      </c>
      <c r="C113" s="9">
        <f>5211</f>
        <v>5211</v>
      </c>
      <c r="D113" s="7">
        <f>12121</f>
        <v>12121</v>
      </c>
      <c r="E113" s="9">
        <f>1192644</f>
        <v>1192644</v>
      </c>
      <c r="F113" s="27">
        <f t="shared" si="16"/>
        <v>228.87046632124353</v>
      </c>
      <c r="G113" s="17"/>
      <c r="H113" s="17"/>
      <c r="I113" s="55"/>
      <c r="J113" s="55"/>
    </row>
    <row r="114" spans="2:10" ht="18.75" x14ac:dyDescent="0.3">
      <c r="B114" s="26" t="s">
        <v>104</v>
      </c>
      <c r="C114" s="9">
        <f>7400</f>
        <v>7400</v>
      </c>
      <c r="D114" s="7">
        <f>14812</f>
        <v>14812</v>
      </c>
      <c r="E114" s="9">
        <f>1489756</f>
        <v>1489756</v>
      </c>
      <c r="F114" s="27">
        <f t="shared" si="16"/>
        <v>201.31837837837838</v>
      </c>
      <c r="G114" s="17"/>
      <c r="H114" s="17"/>
      <c r="I114" s="55"/>
      <c r="J114" s="55"/>
    </row>
    <row r="115" spans="2:10" ht="18.75" x14ac:dyDescent="0.3">
      <c r="B115" s="26" t="s">
        <v>105</v>
      </c>
      <c r="C115" s="9">
        <f>8586</f>
        <v>8586</v>
      </c>
      <c r="D115" s="7">
        <f>19725</f>
        <v>19725</v>
      </c>
      <c r="E115" s="9">
        <f>1961455</f>
        <v>1961455</v>
      </c>
      <c r="F115" s="27">
        <f t="shared" si="16"/>
        <v>228.44805497321221</v>
      </c>
      <c r="G115" s="17"/>
      <c r="H115" s="17"/>
      <c r="I115" s="55"/>
      <c r="J115" s="55"/>
    </row>
    <row r="116" spans="2:10" ht="18.75" x14ac:dyDescent="0.3">
      <c r="B116" s="26" t="s">
        <v>106</v>
      </c>
      <c r="C116" s="9">
        <f>16662</f>
        <v>16662</v>
      </c>
      <c r="D116" s="7">
        <f>36041</f>
        <v>36041</v>
      </c>
      <c r="E116" s="9">
        <f>3637980</f>
        <v>3637980</v>
      </c>
      <c r="F116" s="27">
        <f t="shared" si="16"/>
        <v>218.3399351818509</v>
      </c>
      <c r="G116" s="17"/>
      <c r="H116" s="17"/>
      <c r="I116" s="55"/>
      <c r="J116" s="55"/>
    </row>
    <row r="117" spans="2:10" ht="18.75" x14ac:dyDescent="0.3">
      <c r="B117" s="26" t="s">
        <v>107</v>
      </c>
      <c r="C117" s="9">
        <f>5528</f>
        <v>5528</v>
      </c>
      <c r="D117" s="7">
        <f>12566</f>
        <v>12566</v>
      </c>
      <c r="E117" s="9">
        <f>1251866</f>
        <v>1251866</v>
      </c>
      <c r="F117" s="27">
        <f t="shared" si="16"/>
        <v>226.45911722141824</v>
      </c>
      <c r="G117" s="17"/>
      <c r="H117" s="17"/>
      <c r="I117" s="55"/>
      <c r="J117" s="55"/>
    </row>
    <row r="118" spans="2:10" ht="19.5" thickBot="1" x14ac:dyDescent="0.35">
      <c r="B118" s="26" t="s">
        <v>108</v>
      </c>
      <c r="C118" s="10">
        <f>8434</f>
        <v>8434</v>
      </c>
      <c r="D118" s="7">
        <f>17880</f>
        <v>17880</v>
      </c>
      <c r="E118" s="9">
        <f>1780105</f>
        <v>1780105</v>
      </c>
      <c r="F118" s="27">
        <f t="shared" si="16"/>
        <v>211.06295944984586</v>
      </c>
      <c r="G118" s="17"/>
      <c r="H118" s="17"/>
      <c r="I118" s="55"/>
      <c r="J118" s="55"/>
    </row>
    <row r="119" spans="2:10" ht="19.5" thickBot="1" x14ac:dyDescent="0.35">
      <c r="B119" s="29" t="s">
        <v>49</v>
      </c>
      <c r="C119" s="40">
        <f>SUM(C105:C118)</f>
        <v>93505</v>
      </c>
      <c r="D119" s="40">
        <f t="shared" ref="D119:E119" si="17">SUM(D105:D118)</f>
        <v>205426</v>
      </c>
      <c r="E119" s="40">
        <f t="shared" si="17"/>
        <v>20484992</v>
      </c>
      <c r="F119" s="31">
        <f t="shared" ref="F119" si="18">E119/C119</f>
        <v>219.07910806908723</v>
      </c>
      <c r="G119" s="17"/>
      <c r="H119" s="17"/>
      <c r="I119" s="55"/>
      <c r="J119" s="55"/>
    </row>
    <row r="120" spans="2:10" ht="19.5" thickBot="1" x14ac:dyDescent="0.35">
      <c r="B120" s="44"/>
      <c r="C120" s="45"/>
      <c r="D120" s="45"/>
      <c r="E120" s="45"/>
      <c r="F120" s="46"/>
      <c r="G120" s="17"/>
      <c r="H120" s="17"/>
      <c r="I120" s="55"/>
      <c r="J120" s="55"/>
    </row>
    <row r="121" spans="2:10" ht="19.5" thickBot="1" x14ac:dyDescent="0.35">
      <c r="B121" s="21" t="s">
        <v>109</v>
      </c>
      <c r="C121" s="42"/>
      <c r="D121" s="42"/>
      <c r="E121" s="42"/>
      <c r="F121" s="43"/>
      <c r="G121" s="17"/>
      <c r="H121" s="17"/>
      <c r="I121" s="55"/>
      <c r="J121" s="55"/>
    </row>
    <row r="122" spans="2:10" ht="18.75" x14ac:dyDescent="0.3">
      <c r="B122" s="24" t="s">
        <v>110</v>
      </c>
      <c r="C122" s="16">
        <f>1574</f>
        <v>1574</v>
      </c>
      <c r="D122" s="7">
        <f>3527</f>
        <v>3527</v>
      </c>
      <c r="E122" s="8">
        <f>354461</f>
        <v>354461</v>
      </c>
      <c r="F122" s="27">
        <f t="shared" ref="F122:F130" si="19">E122/C122</f>
        <v>225.19758576874204</v>
      </c>
      <c r="G122" s="17"/>
      <c r="H122" s="17"/>
      <c r="I122" s="55"/>
      <c r="J122" s="55"/>
    </row>
    <row r="123" spans="2:10" ht="18.75" x14ac:dyDescent="0.3">
      <c r="B123" s="26" t="s">
        <v>111</v>
      </c>
      <c r="C123" s="9">
        <f>5083</f>
        <v>5083</v>
      </c>
      <c r="D123" s="7">
        <f>10232</f>
        <v>10232</v>
      </c>
      <c r="E123" s="9">
        <f>1032226</f>
        <v>1032226</v>
      </c>
      <c r="F123" s="27">
        <f t="shared" si="19"/>
        <v>203.07416879795397</v>
      </c>
      <c r="G123" s="17"/>
      <c r="H123" s="17"/>
      <c r="I123" s="55"/>
      <c r="J123" s="55"/>
    </row>
    <row r="124" spans="2:10" ht="18.75" x14ac:dyDescent="0.3">
      <c r="B124" s="26" t="s">
        <v>112</v>
      </c>
      <c r="C124" s="9">
        <f>1678</f>
        <v>1678</v>
      </c>
      <c r="D124" s="7">
        <f>3496</f>
        <v>3496</v>
      </c>
      <c r="E124" s="9">
        <f>349559</f>
        <v>349559</v>
      </c>
      <c r="F124" s="27">
        <f t="shared" si="19"/>
        <v>208.31883194278905</v>
      </c>
      <c r="G124" s="17"/>
      <c r="H124" s="17"/>
      <c r="I124" s="55"/>
      <c r="J124" s="55"/>
    </row>
    <row r="125" spans="2:10" ht="18.75" x14ac:dyDescent="0.3">
      <c r="B125" s="26" t="s">
        <v>113</v>
      </c>
      <c r="C125" s="9">
        <f>4938</f>
        <v>4938</v>
      </c>
      <c r="D125" s="7">
        <f>9729</f>
        <v>9729</v>
      </c>
      <c r="E125" s="9">
        <f>985473</f>
        <v>985473</v>
      </c>
      <c r="F125" s="27">
        <f t="shared" si="19"/>
        <v>199.5692588092345</v>
      </c>
      <c r="G125" s="17"/>
      <c r="H125" s="17"/>
      <c r="I125" s="55"/>
      <c r="J125" s="55"/>
    </row>
    <row r="126" spans="2:10" ht="18.75" x14ac:dyDescent="0.3">
      <c r="B126" s="26" t="s">
        <v>114</v>
      </c>
      <c r="C126" s="9">
        <f>7869</f>
        <v>7869</v>
      </c>
      <c r="D126" s="7">
        <f>13520</f>
        <v>13520</v>
      </c>
      <c r="E126" s="9">
        <f>1440037</f>
        <v>1440037</v>
      </c>
      <c r="F126" s="27">
        <f t="shared" si="19"/>
        <v>183.00127080950566</v>
      </c>
      <c r="G126" s="17"/>
      <c r="H126" s="17"/>
      <c r="I126" s="55"/>
      <c r="J126" s="55"/>
    </row>
    <row r="127" spans="2:10" ht="18.75" x14ac:dyDescent="0.3">
      <c r="B127" s="26" t="s">
        <v>115</v>
      </c>
      <c r="C127" s="9">
        <f>10877</f>
        <v>10877</v>
      </c>
      <c r="D127" s="7">
        <f>23340</f>
        <v>23340</v>
      </c>
      <c r="E127" s="9">
        <f>2370782</f>
        <v>2370782</v>
      </c>
      <c r="F127" s="27">
        <f t="shared" si="19"/>
        <v>217.96285740553461</v>
      </c>
      <c r="G127" s="17"/>
      <c r="H127" s="17"/>
      <c r="I127" s="55"/>
      <c r="J127" s="55"/>
    </row>
    <row r="128" spans="2:10" ht="18.75" x14ac:dyDescent="0.3">
      <c r="B128" s="26" t="s">
        <v>116</v>
      </c>
      <c r="C128" s="9">
        <f>9792</f>
        <v>9792</v>
      </c>
      <c r="D128" s="7">
        <f>20106</f>
        <v>20106</v>
      </c>
      <c r="E128" s="9">
        <f>2031586</f>
        <v>2031586</v>
      </c>
      <c r="F128" s="27">
        <f t="shared" si="19"/>
        <v>207.47406045751634</v>
      </c>
      <c r="G128" s="17"/>
      <c r="H128" s="17"/>
      <c r="I128" s="55"/>
      <c r="J128" s="55"/>
    </row>
    <row r="129" spans="2:10" ht="18.75" x14ac:dyDescent="0.3">
      <c r="B129" s="26" t="s">
        <v>117</v>
      </c>
      <c r="C129" s="9">
        <f>7319</f>
        <v>7319</v>
      </c>
      <c r="D129" s="7">
        <f>15987</f>
        <v>15987</v>
      </c>
      <c r="E129" s="9">
        <f>1621250</f>
        <v>1621250</v>
      </c>
      <c r="F129" s="27">
        <f t="shared" si="19"/>
        <v>221.51250170788359</v>
      </c>
      <c r="G129" s="17"/>
      <c r="H129" s="17"/>
      <c r="I129" s="55"/>
      <c r="J129" s="55"/>
    </row>
    <row r="130" spans="2:10" ht="19.5" thickBot="1" x14ac:dyDescent="0.35">
      <c r="B130" s="47" t="s">
        <v>118</v>
      </c>
      <c r="C130" s="9">
        <f>14538</f>
        <v>14538</v>
      </c>
      <c r="D130" s="7">
        <f>27855</f>
        <v>27855</v>
      </c>
      <c r="E130" s="9">
        <f>2869582</f>
        <v>2869582</v>
      </c>
      <c r="F130" s="27">
        <f t="shared" si="19"/>
        <v>197.38492227266474</v>
      </c>
      <c r="G130" s="17"/>
      <c r="H130" s="17"/>
      <c r="I130" s="55"/>
      <c r="J130" s="55"/>
    </row>
    <row r="131" spans="2:10" ht="19.5" thickBot="1" x14ac:dyDescent="0.35">
      <c r="B131" s="29" t="s">
        <v>49</v>
      </c>
      <c r="C131" s="40">
        <f>SUM(C122:C130)</f>
        <v>63668</v>
      </c>
      <c r="D131" s="40">
        <f>SUM(D122:D130)</f>
        <v>127792</v>
      </c>
      <c r="E131" s="40">
        <f>SUM(E122:E130)</f>
        <v>13054956</v>
      </c>
      <c r="F131" s="31">
        <f t="shared" ref="F131" si="20">E131/C131</f>
        <v>205.0473707356914</v>
      </c>
      <c r="G131" s="17"/>
      <c r="H131" s="17"/>
      <c r="I131" s="55"/>
      <c r="J131" s="55"/>
    </row>
    <row r="132" spans="2:10" ht="19.5" thickBot="1" x14ac:dyDescent="0.35">
      <c r="B132" s="44"/>
      <c r="C132" s="45"/>
      <c r="D132" s="45"/>
      <c r="E132" s="45"/>
      <c r="F132" s="46"/>
      <c r="G132" s="17"/>
      <c r="H132" s="17"/>
      <c r="I132" s="55"/>
      <c r="J132" s="55"/>
    </row>
    <row r="133" spans="2:10" ht="19.5" thickBot="1" x14ac:dyDescent="0.35">
      <c r="B133" s="52" t="s">
        <v>120</v>
      </c>
      <c r="C133" s="50">
        <f>SUM(C131+C119+C102+C90+C77+C68+C58+C48+C32+C16)</f>
        <v>653456</v>
      </c>
      <c r="D133" s="50">
        <f>SUM(D131+D119+D102+D90+D77+D68+D58+D48+D32+D16)</f>
        <v>1363117</v>
      </c>
      <c r="E133" s="50">
        <f>SUM(E131+E119+E102+E90+E77+E68+E58+E48+E32+E16)</f>
        <v>135819490</v>
      </c>
      <c r="F133" s="43">
        <f t="shared" ref="F133" si="21">E133/C133</f>
        <v>207.84794997673907</v>
      </c>
      <c r="G133" s="17"/>
      <c r="H133" s="17"/>
      <c r="I133" s="55"/>
      <c r="J133" s="55"/>
    </row>
    <row r="134" spans="2:10" ht="18.75" x14ac:dyDescent="0.3">
      <c r="B134" s="51"/>
      <c r="C134" s="17"/>
      <c r="D134" s="17"/>
      <c r="E134" s="17"/>
      <c r="F134" s="17"/>
      <c r="G134" s="17"/>
      <c r="H134" s="17"/>
      <c r="I134" s="53"/>
      <c r="J134" s="53"/>
    </row>
    <row r="135" spans="2:10" ht="18.75" x14ac:dyDescent="0.3">
      <c r="B135" s="51"/>
      <c r="C135" s="17"/>
      <c r="D135" s="17"/>
      <c r="E135" s="17"/>
      <c r="F135" s="17"/>
      <c r="G135" s="17"/>
      <c r="H135" s="17"/>
      <c r="I135" s="53"/>
      <c r="J135" s="53"/>
    </row>
    <row r="136" spans="2:10" ht="18.75" x14ac:dyDescent="0.3">
      <c r="B136" s="51"/>
      <c r="C136" s="17"/>
      <c r="D136" s="17"/>
      <c r="E136" s="17"/>
      <c r="F136" s="17"/>
      <c r="G136" s="17"/>
      <c r="H136" s="17"/>
      <c r="I136" s="53"/>
      <c r="J136" s="53"/>
    </row>
    <row r="137" spans="2:10" ht="18.75" x14ac:dyDescent="0.3">
      <c r="B137" s="51"/>
      <c r="C137" s="17"/>
      <c r="D137" s="17"/>
      <c r="E137" s="17"/>
      <c r="F137" s="17"/>
      <c r="G137" s="17"/>
      <c r="H137" s="17"/>
      <c r="I137" s="53"/>
      <c r="J137" s="53"/>
    </row>
    <row r="138" spans="2:10" ht="18.75" x14ac:dyDescent="0.3">
      <c r="B138" s="51"/>
      <c r="C138" s="17"/>
      <c r="D138" s="17"/>
      <c r="E138" s="17"/>
      <c r="F138" s="17"/>
      <c r="G138" s="17"/>
      <c r="H138" s="17"/>
      <c r="I138" s="53"/>
      <c r="J138" s="53"/>
    </row>
    <row r="139" spans="2:10" ht="18.75" x14ac:dyDescent="0.3">
      <c r="B139" s="51"/>
      <c r="C139" s="17"/>
      <c r="D139" s="17"/>
      <c r="E139" s="17"/>
      <c r="F139" s="17"/>
      <c r="G139" s="17"/>
      <c r="H139" s="17"/>
      <c r="I139" s="53"/>
      <c r="J139" s="53"/>
    </row>
  </sheetData>
  <mergeCells count="6">
    <mergeCell ref="I6:J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8"/>
  <sheetViews>
    <sheetView tabSelected="1" workbookViewId="0">
      <selection activeCell="D8" sqref="D8:D133"/>
    </sheetView>
  </sheetViews>
  <sheetFormatPr defaultRowHeight="15" x14ac:dyDescent="0.25"/>
  <cols>
    <col min="1" max="1" width="19.5703125" style="104" bestFit="1" customWidth="1"/>
    <col min="2" max="2" width="11.5703125" style="104" bestFit="1" customWidth="1"/>
    <col min="3" max="3" width="13.28515625" style="104" bestFit="1" customWidth="1"/>
    <col min="4" max="4" width="16.140625" style="104" bestFit="1" customWidth="1"/>
    <col min="5" max="9" width="9.140625" style="104"/>
    <col min="10" max="10" width="13.7109375" style="104" customWidth="1"/>
    <col min="11" max="12" width="11.5703125" style="104" customWidth="1"/>
    <col min="13" max="13" width="13.85546875" style="104" customWidth="1"/>
    <col min="14" max="16384" width="9.140625" style="104"/>
  </cols>
  <sheetData>
    <row r="1" spans="1:13" ht="15.75" x14ac:dyDescent="0.25">
      <c r="A1" s="167" t="s">
        <v>0</v>
      </c>
      <c r="B1" s="167"/>
      <c r="C1" s="167"/>
      <c r="D1" s="167"/>
    </row>
    <row r="2" spans="1:13" ht="15.75" x14ac:dyDescent="0.25">
      <c r="A2" s="167" t="s">
        <v>1</v>
      </c>
      <c r="B2" s="167"/>
      <c r="C2" s="167"/>
      <c r="D2" s="167"/>
    </row>
    <row r="3" spans="1:13" ht="18.75" x14ac:dyDescent="0.3">
      <c r="A3" s="168" t="s">
        <v>140</v>
      </c>
      <c r="B3" s="168"/>
      <c r="C3" s="168"/>
      <c r="D3" s="168"/>
    </row>
    <row r="4" spans="1:13" ht="15.75" x14ac:dyDescent="0.25">
      <c r="A4" s="167" t="s">
        <v>141</v>
      </c>
      <c r="B4" s="167"/>
      <c r="C4" s="167"/>
      <c r="D4" s="167"/>
    </row>
    <row r="5" spans="1:13" ht="16.5" thickBot="1" x14ac:dyDescent="0.3">
      <c r="A5" s="169" t="s">
        <v>145</v>
      </c>
      <c r="B5" s="169"/>
      <c r="C5" s="169"/>
      <c r="D5" s="169"/>
    </row>
    <row r="6" spans="1:13" ht="41.25" customHeight="1" thickBot="1" x14ac:dyDescent="0.3">
      <c r="A6" s="105"/>
      <c r="B6" s="106" t="s">
        <v>3</v>
      </c>
      <c r="C6" s="107" t="s">
        <v>4</v>
      </c>
      <c r="D6" s="108" t="s">
        <v>5</v>
      </c>
      <c r="J6" s="109"/>
      <c r="K6" s="110" t="s">
        <v>3</v>
      </c>
      <c r="L6" s="110" t="s">
        <v>4</v>
      </c>
      <c r="M6" s="111" t="s">
        <v>5</v>
      </c>
    </row>
    <row r="7" spans="1:13" ht="16.5" thickBot="1" x14ac:dyDescent="0.3">
      <c r="A7" s="112" t="s">
        <v>8</v>
      </c>
      <c r="B7" s="113"/>
      <c r="C7" s="113"/>
      <c r="D7" s="114"/>
      <c r="J7" s="115" t="s">
        <v>143</v>
      </c>
      <c r="K7" s="116">
        <v>611155.41666666663</v>
      </c>
      <c r="L7" s="116">
        <v>1298575</v>
      </c>
      <c r="M7" s="116">
        <v>158530113.91666666</v>
      </c>
    </row>
    <row r="8" spans="1:13" ht="16.5" thickBot="1" x14ac:dyDescent="0.3">
      <c r="A8" s="117" t="s">
        <v>11</v>
      </c>
      <c r="B8" s="118">
        <f>('Octubre 10'!C8+'Noviembre 10'!C8+'Dec 10'!C8+'Ene 11'!C8+'Feb 11'!C8+'Mar 11'!C8+'Apr 11'!C8+'May 11'!C8+'Jun 11'!C8+'Jul 11'!C8+'Ago 11'!C8+'Sep 11'!C8)/12</f>
        <v>7496.583333333333</v>
      </c>
      <c r="C8" s="119">
        <f>('Octubre 10'!D8+'Noviembre 10'!D8+'Dec 10'!D8+'Ene 11'!D8+'Feb 11'!D8+'Mar 11'!D8+'Apr 11'!D8+'May 11'!D8+'Jun 11'!D8+'Jul 11'!D8+'Ago 11'!D8+'Sep 11'!D8)/12</f>
        <v>16704.5</v>
      </c>
      <c r="D8" s="120">
        <f>AVERAGE('Octubre 10'!E8+'Noviembre 10'!E8+'Dec 10'!E8+'Ene 11'!E95+'Feb 11'!E8+'Mar 11'!E8+'Apr 11'!E8+'May 11'!E8+'Jun 11'!E8+'Jul 11'!E8+'Ago 11'!E8+'Sep 11'!E8)</f>
        <v>21766869</v>
      </c>
      <c r="E8" s="121">
        <f>D8/B8</f>
        <v>2903.5719383274604</v>
      </c>
      <c r="F8" s="122">
        <f>D8/C8</f>
        <v>1303.054206950223</v>
      </c>
      <c r="J8" s="115" t="s">
        <v>144</v>
      </c>
      <c r="K8" s="116">
        <v>642524.16666666663</v>
      </c>
      <c r="L8" s="116">
        <v>1349425.8333333333</v>
      </c>
      <c r="M8" s="116">
        <v>152989640.33333334</v>
      </c>
    </row>
    <row r="9" spans="1:13" ht="16.5" thickBot="1" x14ac:dyDescent="0.3">
      <c r="A9" s="117" t="s">
        <v>12</v>
      </c>
      <c r="B9" s="118">
        <f>('Octubre 10'!C9+'Noviembre 10'!C9+'Dec 10'!C9+'Ene 11'!C9+'Feb 11'!C9+'Mar 11'!C9+'Apr 11'!C9+'May 11'!C9+'Jun 11'!C9+'Jul 11'!C9+'Ago 11'!C9+'Sep 11'!C9)/12</f>
        <v>5777.333333333333</v>
      </c>
      <c r="C9" s="119">
        <f>('Octubre 10'!D9+'Noviembre 10'!D9+'Dec 10'!D9+'Ene 11'!D9+'Feb 11'!D9+'Mar 11'!D9+'Apr 11'!D9+'May 11'!D9+'Jun 11'!D9+'Jul 11'!D9+'Ago 11'!D9+'Sep 11'!D9)/12</f>
        <v>11878.416666666666</v>
      </c>
      <c r="D9" s="120">
        <f>AVERAGE('Octubre 10'!E9+'Noviembre 10'!E9+'Dec 10'!E9+'Ene 11'!E96+'Feb 11'!E9+'Mar 11'!E9+'Apr 11'!E9+'May 11'!E9+'Jun 11'!E9+'Jul 11'!E9+'Ago 11'!E9+'Sep 11'!E9)</f>
        <v>15207887</v>
      </c>
      <c r="E9" s="121">
        <f t="shared" ref="E9:E16" si="0">D9/B9</f>
        <v>2632.3367759058392</v>
      </c>
      <c r="F9" s="122">
        <f t="shared" ref="F9:F71" si="1">D9/C9</f>
        <v>1280.2958026111787</v>
      </c>
    </row>
    <row r="10" spans="1:13" ht="16.5" thickBot="1" x14ac:dyDescent="0.3">
      <c r="A10" s="117" t="s">
        <v>13</v>
      </c>
      <c r="B10" s="118">
        <f>('Octubre 10'!C10+'Noviembre 10'!C10+'Dec 10'!C10+'Ene 11'!C10+'Feb 11'!C10+'Mar 11'!C10+'Apr 11'!C10+'May 11'!C10+'Jun 11'!C10+'Jul 11'!C10+'Ago 11'!C10+'Sep 11'!C10)/12</f>
        <v>6288.833333333333</v>
      </c>
      <c r="C10" s="119">
        <f>('Octubre 10'!D10+'Noviembre 10'!D10+'Dec 10'!D10+'Ene 11'!D10+'Feb 11'!D10+'Mar 11'!D10+'Apr 11'!D10+'May 11'!D10+'Jun 11'!D10+'Jul 11'!D10+'Ago 11'!D10+'Sep 11'!D10)/12</f>
        <v>12518.083333333334</v>
      </c>
      <c r="D10" s="120">
        <f>AVERAGE('Octubre 10'!E10+'Noviembre 10'!E10+'Dec 10'!E10+'Ene 11'!E97+'Feb 11'!E10+'Mar 11'!E10+'Apr 11'!E10+'May 11'!E10+'Jun 11'!E10+'Jul 11'!E10+'Ago 11'!E10+'Sep 11'!E10)</f>
        <v>17399577</v>
      </c>
      <c r="E10" s="121">
        <f t="shared" si="0"/>
        <v>2766.7416319932158</v>
      </c>
      <c r="F10" s="122">
        <f t="shared" si="1"/>
        <v>1389.9553579155488</v>
      </c>
      <c r="K10" s="123"/>
      <c r="L10" s="123"/>
      <c r="M10" s="123"/>
    </row>
    <row r="11" spans="1:13" ht="16.5" thickBot="1" x14ac:dyDescent="0.3">
      <c r="A11" s="117" t="s">
        <v>14</v>
      </c>
      <c r="B11" s="118">
        <f>('Octubre 10'!C11+'Noviembre 10'!C11+'Dec 10'!C11+'Ene 11'!C11+'Feb 11'!C11+'Mar 11'!C11+'Apr 11'!C11+'May 11'!C11+'Jun 11'!C11+'Jul 11'!C11+'Ago 11'!C11+'Sep 11'!C11)/12</f>
        <v>8100.333333333333</v>
      </c>
      <c r="C11" s="119">
        <f>('Octubre 10'!D11+'Noviembre 10'!D11+'Dec 10'!D11+'Ene 11'!D11+'Feb 11'!D11+'Mar 11'!D11+'Apr 11'!D11+'May 11'!D11+'Jun 11'!D11+'Jul 11'!D11+'Ago 11'!D11+'Sep 11'!D11)/12</f>
        <v>17050.5</v>
      </c>
      <c r="D11" s="120">
        <f>AVERAGE('Octubre 10'!E11+'Noviembre 10'!E11+'Dec 10'!E11+'Ene 11'!E98+'Feb 11'!E11+'Mar 11'!E11+'Apr 11'!E11+'May 11'!E11+'Jun 11'!E11+'Jul 11'!E11+'Ago 11'!E11+'Sep 11'!E11)</f>
        <v>21402500</v>
      </c>
      <c r="E11" s="121">
        <f t="shared" si="0"/>
        <v>2642.1752191267851</v>
      </c>
      <c r="F11" s="122">
        <f t="shared" si="1"/>
        <v>1255.2417817659307</v>
      </c>
    </row>
    <row r="12" spans="1:13" ht="16.5" thickBot="1" x14ac:dyDescent="0.3">
      <c r="A12" s="117" t="s">
        <v>15</v>
      </c>
      <c r="B12" s="118">
        <f>('Octubre 10'!C12+'Noviembre 10'!C12+'Dec 10'!C12+'Ene 11'!C12+'Feb 11'!C12+'Mar 11'!C12+'Apr 11'!C12+'May 11'!C12+'Jun 11'!C12+'Jul 11'!C12+'Ago 11'!C12+'Sep 11'!C12)/12</f>
        <v>2009.1666666666667</v>
      </c>
      <c r="C12" s="119">
        <f>('Octubre 10'!D12+'Noviembre 10'!D12+'Dec 10'!D12+'Ene 11'!D12+'Feb 11'!D12+'Mar 11'!D12+'Apr 11'!D12+'May 11'!D12+'Jun 11'!D12+'Jul 11'!D12+'Ago 11'!D12+'Sep 11'!D12)/12</f>
        <v>4488.166666666667</v>
      </c>
      <c r="D12" s="120">
        <f>AVERAGE('Octubre 10'!E12+'Noviembre 10'!E12+'Dec 10'!E12+'Ene 11'!E99+'Feb 11'!E12+'Mar 11'!E12+'Apr 11'!E12+'May 11'!E12+'Jun 11'!E12+'Jul 11'!E12+'Ago 11'!E12+'Sep 11'!E12)</f>
        <v>9254864</v>
      </c>
      <c r="E12" s="121">
        <f t="shared" si="0"/>
        <v>4606.3197013687268</v>
      </c>
      <c r="F12" s="122">
        <f t="shared" si="1"/>
        <v>2062.0588956143934</v>
      </c>
      <c r="K12" s="124"/>
      <c r="L12" s="124"/>
      <c r="M12" s="124"/>
    </row>
    <row r="13" spans="1:13" ht="16.5" thickBot="1" x14ac:dyDescent="0.3">
      <c r="A13" s="117" t="s">
        <v>16</v>
      </c>
      <c r="B13" s="118">
        <f>('Octubre 10'!C13+'Noviembre 10'!C13+'Dec 10'!C13+'Ene 11'!C13+'Feb 11'!C13+'Mar 11'!C13+'Apr 11'!C13+'May 11'!C13+'Jun 11'!C13+'Jul 11'!C13+'Ago 11'!C13+'Sep 11'!C13)/12</f>
        <v>8533.5</v>
      </c>
      <c r="C13" s="119">
        <f>('Octubre 10'!D13+'Noviembre 10'!D13+'Dec 10'!D13+'Ene 11'!D13+'Feb 11'!D13+'Mar 11'!D13+'Apr 11'!D13+'May 11'!D13+'Jun 11'!D13+'Jul 11'!D13+'Ago 11'!D13+'Sep 11'!D13)/12</f>
        <v>18691.166666666668</v>
      </c>
      <c r="D13" s="120">
        <f>AVERAGE('Octubre 10'!E13+'Noviembre 10'!E13+'Dec 10'!E13+'Ene 11'!E100+'Feb 11'!E13+'Mar 11'!E13+'Apr 11'!E13+'May 11'!E13+'Jun 11'!E13+'Jul 11'!E13+'Ago 11'!E13+'Sep 11'!E13)</f>
        <v>24621518</v>
      </c>
      <c r="E13" s="121">
        <f t="shared" si="0"/>
        <v>2885.2777875432121</v>
      </c>
      <c r="F13" s="122">
        <f t="shared" si="1"/>
        <v>1317.2809615950493</v>
      </c>
    </row>
    <row r="14" spans="1:13" ht="16.5" thickBot="1" x14ac:dyDescent="0.3">
      <c r="A14" s="117" t="s">
        <v>17</v>
      </c>
      <c r="B14" s="118">
        <f>('Octubre 10'!C14+'Noviembre 10'!C14+'Dec 10'!C14+'Ene 11'!C14+'Feb 11'!C14+'Mar 11'!C14+'Apr 11'!C14+'May 11'!C14+'Jun 11'!C14+'Jul 11'!C14+'Ago 11'!C14+'Sep 11'!C14)/12</f>
        <v>3071.4166666666665</v>
      </c>
      <c r="C14" s="119">
        <f>('Octubre 10'!D14+'Noviembre 10'!D14+'Dec 10'!D14+'Ene 11'!D14+'Feb 11'!D14+'Mar 11'!D14+'Apr 11'!D14+'May 11'!D14+'Jun 11'!D14+'Jul 11'!D14+'Ago 11'!D14+'Sep 11'!D14)/12</f>
        <v>6116.833333333333</v>
      </c>
      <c r="D14" s="120">
        <f>AVERAGE('Octubre 10'!E14+'Noviembre 10'!E14+'Dec 10'!E14+'Ene 11'!E101+'Feb 11'!E14+'Mar 11'!E14+'Apr 11'!E14+'May 11'!E14+'Jun 11'!E14+'Jul 11'!E14+'Ago 11'!E14+'Sep 11'!E14)</f>
        <v>9312996</v>
      </c>
      <c r="E14" s="121">
        <f t="shared" si="0"/>
        <v>3032.1499850774617</v>
      </c>
      <c r="F14" s="122">
        <f t="shared" si="1"/>
        <v>1522.5191684150295</v>
      </c>
    </row>
    <row r="15" spans="1:13" ht="16.5" thickBot="1" x14ac:dyDescent="0.3">
      <c r="A15" s="117" t="s">
        <v>18</v>
      </c>
      <c r="B15" s="118">
        <f>('Octubre 10'!C15+'Noviembre 10'!C15+'Dec 10'!C15+'Ene 11'!C15+'Feb 11'!C15+'Mar 11'!C15+'Apr 11'!C15+'May 11'!C15+'Jun 11'!C15+'Jul 11'!C15+'Ago 11'!C15+'Sep 11'!C15)/12</f>
        <v>9927.75</v>
      </c>
      <c r="C15" s="119">
        <f>('Octubre 10'!D15+'Noviembre 10'!D15+'Dec 10'!D15+'Ene 11'!D15+'Feb 11'!D15+'Mar 11'!D15+'Apr 11'!D15+'May 11'!D15+'Jun 11'!D15+'Jul 11'!D15+'Ago 11'!D15+'Sep 11'!D15)/12</f>
        <v>20228.25</v>
      </c>
      <c r="D15" s="120">
        <f>AVERAGE('Octubre 10'!E15+'Noviembre 10'!E15+'Dec 10'!E15+'Ene 11'!E102+'Feb 11'!E15+'Mar 11'!E15+'Apr 11'!E15+'May 11'!E15+'Jun 11'!E15+'Jul 11'!E15+'Ago 11'!E15+'Sep 11'!E15)</f>
        <v>36653396</v>
      </c>
      <c r="E15" s="121">
        <f t="shared" si="0"/>
        <v>3692.0144040694013</v>
      </c>
      <c r="F15" s="122">
        <f t="shared" si="1"/>
        <v>1811.9904588879413</v>
      </c>
    </row>
    <row r="16" spans="1:13" ht="16.5" thickBot="1" x14ac:dyDescent="0.3">
      <c r="A16" s="125" t="s">
        <v>19</v>
      </c>
      <c r="B16" s="126">
        <f>SUM(B8:B15)</f>
        <v>51204.916666666664</v>
      </c>
      <c r="C16" s="126">
        <f t="shared" ref="C16:D16" si="2">SUM(C8:C15)</f>
        <v>107675.91666666666</v>
      </c>
      <c r="D16" s="127">
        <f t="shared" si="2"/>
        <v>155619607</v>
      </c>
      <c r="E16" s="121">
        <f t="shared" si="0"/>
        <v>3039.1536034137348</v>
      </c>
      <c r="F16" s="122">
        <f t="shared" si="1"/>
        <v>1445.2591797453936</v>
      </c>
    </row>
    <row r="17" spans="1:6" ht="16.5" thickBot="1" x14ac:dyDescent="0.3">
      <c r="A17" s="128"/>
      <c r="B17" s="129"/>
      <c r="C17" s="129"/>
      <c r="D17" s="130"/>
      <c r="F17" s="122"/>
    </row>
    <row r="18" spans="1:6" ht="16.5" thickBot="1" x14ac:dyDescent="0.3">
      <c r="A18" s="131" t="s">
        <v>20</v>
      </c>
      <c r="B18" s="132"/>
      <c r="C18" s="133"/>
      <c r="D18" s="134"/>
      <c r="F18" s="122"/>
    </row>
    <row r="19" spans="1:6" ht="16.5" thickBot="1" x14ac:dyDescent="0.3">
      <c r="A19" s="135" t="s">
        <v>21</v>
      </c>
      <c r="B19" s="136">
        <f>('Octubre 10'!C19+'Noviembre 10'!C19+'Dec 10'!C19+'Ene 11'!C19+'Feb 11'!C19+'Mar 11'!C19+'Apr 11'!C19+'May 11'!C19+'Jun 11'!C19+'Jul 11'!C19+'Ago 11'!C19+'Sep 11'!C19)/12</f>
        <v>14522</v>
      </c>
      <c r="C19" s="137">
        <f>('Octubre 10'!D19+'Noviembre 10'!D19+'Dec 10'!D19+'Ene 11'!D19+'Feb 11'!D19+'Mar 11'!D19+'Apr 11'!D19+'May 11'!D19+'Jun 11'!D19+'Jul 11'!D19+'Ago 11'!D19+'Sep 11'!D19)/12</f>
        <v>28602.916666666668</v>
      </c>
      <c r="D19" s="120">
        <f>AVERAGE('Octubre 10'!E19+'Noviembre 10'!E19+'Dec 10'!E19+'Ene 11'!E105+'Feb 11'!E19+'Mar 11'!E19+'Apr 11'!E19+'May 11'!E19+'Jun 11'!E19+'Jul 11'!E19+'Ago 11'!E19+'Sep 11'!E19)</f>
        <v>37881587</v>
      </c>
      <c r="E19" s="121">
        <f t="shared" ref="E19:E32" si="3">D19/B19</f>
        <v>2608.5654179865032</v>
      </c>
      <c r="F19" s="122">
        <f t="shared" si="1"/>
        <v>1324.395950296444</v>
      </c>
    </row>
    <row r="20" spans="1:6" ht="16.5" thickBot="1" x14ac:dyDescent="0.3">
      <c r="A20" s="135" t="s">
        <v>22</v>
      </c>
      <c r="B20" s="136">
        <f>('Octubre 10'!C20+'Noviembre 10'!C20+'Dec 10'!C20+'Ene 11'!C20+'Feb 11'!C20+'Mar 11'!C20+'Apr 11'!C20+'May 11'!C20+'Jun 11'!C20+'Jul 11'!C20+'Ago 11'!C20+'Sep 11'!C20)/12</f>
        <v>6938.083333333333</v>
      </c>
      <c r="C20" s="137">
        <f>('Octubre 10'!D20+'Noviembre 10'!D20+'Dec 10'!D20+'Ene 11'!D20+'Feb 11'!D20+'Mar 11'!D20+'Apr 11'!D20+'May 11'!D20+'Jun 11'!D20+'Jul 11'!D20+'Ago 11'!D20+'Sep 11'!D20)/12</f>
        <v>13028.75</v>
      </c>
      <c r="D20" s="120">
        <f>AVERAGE('Octubre 10'!E20+'Noviembre 10'!E20+'Dec 10'!E20+'Ene 11'!E106+'Feb 11'!E20+'Mar 11'!E20+'Apr 11'!E20+'May 11'!E20+'Jun 11'!E20+'Jul 11'!E20+'Ago 11'!E20+'Sep 11'!E20)</f>
        <v>18204375</v>
      </c>
      <c r="E20" s="121">
        <f t="shared" si="3"/>
        <v>2623.8334314231838</v>
      </c>
      <c r="F20" s="122">
        <f t="shared" si="1"/>
        <v>1397.2464741437207</v>
      </c>
    </row>
    <row r="21" spans="1:6" ht="16.5" thickBot="1" x14ac:dyDescent="0.3">
      <c r="A21" s="117" t="s">
        <v>23</v>
      </c>
      <c r="B21" s="136">
        <f>('Octubre 10'!C21+'Noviembre 10'!C21+'Dec 10'!C21+'Ene 11'!C21+'Feb 11'!C21+'Mar 11'!C21+'Apr 11'!C21+'May 11'!C21+'Jun 11'!C21+'Jul 11'!C21+'Ago 11'!C21+'Sep 11'!C21)/12</f>
        <v>5918.916666666667</v>
      </c>
      <c r="C21" s="137">
        <f>('Octubre 10'!D21+'Noviembre 10'!D21+'Dec 10'!D21+'Ene 11'!D21+'Feb 11'!D21+'Mar 11'!D21+'Apr 11'!D21+'May 11'!D21+'Jun 11'!D21+'Jul 11'!D21+'Ago 11'!D21+'Sep 11'!D21)/12</f>
        <v>11996.25</v>
      </c>
      <c r="D21" s="120">
        <f>AVERAGE('Octubre 10'!E21+'Noviembre 10'!E21+'Dec 10'!E21+'Ene 11'!E107+'Feb 11'!E21+'Mar 11'!E21+'Apr 11'!E21+'May 11'!E21+'Jun 11'!E21+'Jul 11'!E21+'Ago 11'!E21+'Sep 11'!E21)</f>
        <v>15447866</v>
      </c>
      <c r="E21" s="121">
        <f t="shared" si="3"/>
        <v>2609.9144269080771</v>
      </c>
      <c r="F21" s="122">
        <f t="shared" si="1"/>
        <v>1287.7245805981036</v>
      </c>
    </row>
    <row r="22" spans="1:6" ht="16.5" thickBot="1" x14ac:dyDescent="0.3">
      <c r="A22" s="117" t="s">
        <v>24</v>
      </c>
      <c r="B22" s="136">
        <f>('Octubre 10'!C22+'Noviembre 10'!C22+'Dec 10'!C22+'Ene 11'!C22+'Feb 11'!C22+'Mar 11'!C22+'Apr 11'!C22+'May 11'!C22+'Jun 11'!C22+'Jul 11'!C22+'Ago 11'!C22+'Sep 11'!C22)/12</f>
        <v>7612.166666666667</v>
      </c>
      <c r="C22" s="137">
        <f>('Octubre 10'!D22+'Noviembre 10'!D22+'Dec 10'!D22+'Ene 11'!D22+'Feb 11'!D22+'Mar 11'!D22+'Apr 11'!D22+'May 11'!D22+'Jun 11'!D22+'Jul 11'!D22+'Ago 11'!D22+'Sep 11'!D22)/12</f>
        <v>15779.75</v>
      </c>
      <c r="D22" s="120">
        <f>AVERAGE('Octubre 10'!E22+'Noviembre 10'!E22+'Dec 10'!E22+'Ene 11'!E108+'Feb 11'!E22+'Mar 11'!E22+'Apr 11'!E22+'May 11'!E22+'Jun 11'!E22+'Jul 11'!E22+'Ago 11'!E22+'Sep 11'!E22)</f>
        <v>21712970</v>
      </c>
      <c r="E22" s="121">
        <f t="shared" si="3"/>
        <v>2852.4033893109713</v>
      </c>
      <c r="F22" s="122">
        <f t="shared" si="1"/>
        <v>1376.002154660245</v>
      </c>
    </row>
    <row r="23" spans="1:6" ht="16.5" thickBot="1" x14ac:dyDescent="0.3">
      <c r="A23" s="117" t="s">
        <v>25</v>
      </c>
      <c r="B23" s="136">
        <f>('Octubre 10'!C23+'Noviembre 10'!C23+'Dec 10'!C23+'Ene 11'!C23+'Feb 11'!C23+'Mar 11'!C23+'Apr 11'!C23+'May 11'!C23+'Jun 11'!C23+'Jul 11'!C23+'Ago 11'!C23+'Sep 11'!C23)/12</f>
        <v>4746.583333333333</v>
      </c>
      <c r="C23" s="137">
        <f>('Octubre 10'!D23+'Noviembre 10'!D23+'Dec 10'!D23+'Ene 11'!D23+'Feb 11'!D23+'Mar 11'!D23+'Apr 11'!D23+'May 11'!D23+'Jun 11'!D23+'Jul 11'!D23+'Ago 11'!D23+'Sep 11'!D23)/12</f>
        <v>10373</v>
      </c>
      <c r="D23" s="120">
        <f>AVERAGE('Octubre 10'!E23+'Noviembre 10'!E23+'Dec 10'!E23+'Ene 11'!E109+'Feb 11'!E23+'Mar 11'!E23+'Apr 11'!E23+'May 11'!E23+'Jun 11'!E23+'Jul 11'!E23+'Ago 11'!E23+'Sep 11'!E23)</f>
        <v>14771846</v>
      </c>
      <c r="E23" s="121">
        <f t="shared" si="3"/>
        <v>3112.1008444670729</v>
      </c>
      <c r="F23" s="122">
        <f t="shared" si="1"/>
        <v>1424.066904463511</v>
      </c>
    </row>
    <row r="24" spans="1:6" ht="16.5" thickBot="1" x14ac:dyDescent="0.3">
      <c r="A24" s="117" t="s">
        <v>26</v>
      </c>
      <c r="B24" s="136">
        <f>('Octubre 10'!C24+'Noviembre 10'!C24+'Dec 10'!C24+'Ene 11'!C24+'Feb 11'!C24+'Mar 11'!C24+'Apr 11'!C24+'May 11'!C24+'Jun 11'!C24+'Jul 11'!C24+'Ago 11'!C24+'Sep 11'!C24)/12</f>
        <v>3189.4166666666665</v>
      </c>
      <c r="C24" s="137">
        <f>('Octubre 10'!D24+'Noviembre 10'!D24+'Dec 10'!D24+'Ene 11'!D24+'Feb 11'!D24+'Mar 11'!D24+'Apr 11'!D24+'May 11'!D24+'Jun 11'!D24+'Jul 11'!D24+'Ago 11'!D24+'Sep 11'!D24)/12</f>
        <v>6848.583333333333</v>
      </c>
      <c r="D24" s="120">
        <f>AVERAGE('Octubre 10'!E24+'Noviembre 10'!E24+'Dec 10'!E24+'Ene 11'!E110+'Feb 11'!E24+'Mar 11'!E24+'Apr 11'!E24+'May 11'!E24+'Jun 11'!E24+'Jul 11'!E24+'Ago 11'!E24+'Sep 11'!E24)</f>
        <v>9709842</v>
      </c>
      <c r="E24" s="121">
        <f t="shared" si="3"/>
        <v>3044.3943249810573</v>
      </c>
      <c r="F24" s="122">
        <f t="shared" si="1"/>
        <v>1417.7883990606331</v>
      </c>
    </row>
    <row r="25" spans="1:6" ht="16.5" thickBot="1" x14ac:dyDescent="0.3">
      <c r="A25" s="117" t="s">
        <v>27</v>
      </c>
      <c r="B25" s="136">
        <f>('Octubre 10'!C25+'Noviembre 10'!C25+'Dec 10'!C25+'Ene 11'!C25+'Feb 11'!C25+'Mar 11'!C25+'Apr 11'!C25+'May 11'!C25+'Jun 11'!C25+'Jul 11'!C25+'Ago 11'!C25+'Sep 11'!C25)/12</f>
        <v>8310.3333333333339</v>
      </c>
      <c r="C25" s="137">
        <f>('Octubre 10'!D25+'Noviembre 10'!D25+'Dec 10'!D25+'Ene 11'!D25+'Feb 11'!D25+'Mar 11'!D25+'Apr 11'!D25+'May 11'!D25+'Jun 11'!D25+'Jul 11'!D25+'Ago 11'!D25+'Sep 11'!D25)/12</f>
        <v>17219.166666666668</v>
      </c>
      <c r="D25" s="120">
        <f>AVERAGE('Octubre 10'!E25+'Noviembre 10'!E25+'Dec 10'!E25+'Ene 11'!E111+'Feb 11'!E25+'Mar 11'!E25+'Apr 11'!E25+'May 11'!E25+'Jun 11'!E25+'Jul 11'!E25+'Ago 11'!E25+'Sep 11'!E25)</f>
        <v>24127569</v>
      </c>
      <c r="E25" s="121">
        <f t="shared" si="3"/>
        <v>2903.3214471942561</v>
      </c>
      <c r="F25" s="122">
        <f t="shared" si="1"/>
        <v>1401.2042201035667</v>
      </c>
    </row>
    <row r="26" spans="1:6" ht="16.5" thickBot="1" x14ac:dyDescent="0.3">
      <c r="A26" s="117" t="s">
        <v>28</v>
      </c>
      <c r="B26" s="136">
        <f>('Octubre 10'!C26+'Noviembre 10'!C26+'Dec 10'!C26+'Ene 11'!C26+'Feb 11'!C26+'Mar 11'!C26+'Apr 11'!C26+'May 11'!C26+'Jun 11'!C26+'Jul 11'!C26+'Ago 11'!C26+'Sep 11'!C26)/12</f>
        <v>7399.5</v>
      </c>
      <c r="C26" s="137">
        <f>('Octubre 10'!D26+'Noviembre 10'!D26+'Dec 10'!D26+'Ene 11'!D26+'Feb 11'!D26+'Mar 11'!D26+'Apr 11'!D26+'May 11'!D26+'Jun 11'!D26+'Jul 11'!D26+'Ago 11'!D26+'Sep 11'!D26)/12</f>
        <v>16064.416666666666</v>
      </c>
      <c r="D26" s="120">
        <f>AVERAGE('Octubre 10'!E26+'Noviembre 10'!E26+'Dec 10'!E26+'Ene 11'!E112+'Feb 11'!E26+'Mar 11'!E26+'Apr 11'!E26+'May 11'!E26+'Jun 11'!E26+'Jul 11'!E26+'Ago 11'!E26+'Sep 11'!E26)</f>
        <v>21867116</v>
      </c>
      <c r="E26" s="121">
        <f t="shared" si="3"/>
        <v>2955.215352388675</v>
      </c>
      <c r="F26" s="122">
        <f t="shared" si="1"/>
        <v>1361.2144439314634</v>
      </c>
    </row>
    <row r="27" spans="1:6" ht="16.5" thickBot="1" x14ac:dyDescent="0.3">
      <c r="A27" s="117" t="s">
        <v>29</v>
      </c>
      <c r="B27" s="136">
        <f>('Octubre 10'!C27+'Noviembre 10'!C27+'Dec 10'!C27+'Ene 11'!C27+'Feb 11'!C27+'Mar 11'!C27+'Apr 11'!C27+'May 11'!C27+'Jun 11'!C27+'Jul 11'!C27+'Ago 11'!C27+'Sep 11'!C27)/12</f>
        <v>9666.1666666666661</v>
      </c>
      <c r="C27" s="137">
        <f>('Octubre 10'!D27+'Noviembre 10'!D27+'Dec 10'!D27+'Ene 11'!D27+'Feb 11'!D27+'Mar 11'!D27+'Apr 11'!D27+'May 11'!D27+'Jun 11'!D27+'Jul 11'!D27+'Ago 11'!D27+'Sep 11'!D27)/12</f>
        <v>19480.166666666668</v>
      </c>
      <c r="D27" s="120">
        <f>AVERAGE('Octubre 10'!E27+'Noviembre 10'!E27+'Dec 10'!E27+'Ene 11'!E113+'Feb 11'!E27+'Mar 11'!E27+'Apr 11'!E27+'May 11'!E27+'Jun 11'!E27+'Jul 11'!E27+'Ago 11'!E27+'Sep 11'!E27)</f>
        <v>26044627</v>
      </c>
      <c r="E27" s="121">
        <f t="shared" si="3"/>
        <v>2694.4111247133474</v>
      </c>
      <c r="F27" s="122">
        <f t="shared" si="1"/>
        <v>1336.9817335580633</v>
      </c>
    </row>
    <row r="28" spans="1:6" ht="16.5" thickBot="1" x14ac:dyDescent="0.3">
      <c r="A28" s="117" t="s">
        <v>30</v>
      </c>
      <c r="B28" s="136">
        <f>('Octubre 10'!C28+'Noviembre 10'!C28+'Dec 10'!C28+'Ene 11'!C28+'Feb 11'!C28+'Mar 11'!C28+'Apr 11'!C28+'May 11'!C28+'Jun 11'!C28+'Jul 11'!C28+'Ago 11'!C28+'Sep 11'!C28)/12</f>
        <v>6534.583333333333</v>
      </c>
      <c r="C28" s="137">
        <f>('Octubre 10'!D28+'Noviembre 10'!D28+'Dec 10'!D28+'Ene 11'!D28+'Feb 11'!D28+'Mar 11'!D28+'Apr 11'!D28+'May 11'!D28+'Jun 11'!D28+'Jul 11'!D28+'Ago 11'!D28+'Sep 11'!D28)/12</f>
        <v>15070.083333333334</v>
      </c>
      <c r="D28" s="120">
        <f>AVERAGE('Octubre 10'!E28+'Noviembre 10'!E28+'Dec 10'!E28+'Ene 11'!E114+'Feb 11'!E28+'Mar 11'!E28+'Apr 11'!E28+'May 11'!E28+'Jun 11'!E28+'Jul 11'!E28+'Ago 11'!E28+'Sep 11'!E28)</f>
        <v>20387201</v>
      </c>
      <c r="E28" s="121">
        <f t="shared" si="3"/>
        <v>3119.8930306701527</v>
      </c>
      <c r="F28" s="122">
        <f t="shared" si="1"/>
        <v>1352.8260294955237</v>
      </c>
    </row>
    <row r="29" spans="1:6" ht="16.5" thickBot="1" x14ac:dyDescent="0.3">
      <c r="A29" s="117" t="s">
        <v>31</v>
      </c>
      <c r="B29" s="136">
        <f>('Octubre 10'!C29+'Noviembre 10'!C29+'Dec 10'!C29+'Ene 11'!C29+'Feb 11'!C29+'Mar 11'!C29+'Apr 11'!C29+'May 11'!C29+'Jun 11'!C29+'Jul 11'!C29+'Ago 11'!C29+'Sep 11'!C29)/12</f>
        <v>5588.916666666667</v>
      </c>
      <c r="C29" s="137">
        <f>('Octubre 10'!D29+'Noviembre 10'!D29+'Dec 10'!D29+'Ene 11'!D29+'Feb 11'!D29+'Mar 11'!D29+'Apr 11'!D29+'May 11'!D29+'Jun 11'!D29+'Jul 11'!D29+'Ago 11'!D29+'Sep 11'!D29)/12</f>
        <v>12064.083333333334</v>
      </c>
      <c r="D29" s="120">
        <f>AVERAGE('Octubre 10'!E29+'Noviembre 10'!E29+'Dec 10'!E29+'Ene 11'!E115+'Feb 11'!E29+'Mar 11'!E29+'Apr 11'!E29+'May 11'!E29+'Jun 11'!E29+'Jul 11'!E29+'Ago 11'!E29+'Sep 11'!E29)</f>
        <v>17370504</v>
      </c>
      <c r="E29" s="121">
        <f t="shared" si="3"/>
        <v>3108.0270177583607</v>
      </c>
      <c r="F29" s="122">
        <f t="shared" si="1"/>
        <v>1439.8527861627833</v>
      </c>
    </row>
    <row r="30" spans="1:6" ht="16.5" thickBot="1" x14ac:dyDescent="0.3">
      <c r="A30" s="117" t="s">
        <v>32</v>
      </c>
      <c r="B30" s="136">
        <f>('Octubre 10'!C30+'Noviembre 10'!C30+'Dec 10'!C30+'Ene 11'!C30+'Feb 11'!C30+'Mar 11'!C30+'Apr 11'!C30+'May 11'!C30+'Jun 11'!C30+'Jul 11'!C30+'Ago 11'!C30+'Sep 11'!C30)/12</f>
        <v>5466.916666666667</v>
      </c>
      <c r="C30" s="137">
        <f>('Octubre 10'!D30+'Noviembre 10'!D30+'Dec 10'!D30+'Ene 11'!D30+'Feb 11'!D30+'Mar 11'!D30+'Apr 11'!D30+'May 11'!D30+'Jun 11'!D30+'Jul 11'!D30+'Ago 11'!D30+'Sep 11'!D30)/12</f>
        <v>12094.666666666666</v>
      </c>
      <c r="D30" s="120">
        <f>AVERAGE('Octubre 10'!E30+'Noviembre 10'!E30+'Dec 10'!E30+'Ene 11'!E116+'Feb 11'!E30+'Mar 11'!E30+'Apr 11'!E30+'May 11'!E30+'Jun 11'!E30+'Jul 11'!E30+'Ago 11'!E30+'Sep 11'!E30)</f>
        <v>19474217</v>
      </c>
      <c r="E30" s="121">
        <f t="shared" si="3"/>
        <v>3562.1938630855293</v>
      </c>
      <c r="F30" s="122">
        <f t="shared" si="1"/>
        <v>1610.1491290927131</v>
      </c>
    </row>
    <row r="31" spans="1:6" ht="16.5" thickBot="1" x14ac:dyDescent="0.3">
      <c r="A31" s="117" t="s">
        <v>33</v>
      </c>
      <c r="B31" s="136">
        <f>('Octubre 10'!C31+'Noviembre 10'!C31+'Dec 10'!C31+'Ene 11'!C31+'Feb 11'!C31+'Mar 11'!C31+'Apr 11'!C31+'May 11'!C31+'Jun 11'!C31+'Jul 11'!C31+'Ago 11'!C31+'Sep 11'!C31)/12</f>
        <v>1917.5833333333333</v>
      </c>
      <c r="C31" s="137">
        <f>('Octubre 10'!D31+'Noviembre 10'!D31+'Dec 10'!D31+'Ene 11'!D31+'Feb 11'!D31+'Mar 11'!D31+'Apr 11'!D31+'May 11'!D31+'Jun 11'!D31+'Jul 11'!D31+'Ago 11'!D31+'Sep 11'!D31)/12</f>
        <v>44504.75</v>
      </c>
      <c r="D31" s="120">
        <f>AVERAGE('Octubre 10'!E31+'Noviembre 10'!E31+'Dec 10'!E31+'Ene 11'!E117+'Feb 11'!E31+'Mar 11'!E31+'Apr 11'!E31+'May 11'!E31+'Jun 11'!E31+'Jul 11'!E31+'Ago 11'!E31+'Sep 11'!E31)</f>
        <v>6690471</v>
      </c>
      <c r="E31" s="121">
        <f t="shared" si="3"/>
        <v>3489.0118638911827</v>
      </c>
      <c r="F31" s="122">
        <f t="shared" si="1"/>
        <v>150.33161628814901</v>
      </c>
    </row>
    <row r="32" spans="1:6" ht="16.5" thickBot="1" x14ac:dyDescent="0.3">
      <c r="A32" s="125" t="s">
        <v>34</v>
      </c>
      <c r="B32" s="138">
        <f>SUM(B19:B31)</f>
        <v>87811.166666666672</v>
      </c>
      <c r="C32" s="138">
        <f t="shared" ref="C32:D32" si="4">SUM(C19:C31)</f>
        <v>223126.58333333334</v>
      </c>
      <c r="D32" s="138">
        <f t="shared" si="4"/>
        <v>253690191</v>
      </c>
      <c r="E32" s="121">
        <f t="shared" si="3"/>
        <v>2889.0424832073368</v>
      </c>
      <c r="F32" s="122">
        <f t="shared" si="1"/>
        <v>1136.9787822233941</v>
      </c>
    </row>
    <row r="33" spans="1:6" ht="16.5" thickBot="1" x14ac:dyDescent="0.3">
      <c r="A33" s="128"/>
      <c r="B33" s="139"/>
      <c r="C33" s="139"/>
      <c r="D33" s="130"/>
      <c r="F33" s="122"/>
    </row>
    <row r="34" spans="1:6" ht="16.5" thickBot="1" x14ac:dyDescent="0.3">
      <c r="A34" s="112" t="s">
        <v>35</v>
      </c>
      <c r="B34" s="140"/>
      <c r="C34" s="140"/>
      <c r="D34" s="141"/>
      <c r="F34" s="122"/>
    </row>
    <row r="35" spans="1:6" ht="16.5" thickBot="1" x14ac:dyDescent="0.3">
      <c r="A35" s="117" t="s">
        <v>36</v>
      </c>
      <c r="B35" s="136">
        <f>('Octubre 10'!C35+'Noviembre 10'!C35+'Dec 10'!C35+'Ene 11'!C35+'Feb 11'!C35+'Mar 11'!C35+'Apr 11'!C35+'May 11'!C35+'Jun 11'!C35+'Jul 11'!C35+'Ago 11'!C35+'Sep 11'!C35)/12</f>
        <v>8666.1666666666661</v>
      </c>
      <c r="C35" s="137">
        <f>('Octubre 10'!D35+'Noviembre 10'!D35+'Dec 10'!D35+'Ene 11'!D35+'Feb 11'!D35+'Mar 11'!D35+'Apr 11'!D35+'May 11'!D35+'Jun 11'!D35+'Jul 11'!D35+'Ago 11'!D35+'Sep 11'!D35)/12</f>
        <v>18398.25</v>
      </c>
      <c r="D35" s="120">
        <f>AVERAGE('Octubre 10'!E35+'Noviembre 10'!E35+'Dec 10'!E35+'Ene 11'!E35+'Feb 11'!E35+'Mar 11'!E35+'Apr 11'!E35+'May 11'!E35+'Jun 11'!E35+'Jul 11'!E35+'Ago 11'!E35+'Sep 11'!E35)</f>
        <v>25313786</v>
      </c>
      <c r="E35" s="121">
        <f t="shared" ref="E35:E48" si="5">D35/B35</f>
        <v>2920.9899801911652</v>
      </c>
      <c r="F35" s="122">
        <f t="shared" si="1"/>
        <v>1375.8800972918621</v>
      </c>
    </row>
    <row r="36" spans="1:6" ht="16.5" thickBot="1" x14ac:dyDescent="0.3">
      <c r="A36" s="117" t="s">
        <v>37</v>
      </c>
      <c r="B36" s="136">
        <f>('Octubre 10'!C36+'Noviembre 10'!C36+'Dec 10'!C36+'Ene 11'!C36+'Feb 11'!C36+'Mar 11'!C36+'Apr 11'!C36+'May 11'!C36+'Jun 11'!C36+'Jul 11'!C36+'Ago 11'!C36+'Sep 11'!C36)/12</f>
        <v>8743.8333333333339</v>
      </c>
      <c r="C36" s="137">
        <f>('Octubre 10'!D36+'Noviembre 10'!D36+'Dec 10'!D36+'Ene 11'!D36+'Feb 11'!D36+'Mar 11'!D36+'Apr 11'!D36+'May 11'!D36+'Jun 11'!D36+'Jul 11'!D36+'Ago 11'!D36+'Sep 11'!D36)/12</f>
        <v>17669.416666666668</v>
      </c>
      <c r="D36" s="120">
        <f>AVERAGE('Octubre 10'!E36+'Noviembre 10'!E36+'Dec 10'!E36+'Ene 11'!E36+'Feb 11'!E36+'Mar 11'!E36+'Apr 11'!E36+'May 11'!E36+'Jun 11'!E36+'Jul 11'!E36+'Ago 11'!E36+'Sep 11'!E36)</f>
        <v>24354038</v>
      </c>
      <c r="E36" s="121">
        <f t="shared" si="5"/>
        <v>2785.2815889293406</v>
      </c>
      <c r="F36" s="122">
        <f t="shared" si="1"/>
        <v>1378.3159036565062</v>
      </c>
    </row>
    <row r="37" spans="1:6" ht="16.5" thickBot="1" x14ac:dyDescent="0.3">
      <c r="A37" s="117" t="s">
        <v>38</v>
      </c>
      <c r="B37" s="136">
        <f>('Octubre 10'!C37+'Noviembre 10'!C37+'Dec 10'!C37+'Ene 11'!C37+'Feb 11'!C37+'Mar 11'!C37+'Apr 11'!C37+'May 11'!C37+'Jun 11'!C37+'Jul 11'!C37+'Ago 11'!C37+'Sep 11'!C37)/12</f>
        <v>10060.666666666666</v>
      </c>
      <c r="C37" s="137">
        <f>('Octubre 10'!D37+'Noviembre 10'!D37+'Dec 10'!D37+'Ene 11'!D37+'Feb 11'!D37+'Mar 11'!D37+'Apr 11'!D37+'May 11'!D37+'Jun 11'!D37+'Jul 11'!D37+'Ago 11'!D37+'Sep 11'!D37)/12</f>
        <v>20943.916666666668</v>
      </c>
      <c r="D37" s="120">
        <f>AVERAGE('Octubre 10'!E37+'Noviembre 10'!E37+'Dec 10'!E37+'Ene 11'!E37+'Feb 11'!E37+'Mar 11'!E37+'Apr 11'!E37+'May 11'!E37+'Jun 11'!E37+'Jul 11'!E37+'Ago 11'!E37+'Sep 11'!E37)</f>
        <v>28589842</v>
      </c>
      <c r="E37" s="121">
        <f t="shared" si="5"/>
        <v>2841.7442846729841</v>
      </c>
      <c r="F37" s="122">
        <f t="shared" si="1"/>
        <v>1365.0666422628685</v>
      </c>
    </row>
    <row r="38" spans="1:6" ht="16.5" thickBot="1" x14ac:dyDescent="0.3">
      <c r="A38" s="117" t="s">
        <v>39</v>
      </c>
      <c r="B38" s="136">
        <f>('Octubre 10'!C38+'Noviembre 10'!C38+'Dec 10'!C38+'Ene 11'!C38+'Feb 11'!C38+'Mar 11'!C38+'Apr 11'!C38+'May 11'!C38+'Jun 11'!C38+'Jul 11'!C38+'Ago 11'!C38+'Sep 11'!C38)/12</f>
        <v>5088.416666666667</v>
      </c>
      <c r="C38" s="137">
        <f>('Octubre 10'!D38+'Noviembre 10'!D38+'Dec 10'!D38+'Ene 11'!D38+'Feb 11'!D38+'Mar 11'!D38+'Apr 11'!D38+'May 11'!D38+'Jun 11'!D38+'Jul 11'!D38+'Ago 11'!D38+'Sep 11'!D38)/12</f>
        <v>10834.666666666666</v>
      </c>
      <c r="D38" s="120">
        <f>AVERAGE('Octubre 10'!E38+'Noviembre 10'!E38+'Dec 10'!E38+'Ene 11'!E38+'Feb 11'!E38+'Mar 11'!E38+'Apr 11'!E38+'May 11'!E38+'Jun 11'!E38+'Jul 11'!E38+'Ago 11'!E38+'Sep 11'!E38)</f>
        <v>15125923</v>
      </c>
      <c r="E38" s="121">
        <f t="shared" si="5"/>
        <v>2972.6187910450203</v>
      </c>
      <c r="F38" s="122">
        <f t="shared" si="1"/>
        <v>1396.0672224956929</v>
      </c>
    </row>
    <row r="39" spans="1:6" ht="16.5" thickBot="1" x14ac:dyDescent="0.3">
      <c r="A39" s="117" t="s">
        <v>40</v>
      </c>
      <c r="B39" s="136">
        <f>('Octubre 10'!C39+'Noviembre 10'!C39+'Dec 10'!C39+'Ene 11'!C39+'Feb 11'!C39+'Mar 11'!C39+'Apr 11'!C39+'May 11'!C39+'Jun 11'!C39+'Jul 11'!C39+'Ago 11'!C39+'Sep 11'!C39)/12</f>
        <v>7858.833333333333</v>
      </c>
      <c r="C39" s="137">
        <f>('Octubre 10'!D39+'Noviembre 10'!D39+'Dec 10'!D39+'Ene 11'!D39+'Feb 11'!D39+'Mar 11'!D39+'Apr 11'!D39+'May 11'!D39+'Jun 11'!D39+'Jul 11'!D39+'Ago 11'!D39+'Sep 11'!D39)/12</f>
        <v>17134.833333333332</v>
      </c>
      <c r="D39" s="120">
        <f>AVERAGE('Octubre 10'!E39+'Noviembre 10'!E39+'Dec 10'!E39+'Ene 11'!E39+'Feb 11'!E39+'Mar 11'!E39+'Apr 11'!E39+'May 11'!E39+'Jun 11'!E39+'Jul 11'!E39+'Ago 11'!E39+'Sep 11'!E39)</f>
        <v>23511196</v>
      </c>
      <c r="E39" s="121">
        <f t="shared" si="5"/>
        <v>2991.6903696477425</v>
      </c>
      <c r="F39" s="122">
        <f t="shared" si="1"/>
        <v>1372.128665778288</v>
      </c>
    </row>
    <row r="40" spans="1:6" ht="16.5" thickBot="1" x14ac:dyDescent="0.3">
      <c r="A40" s="117" t="s">
        <v>41</v>
      </c>
      <c r="B40" s="136">
        <f>('Octubre 10'!C40+'Noviembre 10'!C40+'Dec 10'!C40+'Ene 11'!C40+'Feb 11'!C40+'Mar 11'!C40+'Apr 11'!C40+'May 11'!C40+'Jun 11'!C40+'Jul 11'!C40+'Ago 11'!C40+'Sep 11'!C40)/12</f>
        <v>5672.416666666667</v>
      </c>
      <c r="C40" s="137">
        <f>('Octubre 10'!D40+'Noviembre 10'!D40+'Dec 10'!D40+'Ene 11'!D40+'Feb 11'!D40+'Mar 11'!D40+'Apr 11'!D40+'May 11'!D40+'Jun 11'!D40+'Jul 11'!D40+'Ago 11'!D40+'Sep 11'!D40)/12</f>
        <v>11744.416666666666</v>
      </c>
      <c r="D40" s="120">
        <f>AVERAGE('Octubre 10'!E40+'Noviembre 10'!E40+'Dec 10'!E40+'Ene 11'!E40+'Feb 11'!E40+'Mar 11'!E40+'Apr 11'!E40+'May 11'!E40+'Jun 11'!E40+'Jul 11'!E40+'Ago 11'!E40+'Sep 11'!E40)</f>
        <v>16001092</v>
      </c>
      <c r="E40" s="121">
        <f t="shared" si="5"/>
        <v>2820.8597746404384</v>
      </c>
      <c r="F40" s="122">
        <f t="shared" si="1"/>
        <v>1362.4424655687455</v>
      </c>
    </row>
    <row r="41" spans="1:6" ht="16.5" thickBot="1" x14ac:dyDescent="0.3">
      <c r="A41" s="117" t="s">
        <v>42</v>
      </c>
      <c r="B41" s="136">
        <f>('Octubre 10'!C41+'Noviembre 10'!C41+'Dec 10'!C41+'Ene 11'!C41+'Feb 11'!C41+'Mar 11'!C41+'Apr 11'!C41+'May 11'!C41+'Jun 11'!C41+'Jul 11'!C41+'Ago 11'!C41+'Sep 11'!C41)/12</f>
        <v>6894.416666666667</v>
      </c>
      <c r="C41" s="137">
        <f>('Octubre 10'!D41+'Noviembre 10'!D41+'Dec 10'!D41+'Ene 11'!D41+'Feb 11'!D41+'Mar 11'!D41+'Apr 11'!D41+'May 11'!D41+'Jun 11'!D41+'Jul 11'!D41+'Ago 11'!D41+'Sep 11'!D41)/12</f>
        <v>15107.083333333334</v>
      </c>
      <c r="D41" s="120">
        <f>AVERAGE('Octubre 10'!E41+'Noviembre 10'!E41+'Dec 10'!E41+'Ene 11'!E41+'Feb 11'!E41+'Mar 11'!E41+'Apr 11'!E41+'May 11'!E41+'Jun 11'!E41+'Jul 11'!E41+'Ago 11'!E41+'Sep 11'!E41)</f>
        <v>20476565</v>
      </c>
      <c r="E41" s="121">
        <f t="shared" si="5"/>
        <v>2970.0213941232637</v>
      </c>
      <c r="F41" s="122">
        <f t="shared" si="1"/>
        <v>1355.4280828529663</v>
      </c>
    </row>
    <row r="42" spans="1:6" ht="16.5" thickBot="1" x14ac:dyDescent="0.3">
      <c r="A42" s="117" t="s">
        <v>43</v>
      </c>
      <c r="B42" s="136">
        <f>('Octubre 10'!C42+'Noviembre 10'!C42+'Dec 10'!C42+'Ene 11'!C42+'Feb 11'!C42+'Mar 11'!C42+'Apr 11'!C42+'May 11'!C42+'Jun 11'!C42+'Jul 11'!C42+'Ago 11'!C42+'Sep 11'!C42)/12</f>
        <v>10004.333333333334</v>
      </c>
      <c r="C42" s="137">
        <f>('Octubre 10'!D42+'Noviembre 10'!D42+'Dec 10'!D42+'Ene 11'!D42+'Feb 11'!D42+'Mar 11'!D42+'Apr 11'!D42+'May 11'!D42+'Jun 11'!D42+'Jul 11'!D42+'Ago 11'!D42+'Sep 11'!D42)/12</f>
        <v>22185.833333333332</v>
      </c>
      <c r="D42" s="120">
        <f>AVERAGE('Octubre 10'!E42+'Noviembre 10'!E42+'Dec 10'!E42+'Ene 11'!E42+'Feb 11'!E42+'Mar 11'!E42+'Apr 11'!E42+'May 11'!E42+'Jun 11'!E42+'Jul 11'!E42+'Ago 11'!E42+'Sep 11'!E42)</f>
        <v>30285202</v>
      </c>
      <c r="E42" s="121">
        <f t="shared" si="5"/>
        <v>3027.2084096891344</v>
      </c>
      <c r="F42" s="122">
        <f t="shared" si="1"/>
        <v>1365.069391127972</v>
      </c>
    </row>
    <row r="43" spans="1:6" ht="16.5" thickBot="1" x14ac:dyDescent="0.3">
      <c r="A43" s="117" t="s">
        <v>44</v>
      </c>
      <c r="B43" s="136">
        <f>('Octubre 10'!C43+'Noviembre 10'!C43+'Dec 10'!C43+'Ene 11'!C43+'Feb 11'!C43+'Mar 11'!C43+'Apr 11'!C43+'May 11'!C43+'Jun 11'!C43+'Jul 11'!C43+'Ago 11'!C43+'Sep 11'!C43)/12</f>
        <v>6707.166666666667</v>
      </c>
      <c r="C43" s="137">
        <f>('Octubre 10'!D43+'Noviembre 10'!D43+'Dec 10'!D43+'Ene 11'!D43+'Feb 11'!D43+'Mar 11'!D43+'Apr 11'!D43+'May 11'!D43+'Jun 11'!D43+'Jul 11'!D43+'Ago 11'!D43+'Sep 11'!D43)/12</f>
        <v>14315.083333333334</v>
      </c>
      <c r="D43" s="120">
        <f>AVERAGE('Octubre 10'!E43+'Noviembre 10'!E43+'Dec 10'!E43+'Ene 11'!E43+'Feb 11'!E43+'Mar 11'!E43+'Apr 11'!E43+'May 11'!E43+'Jun 11'!E43+'Jul 11'!E43+'Ago 11'!E43+'Sep 11'!E43)</f>
        <v>19586535</v>
      </c>
      <c r="E43" s="121">
        <f t="shared" si="5"/>
        <v>2920.2397932559697</v>
      </c>
      <c r="F43" s="122">
        <f t="shared" si="1"/>
        <v>1368.2445672105762</v>
      </c>
    </row>
    <row r="44" spans="1:6" ht="16.5" thickBot="1" x14ac:dyDescent="0.3">
      <c r="A44" s="117" t="s">
        <v>45</v>
      </c>
      <c r="B44" s="136">
        <f>('Octubre 10'!C44+'Noviembre 10'!C44+'Dec 10'!C44+'Ene 11'!C44+'Feb 11'!C44+'Mar 11'!C44+'Apr 11'!C44+'May 11'!C44+'Jun 11'!C44+'Jul 11'!C44+'Ago 11'!C44+'Sep 11'!C44)/12</f>
        <v>5420.333333333333</v>
      </c>
      <c r="C44" s="137">
        <f>('Octubre 10'!D44+'Noviembre 10'!D44+'Dec 10'!D44+'Ene 11'!D44+'Feb 11'!D44+'Mar 11'!D44+'Apr 11'!D44+'May 11'!D44+'Jun 11'!D44+'Jul 11'!D44+'Ago 11'!D44+'Sep 11'!D44)/12</f>
        <v>10279.666666666666</v>
      </c>
      <c r="D44" s="120">
        <f>AVERAGE('Octubre 10'!E44+'Noviembre 10'!E44+'Dec 10'!E44+'Ene 11'!E44+'Feb 11'!E44+'Mar 11'!E44+'Apr 11'!E44+'May 11'!E44+'Jun 11'!E44+'Jul 11'!E44+'Ago 11'!E44+'Sep 11'!E44)</f>
        <v>15095792</v>
      </c>
      <c r="E44" s="121">
        <f t="shared" si="5"/>
        <v>2785.0301949449604</v>
      </c>
      <c r="F44" s="122">
        <f t="shared" si="1"/>
        <v>1468.5098738610202</v>
      </c>
    </row>
    <row r="45" spans="1:6" ht="16.5" thickBot="1" x14ac:dyDescent="0.3">
      <c r="A45" s="117" t="s">
        <v>46</v>
      </c>
      <c r="B45" s="136">
        <f>('Octubre 10'!C45+'Noviembre 10'!C45+'Dec 10'!C45+'Ene 11'!C45+'Feb 11'!C45+'Mar 11'!C45+'Apr 11'!C45+'May 11'!C45+'Jun 11'!C45+'Jul 11'!C45+'Ago 11'!C45+'Sep 11'!C45)/12</f>
        <v>7231.083333333333</v>
      </c>
      <c r="C45" s="137">
        <f>('Octubre 10'!D45+'Noviembre 10'!D45+'Dec 10'!D45+'Ene 11'!D45+'Feb 11'!D45+'Mar 11'!D45+'Apr 11'!D45+'May 11'!D45+'Jun 11'!D45+'Jul 11'!D45+'Ago 11'!D45+'Sep 11'!D45)/12</f>
        <v>15653.25</v>
      </c>
      <c r="D45" s="120">
        <f>AVERAGE('Octubre 10'!E45+'Noviembre 10'!E45+'Dec 10'!E45+'Ene 11'!E45+'Feb 11'!E45+'Mar 11'!E45+'Apr 11'!E45+'May 11'!E45+'Jun 11'!E45+'Jul 11'!E45+'Ago 11'!E45+'Sep 11'!E45)</f>
        <v>21507484</v>
      </c>
      <c r="E45" s="121">
        <f t="shared" si="5"/>
        <v>2974.3100734099316</v>
      </c>
      <c r="F45" s="122">
        <f t="shared" si="1"/>
        <v>1373.9947934135084</v>
      </c>
    </row>
    <row r="46" spans="1:6" ht="16.5" thickBot="1" x14ac:dyDescent="0.3">
      <c r="A46" s="117" t="s">
        <v>47</v>
      </c>
      <c r="B46" s="136">
        <f>('Octubre 10'!C46+'Noviembre 10'!C46+'Dec 10'!C46+'Ene 11'!C46+'Feb 11'!C46+'Mar 11'!C46+'Apr 11'!C46+'May 11'!C46+'Jun 11'!C46+'Jul 11'!C46+'Ago 11'!C46+'Sep 11'!C46)/12</f>
        <v>6572.833333333333</v>
      </c>
      <c r="C46" s="137">
        <f>('Octubre 10'!D46+'Noviembre 10'!D46+'Dec 10'!D46+'Ene 11'!D46+'Feb 11'!D46+'Mar 11'!D46+'Apr 11'!D46+'May 11'!D46+'Jun 11'!D46+'Jul 11'!D46+'Ago 11'!D46+'Sep 11'!D46)/12</f>
        <v>13703.083333333334</v>
      </c>
      <c r="D46" s="120">
        <f>AVERAGE('Octubre 10'!E46+'Noviembre 10'!E46+'Dec 10'!E46+'Ene 11'!E46+'Feb 11'!E46+'Mar 11'!E46+'Apr 11'!E46+'May 11'!E46+'Jun 11'!E46+'Jul 11'!E46+'Ago 11'!E46+'Sep 11'!E46)</f>
        <v>18937590</v>
      </c>
      <c r="E46" s="121">
        <f t="shared" si="5"/>
        <v>2881.1912670842103</v>
      </c>
      <c r="F46" s="122">
        <f t="shared" si="1"/>
        <v>1381.9948065216465</v>
      </c>
    </row>
    <row r="47" spans="1:6" ht="16.5" thickBot="1" x14ac:dyDescent="0.3">
      <c r="A47" s="117" t="s">
        <v>48</v>
      </c>
      <c r="B47" s="136">
        <f>('Octubre 10'!C47+'Noviembre 10'!C47+'Dec 10'!C47+'Ene 11'!C47+'Feb 11'!C47+'Mar 11'!C47+'Apr 11'!C47+'May 11'!C47+'Jun 11'!C47+'Jul 11'!C47+'Ago 11'!C47+'Sep 11'!C47)/12</f>
        <v>4954.666666666667</v>
      </c>
      <c r="C47" s="137">
        <f>('Octubre 10'!D47+'Noviembre 10'!D47+'Dec 10'!D47+'Ene 11'!D47+'Feb 11'!D47+'Mar 11'!D47+'Apr 11'!D47+'May 11'!D47+'Jun 11'!D47+'Jul 11'!D47+'Ago 11'!D47+'Sep 11'!D47)/12</f>
        <v>10266.833333333334</v>
      </c>
      <c r="D47" s="120">
        <f>AVERAGE('Octubre 10'!E47+'Noviembre 10'!E47+'Dec 10'!E47+'Ene 11'!E47+'Feb 11'!E47+'Mar 11'!E47+'Apr 11'!E47+'May 11'!E47+'Jun 11'!E47+'Jul 11'!E47+'Ago 11'!E47+'Sep 11'!E47)</f>
        <v>14054020</v>
      </c>
      <c r="E47" s="121">
        <f t="shared" si="5"/>
        <v>2836.5217976318622</v>
      </c>
      <c r="F47" s="122">
        <f t="shared" si="1"/>
        <v>1368.8758299378255</v>
      </c>
    </row>
    <row r="48" spans="1:6" ht="16.5" thickBot="1" x14ac:dyDescent="0.3">
      <c r="A48" s="125" t="s">
        <v>49</v>
      </c>
      <c r="B48" s="138">
        <f>SUM(B35:B47)</f>
        <v>93875.166666666657</v>
      </c>
      <c r="C48" s="138">
        <f t="shared" ref="C48:D48" si="6">SUM(C35:C47)</f>
        <v>198236.33333333337</v>
      </c>
      <c r="D48" s="138">
        <f t="shared" si="6"/>
        <v>272839065</v>
      </c>
      <c r="E48" s="121">
        <f t="shared" si="5"/>
        <v>2906.4029890759184</v>
      </c>
      <c r="F48" s="122">
        <f t="shared" si="1"/>
        <v>1376.3322818386805</v>
      </c>
    </row>
    <row r="49" spans="1:6" ht="16.5" thickBot="1" x14ac:dyDescent="0.3">
      <c r="A49" s="142"/>
      <c r="B49" s="143"/>
      <c r="C49" s="143"/>
      <c r="D49" s="144"/>
      <c r="F49" s="122"/>
    </row>
    <row r="50" spans="1:6" ht="16.5" thickBot="1" x14ac:dyDescent="0.3">
      <c r="A50" s="112" t="s">
        <v>50</v>
      </c>
      <c r="B50" s="140"/>
      <c r="C50" s="140"/>
      <c r="D50" s="141"/>
      <c r="F50" s="122"/>
    </row>
    <row r="51" spans="1:6" ht="16.5" thickBot="1" x14ac:dyDescent="0.3">
      <c r="A51" s="117" t="s">
        <v>51</v>
      </c>
      <c r="B51" s="145">
        <f>('Octubre 10'!C51+'Noviembre 10'!C51+'Dec 10'!C51+'Ene 11'!C51+'Feb 11'!C51+'Mar 11'!C51+'Apr 11'!C51+'May 11'!C51+'Jun 11'!C51+'Jul 11'!C51+'Ago 11'!C51+'Sep 11'!C51)/12</f>
        <v>5239.833333333333</v>
      </c>
      <c r="C51" s="146">
        <f>('Octubre 10'!D51+'Noviembre 10'!D51+'Dec 10'!D51+'Ene 11'!D51+'Feb 11'!D51+'Mar 11'!D51+'Apr 11'!D51+'May 11'!D51+'Jun 11'!D51+'Jul 11'!D51+'Ago 11'!D51+'Sep 11'!D51)/12</f>
        <v>10992.25</v>
      </c>
      <c r="D51" s="147">
        <f>AVERAGE('Octubre 10'!E51+'Octubre 10'!E61+'Octubre 10'!E72+'Octubre 10'!E51+'Noviembre 10'!E51+'Dec 10'!E51+'Ene 11'!E51+'Feb 11'!E51+'Mar 11'!E51+'Apr 11'!E51+'May 11'!E51+'Jun 11'!E51+'Jul 11'!E51+'Ago 11'!E51+'Sep 11'!E51)</f>
        <v>19054400</v>
      </c>
      <c r="E51" s="121">
        <f t="shared" ref="E51:E58" si="7">D51/B51</f>
        <v>3636.4515410795511</v>
      </c>
      <c r="F51" s="122">
        <f t="shared" si="1"/>
        <v>1733.4394687165957</v>
      </c>
    </row>
    <row r="52" spans="1:6" ht="16.5" thickBot="1" x14ac:dyDescent="0.3">
      <c r="A52" s="117" t="s">
        <v>52</v>
      </c>
      <c r="B52" s="148">
        <f>('Octubre 10'!C52+'Noviembre 10'!C52+'Dec 10'!C52+'Ene 11'!C52+'Feb 11'!C52+'Mar 11'!C52+'Apr 11'!C52+'May 11'!C52+'Jun 11'!C52+'Jul 11'!C52+'Ago 11'!C52+'Sep 11'!C52)/12</f>
        <v>7241.75</v>
      </c>
      <c r="C52" s="136">
        <f>('Octubre 10'!D52+'Noviembre 10'!D52+'Dec 10'!D52+'Ene 11'!D52+'Feb 11'!D52+'Mar 11'!D52+'Apr 11'!D52+'May 11'!D52+'Jun 11'!D52+'Jul 11'!D52+'Ago 11'!D52+'Sep 11'!D52)/12</f>
        <v>17468.916666666668</v>
      </c>
      <c r="D52" s="147">
        <f>AVERAGE('Octubre 10'!E52+'Octubre 10'!E62+'Octubre 10'!E73+'Octubre 10'!E52+'Noviembre 10'!E52+'Dec 10'!E52+'Ene 11'!E52+'Feb 11'!E52+'Mar 11'!E52+'Apr 11'!E52+'May 11'!E52+'Jun 11'!E52+'Jul 11'!E52+'Ago 11'!E52+'Sep 11'!E52)</f>
        <v>29367681</v>
      </c>
      <c r="E52" s="121">
        <f t="shared" si="7"/>
        <v>4055.3293057617288</v>
      </c>
      <c r="F52" s="122">
        <f t="shared" si="1"/>
        <v>1681.1392234778916</v>
      </c>
    </row>
    <row r="53" spans="1:6" ht="16.5" thickBot="1" x14ac:dyDescent="0.3">
      <c r="A53" s="117" t="s">
        <v>53</v>
      </c>
      <c r="B53" s="148">
        <f>('Octubre 10'!C53+'Noviembre 10'!C53+'Dec 10'!C53+'Ene 11'!C53+'Feb 11'!C53+'Mar 11'!C53+'Apr 11'!C53+'May 11'!C53+'Jun 11'!C53+'Jul 11'!C53+'Ago 11'!C53+'Sep 11'!C53)/12</f>
        <v>21299</v>
      </c>
      <c r="C53" s="136">
        <f>('Octubre 10'!D53+'Noviembre 10'!D53+'Dec 10'!D53+'Ene 11'!D53+'Feb 11'!D53+'Mar 11'!D53+'Apr 11'!D53+'May 11'!D53+'Jun 11'!D53+'Jul 11'!D53+'Ago 11'!D53+'Sep 11'!D53)/12</f>
        <v>43301.833333333336</v>
      </c>
      <c r="D53" s="147">
        <f>AVERAGE('Octubre 10'!E53+'Octubre 10'!E63+'Octubre 10'!E74+'Octubre 10'!E53+'Noviembre 10'!E53+'Dec 10'!E53+'Ene 11'!E53+'Feb 11'!E53+'Mar 11'!E53+'Apr 11'!E53+'May 11'!E53+'Jun 11'!E53+'Jul 11'!E53+'Ago 11'!E53+'Sep 11'!E53)</f>
        <v>67933551</v>
      </c>
      <c r="E53" s="121">
        <f t="shared" si="7"/>
        <v>3189.5183341940938</v>
      </c>
      <c r="F53" s="122">
        <f t="shared" si="1"/>
        <v>1568.8377551373883</v>
      </c>
    </row>
    <row r="54" spans="1:6" ht="16.5" thickBot="1" x14ac:dyDescent="0.3">
      <c r="A54" s="117" t="s">
        <v>54</v>
      </c>
      <c r="B54" s="148">
        <f>('Octubre 10'!C54+'Noviembre 10'!C54+'Dec 10'!C54+'Ene 11'!C54+'Feb 11'!C54+'Mar 11'!C54+'Apr 11'!C54+'May 11'!C54+'Jun 11'!C54+'Jul 11'!C54+'Ago 11'!C54+'Sep 11'!C54)/12</f>
        <v>6928.333333333333</v>
      </c>
      <c r="C54" s="136">
        <f>('Octubre 10'!D54+'Noviembre 10'!D54+'Dec 10'!D54+'Ene 11'!D54+'Feb 11'!D54+'Mar 11'!D54+'Apr 11'!D54+'May 11'!D54+'Jun 11'!D54+'Jul 11'!D54+'Ago 11'!D54+'Sep 11'!D54)/12</f>
        <v>14920.916666666666</v>
      </c>
      <c r="D54" s="147">
        <f>AVERAGE('Octubre 10'!E54+'Octubre 10'!E64+'Octubre 10'!E75+'Octubre 10'!E54+'Noviembre 10'!E54+'Dec 10'!E54+'Ene 11'!E54+'Feb 11'!E54+'Mar 11'!E54+'Apr 11'!E54+'May 11'!E54+'Jun 11'!E54+'Jul 11'!E54+'Ago 11'!E54+'Sep 11'!E54)</f>
        <v>23858859</v>
      </c>
      <c r="E54" s="121">
        <f t="shared" si="7"/>
        <v>3443.6649987972096</v>
      </c>
      <c r="F54" s="122">
        <f t="shared" si="1"/>
        <v>1599.0209940184641</v>
      </c>
    </row>
    <row r="55" spans="1:6" ht="16.5" thickBot="1" x14ac:dyDescent="0.3">
      <c r="A55" s="117" t="s">
        <v>55</v>
      </c>
      <c r="B55" s="148">
        <f>('Octubre 10'!C55+'Noviembre 10'!C55+'Dec 10'!C55+'Ene 11'!C55+'Feb 11'!C55+'Mar 11'!C55+'Apr 11'!C55+'May 11'!C55+'Jun 11'!C55+'Jul 11'!C55+'Ago 11'!C55+'Sep 11'!C55)/12</f>
        <v>5365.416666666667</v>
      </c>
      <c r="C55" s="136">
        <f>('Octubre 10'!D55+'Noviembre 10'!D55+'Dec 10'!D55+'Ene 11'!D55+'Feb 11'!D55+'Mar 11'!D55+'Apr 11'!D55+'May 11'!D55+'Jun 11'!D55+'Jul 11'!D55+'Ago 11'!D55+'Sep 11'!D55)/12</f>
        <v>10980.083333333334</v>
      </c>
      <c r="D55" s="147">
        <f>AVERAGE('Octubre 10'!E55+'Octubre 10'!E65+'Octubre 10'!E76+'Octubre 10'!E55+'Noviembre 10'!E55+'Dec 10'!E55+'Ene 11'!E55+'Feb 11'!E55+'Mar 11'!E55+'Apr 11'!E55+'May 11'!E55+'Jun 11'!E55+'Jul 11'!E55+'Ago 11'!E55+'Sep 11'!E55)</f>
        <v>18713330</v>
      </c>
      <c r="E55" s="121">
        <f t="shared" si="7"/>
        <v>3487.7682690067559</v>
      </c>
      <c r="F55" s="122">
        <f t="shared" si="1"/>
        <v>1704.2976297994094</v>
      </c>
    </row>
    <row r="56" spans="1:6" ht="16.5" thickBot="1" x14ac:dyDescent="0.3">
      <c r="A56" s="117" t="s">
        <v>56</v>
      </c>
      <c r="B56" s="148">
        <f>('Octubre 10'!C56+'Noviembre 10'!C56+'Dec 10'!C56+'Ene 11'!C56+'Feb 11'!C56+'Mar 11'!C56+'Apr 11'!C56+'May 11'!C56+'Jun 11'!C56+'Jul 11'!C56+'Ago 11'!C56+'Sep 11'!C56)/12</f>
        <v>5469.666666666667</v>
      </c>
      <c r="C56" s="136">
        <f>('Octubre 10'!D56+'Noviembre 10'!D56+'Dec 10'!D56+'Ene 11'!D56+'Feb 11'!D56+'Mar 11'!D56+'Apr 11'!D56+'May 11'!D56+'Jun 11'!D56+'Jul 11'!D56+'Ago 11'!D56+'Sep 11'!D56)/12</f>
        <v>11287.083333333334</v>
      </c>
      <c r="D56" s="147">
        <f>AVERAGE('Octubre 10'!E56+'Octubre 10'!E66+'Octubre 10'!E77+'Octubre 10'!E56+'Noviembre 10'!E56+'Dec 10'!E56+'Ene 11'!E56+'Feb 11'!E56+'Mar 11'!E56+'Apr 11'!E56+'May 11'!E56+'Jun 11'!E56+'Jul 11'!E56+'Ago 11'!E56+'Sep 11'!E56)</f>
        <v>19005993</v>
      </c>
      <c r="E56" s="121">
        <f t="shared" si="7"/>
        <v>3474.7991346212443</v>
      </c>
      <c r="F56" s="122">
        <f t="shared" si="1"/>
        <v>1683.8710620547085</v>
      </c>
    </row>
    <row r="57" spans="1:6" ht="16.5" thickBot="1" x14ac:dyDescent="0.3">
      <c r="A57" s="117" t="s">
        <v>57</v>
      </c>
      <c r="B57" s="149">
        <f>('Octubre 10'!C57+'Noviembre 10'!C57+'Dec 10'!C57+'Ene 11'!C57+'Feb 11'!C57+'Mar 11'!C57+'Apr 11'!C57+'May 11'!C57+'Jun 11'!C57+'Jul 11'!C57+'Ago 11'!C57+'Sep 11'!C57)/12</f>
        <v>7713.25</v>
      </c>
      <c r="C57" s="150">
        <f>('Octubre 10'!D57+'Noviembre 10'!D57+'Dec 10'!D57+'Ene 11'!D57+'Feb 11'!D57+'Mar 11'!D57+'Apr 11'!D57+'May 11'!D57+'Jun 11'!D57+'Jul 11'!D57+'Ago 11'!D57+'Sep 11'!D57)/12</f>
        <v>15531.416666666666</v>
      </c>
      <c r="D57" s="147">
        <f>AVERAGE('Octubre 10'!E57+'Octubre 10'!E67+'Octubre 10'!E78+'Octubre 10'!E57+'Noviembre 10'!E57+'Dec 10'!E57+'Ene 11'!E57+'Feb 11'!E57+'Mar 11'!E57+'Apr 11'!E57+'May 11'!E57+'Jun 11'!E57+'Jul 11'!E57+'Ago 11'!E57+'Sep 11'!E57)</f>
        <v>30560368</v>
      </c>
      <c r="E57" s="121">
        <f t="shared" si="7"/>
        <v>3962.061128577448</v>
      </c>
      <c r="F57" s="122">
        <f t="shared" si="1"/>
        <v>1967.648454476679</v>
      </c>
    </row>
    <row r="58" spans="1:6" ht="16.5" thickBot="1" x14ac:dyDescent="0.3">
      <c r="A58" s="125" t="s">
        <v>49</v>
      </c>
      <c r="B58" s="138">
        <f>SUM(B51:B57)</f>
        <v>59257.249999999993</v>
      </c>
      <c r="C58" s="138">
        <f t="shared" ref="C58" si="8">SUM(C51:C57)</f>
        <v>124482.5</v>
      </c>
      <c r="D58" s="138">
        <f>SUM(D51:D57)</f>
        <v>208494182</v>
      </c>
      <c r="E58" s="121">
        <f t="shared" si="7"/>
        <v>3518.4586189875504</v>
      </c>
      <c r="F58" s="122">
        <f t="shared" si="1"/>
        <v>1674.8874902094672</v>
      </c>
    </row>
    <row r="59" spans="1:6" ht="16.5" thickBot="1" x14ac:dyDescent="0.3">
      <c r="A59" s="142"/>
      <c r="B59" s="143"/>
      <c r="C59" s="143"/>
      <c r="D59" s="144"/>
      <c r="F59" s="122"/>
    </row>
    <row r="60" spans="1:6" ht="16.5" thickBot="1" x14ac:dyDescent="0.3">
      <c r="A60" s="125" t="s">
        <v>58</v>
      </c>
      <c r="B60" s="140"/>
      <c r="C60" s="151"/>
      <c r="D60" s="152"/>
      <c r="F60" s="122"/>
    </row>
    <row r="61" spans="1:6" ht="16.5" thickBot="1" x14ac:dyDescent="0.3">
      <c r="A61" s="117" t="s">
        <v>59</v>
      </c>
      <c r="B61" s="136">
        <f>('Octubre 10'!C61+'Noviembre 10'!C61+'Dec 10'!C61+'Ene 11'!C61+'Feb 11'!C61+'Mar 11'!C61+'Apr 11'!C61+'May 11'!C61+'Jun 11'!C61+'Jul 11'!C61+'Ago 11'!C61+'Sep 11'!C61)/12</f>
        <v>8617.6666666666661</v>
      </c>
      <c r="C61" s="136">
        <f>('Octubre 10'!D61+'Noviembre 10'!D61+'Dec 10'!D61+'Ene 11'!D61+'Feb 11'!D61+'Mar 11'!D61+'Apr 11'!D61+'May 11'!D61+'Jun 11'!D61+'Jul 11'!D61+'Ago 11'!D61+'Sep 11'!D61)/12</f>
        <v>18436.25</v>
      </c>
      <c r="D61" s="136">
        <f>AVERAGE('Octubre 10'!E61+'Noviembre 10'!E61+'Dec 10'!E61+'Ene 11'!E61+'Feb 11'!E61+'Mar 11'!E61+'Apr 11'!E61+'May 11'!E61+'Jun 11'!E61+'Jul 11'!E61+'Ago 11'!E61+'Sep 11'!E61)</f>
        <v>25207855</v>
      </c>
      <c r="E61" s="121">
        <f t="shared" ref="E61:E67" si="9">D61/B61</f>
        <v>2925.1369280160911</v>
      </c>
      <c r="F61" s="122">
        <f t="shared" si="1"/>
        <v>1367.2983931113974</v>
      </c>
    </row>
    <row r="62" spans="1:6" ht="16.5" thickBot="1" x14ac:dyDescent="0.3">
      <c r="A62" s="117" t="s">
        <v>60</v>
      </c>
      <c r="B62" s="136">
        <f>('Octubre 10'!C62+'Noviembre 10'!C62+'Dec 10'!C62+'Ene 11'!C62+'Feb 11'!C62+'Mar 11'!C62+'Apr 11'!C62+'May 11'!C62+'Jun 11'!C62+'Jul 11'!C62+'Ago 11'!C62+'Sep 11'!C62)/12</f>
        <v>9416.1666666666661</v>
      </c>
      <c r="C62" s="136">
        <f>('Octubre 10'!D62+'Noviembre 10'!D62+'Dec 10'!D62+'Ene 11'!D62+'Feb 11'!D62+'Mar 11'!D62+'Apr 11'!D62+'May 11'!D62+'Jun 11'!D62+'Jul 11'!D62+'Ago 11'!D62+'Sep 11'!D62)/12</f>
        <v>19732.916666666668</v>
      </c>
      <c r="D62" s="136">
        <f>AVERAGE('Octubre 10'!E62+'Noviembre 10'!E62+'Dec 10'!E62+'Ene 11'!E62+'Feb 11'!E62+'Mar 11'!E62+'Apr 11'!E62+'May 11'!E62+'Jun 11'!E62+'Jul 11'!E62+'Ago 11'!E62+'Sep 11'!E62)</f>
        <v>27087571</v>
      </c>
      <c r="E62" s="121">
        <f t="shared" si="9"/>
        <v>2876.7089579977701</v>
      </c>
      <c r="F62" s="122">
        <f t="shared" si="1"/>
        <v>1372.7099474228762</v>
      </c>
    </row>
    <row r="63" spans="1:6" ht="16.5" thickBot="1" x14ac:dyDescent="0.3">
      <c r="A63" s="117" t="s">
        <v>61</v>
      </c>
      <c r="B63" s="136">
        <f>('Octubre 10'!C63+'Noviembre 10'!C63+'Dec 10'!C63+'Ene 11'!C63+'Feb 11'!C63+'Mar 11'!C63+'Apr 11'!C63+'May 11'!C63+'Jun 11'!C63+'Jul 11'!C63+'Ago 11'!C63+'Sep 11'!C63)/12</f>
        <v>11198.916666666666</v>
      </c>
      <c r="C63" s="136">
        <f>('Octubre 10'!D63+'Noviembre 10'!D63+'Dec 10'!D63+'Ene 11'!D63+'Feb 11'!D63+'Mar 11'!D63+'Apr 11'!D63+'May 11'!D63+'Jun 11'!D63+'Jul 11'!D63+'Ago 11'!D63+'Sep 11'!D63)/12</f>
        <v>22715.25</v>
      </c>
      <c r="D63" s="136">
        <f>AVERAGE('Octubre 10'!E63+'Noviembre 10'!E63+'Dec 10'!E63+'Ene 11'!E63+'Feb 11'!E63+'Mar 11'!E63+'Apr 11'!E63+'May 11'!E63+'Jun 11'!E63+'Jul 11'!E63+'Ago 11'!E63+'Sep 11'!E63)</f>
        <v>31135682</v>
      </c>
      <c r="E63" s="121">
        <f t="shared" si="9"/>
        <v>2780.240529217856</v>
      </c>
      <c r="F63" s="122">
        <f t="shared" si="1"/>
        <v>1370.6951057109211</v>
      </c>
    </row>
    <row r="64" spans="1:6" ht="16.5" thickBot="1" x14ac:dyDescent="0.3">
      <c r="A64" s="117" t="s">
        <v>62</v>
      </c>
      <c r="B64" s="136">
        <f>('Octubre 10'!C64+'Noviembre 10'!C64+'Dec 10'!C64+'Ene 11'!C64+'Feb 11'!C64+'Mar 11'!C64+'Apr 11'!C64+'May 11'!C64+'Jun 11'!C64+'Jul 11'!C64+'Ago 11'!C64+'Sep 11'!C64)/12</f>
        <v>5121.333333333333</v>
      </c>
      <c r="C64" s="136">
        <f>('Octubre 10'!D64+'Noviembre 10'!D64+'Dec 10'!D64+'Ene 11'!D64+'Feb 11'!D64+'Mar 11'!D64+'Apr 11'!D64+'May 11'!D64+'Jun 11'!D64+'Jul 11'!D64+'Ago 11'!D64+'Sep 11'!D64)/12</f>
        <v>11486.333333333334</v>
      </c>
      <c r="D64" s="136">
        <f>AVERAGE('Octubre 10'!E64+'Noviembre 10'!E64+'Dec 10'!E64+'Ene 11'!E64+'Feb 11'!E64+'Mar 11'!E64+'Apr 11'!E64+'May 11'!E64+'Jun 11'!E64+'Jul 11'!E64+'Ago 11'!E64+'Sep 11'!E64)</f>
        <v>15905442</v>
      </c>
      <c r="E64" s="121">
        <f t="shared" si="9"/>
        <v>3105.722858630565</v>
      </c>
      <c r="F64" s="122">
        <f t="shared" si="1"/>
        <v>1384.7275312690442</v>
      </c>
    </row>
    <row r="65" spans="1:6" ht="16.5" thickBot="1" x14ac:dyDescent="0.3">
      <c r="A65" s="117" t="s">
        <v>63</v>
      </c>
      <c r="B65" s="136">
        <f>('Octubre 10'!C65+'Noviembre 10'!C65+'Dec 10'!C65+'Ene 11'!C65+'Feb 11'!C65+'Mar 11'!C65+'Apr 11'!C65+'May 11'!C65+'Jun 11'!C65+'Jul 11'!C65+'Ago 11'!C65+'Sep 11'!C65)/12</f>
        <v>3862.6666666666665</v>
      </c>
      <c r="C65" s="136">
        <f>('Octubre 10'!D65+'Noviembre 10'!D65+'Dec 10'!D65+'Ene 11'!D65+'Feb 11'!D65+'Mar 11'!D65+'Apr 11'!D65+'May 11'!D65+'Jun 11'!D65+'Jul 11'!D65+'Ago 11'!D65+'Sep 11'!D65)/12</f>
        <v>8046.833333333333</v>
      </c>
      <c r="D65" s="136">
        <f>AVERAGE('Octubre 10'!E65+'Noviembre 10'!E65+'Dec 10'!E65+'Ene 11'!E65+'Feb 11'!E65+'Mar 11'!E65+'Apr 11'!E65+'May 11'!E65+'Jun 11'!E65+'Jul 11'!E65+'Ago 11'!E65+'Sep 11'!E65)</f>
        <v>10972248</v>
      </c>
      <c r="E65" s="121">
        <f t="shared" si="9"/>
        <v>2840.5888850535039</v>
      </c>
      <c r="F65" s="122">
        <f t="shared" si="1"/>
        <v>1363.5485594747418</v>
      </c>
    </row>
    <row r="66" spans="1:6" ht="16.5" thickBot="1" x14ac:dyDescent="0.3">
      <c r="A66" s="117" t="s">
        <v>64</v>
      </c>
      <c r="B66" s="136">
        <f>('Octubre 10'!C66+'Noviembre 10'!C66+'Dec 10'!C66+'Ene 11'!C66+'Feb 11'!C66+'Mar 11'!C66+'Apr 11'!C66+'May 11'!C66+'Jun 11'!C66+'Jul 11'!C66+'Ago 11'!C66+'Sep 11'!C66)/12</f>
        <v>9266.3333333333339</v>
      </c>
      <c r="C66" s="136">
        <f>('Octubre 10'!D66+'Noviembre 10'!D66+'Dec 10'!D66+'Ene 11'!D66+'Feb 11'!D66+'Mar 11'!D66+'Apr 11'!D66+'May 11'!D66+'Jun 11'!D66+'Jul 11'!D66+'Ago 11'!D66+'Sep 11'!D66)/12</f>
        <v>19497.5</v>
      </c>
      <c r="D66" s="136">
        <f>AVERAGE('Octubre 10'!E66+'Noviembre 10'!E66+'Dec 10'!E66+'Ene 11'!E66+'Feb 11'!E66+'Mar 11'!E66+'Apr 11'!E66+'May 11'!E66+'Jun 11'!E66+'Jul 11'!E66+'Ago 11'!E66+'Sep 11'!E66)</f>
        <v>26584226</v>
      </c>
      <c r="E66" s="121">
        <f t="shared" si="9"/>
        <v>2868.9045649124068</v>
      </c>
      <c r="F66" s="122">
        <f t="shared" si="1"/>
        <v>1363.4684446723938</v>
      </c>
    </row>
    <row r="67" spans="1:6" ht="16.5" thickBot="1" x14ac:dyDescent="0.3">
      <c r="A67" s="117" t="s">
        <v>66</v>
      </c>
      <c r="B67" s="136">
        <f>('Octubre 10'!C67+'Noviembre 10'!C67+'Dec 10'!C67+'Ene 11'!C67+'Feb 11'!C67+'Mar 11'!C67+'Apr 11'!C67+'May 11'!C67+'Jun 11'!C67+'Jul 11'!C67+'Ago 11'!C67+'Sep 11'!C67)/12</f>
        <v>7982.916666666667</v>
      </c>
      <c r="C67" s="136">
        <f>('Octubre 10'!D67+'Noviembre 10'!D67+'Dec 10'!D67+'Ene 11'!D67+'Feb 11'!D67+'Mar 11'!D67+'Apr 11'!D67+'May 11'!D67+'Jun 11'!D67+'Jul 11'!D67+'Ago 11'!D67+'Sep 11'!D67)/12</f>
        <v>16335.916666666666</v>
      </c>
      <c r="D67" s="136">
        <f>AVERAGE('Octubre 10'!E67+'Noviembre 10'!E67+'Dec 10'!E67+'Ene 11'!E67+'Feb 11'!E67+'Mar 11'!E67+'Apr 11'!E67+'May 11'!E67+'Jun 11'!E67+'Jul 11'!E67+'Ago 11'!E67+'Sep 11'!E67)</f>
        <v>20720712</v>
      </c>
      <c r="E67" s="121">
        <f t="shared" si="9"/>
        <v>2595.6317553108197</v>
      </c>
      <c r="F67" s="122">
        <f t="shared" si="1"/>
        <v>1268.4144038442901</v>
      </c>
    </row>
    <row r="68" spans="1:6" ht="16.5" thickBot="1" x14ac:dyDescent="0.3">
      <c r="A68" s="125" t="s">
        <v>49</v>
      </c>
      <c r="B68" s="138">
        <f>SUM(B61:B67)</f>
        <v>55466</v>
      </c>
      <c r="C68" s="138">
        <f>SUM(C61:C67)</f>
        <v>116251</v>
      </c>
      <c r="D68" s="138">
        <f>SUM(D61:D67)</f>
        <v>157613736</v>
      </c>
      <c r="E68" s="121">
        <f>D68/B68</f>
        <v>2841.6279522590416</v>
      </c>
      <c r="F68" s="122">
        <f>D68/C68</f>
        <v>1355.8054210286364</v>
      </c>
    </row>
    <row r="69" spans="1:6" ht="16.5" thickBot="1" x14ac:dyDescent="0.3">
      <c r="A69" s="142"/>
      <c r="B69" s="143"/>
      <c r="C69" s="143"/>
      <c r="D69" s="144"/>
      <c r="E69" s="121"/>
      <c r="F69" s="122"/>
    </row>
    <row r="70" spans="1:6" ht="16.5" thickBot="1" x14ac:dyDescent="0.3">
      <c r="A70" s="112" t="s">
        <v>67</v>
      </c>
      <c r="B70" s="140"/>
      <c r="C70" s="151"/>
      <c r="D70" s="152"/>
      <c r="E70" s="121"/>
      <c r="F70" s="122"/>
    </row>
    <row r="71" spans="1:6" ht="16.5" thickBot="1" x14ac:dyDescent="0.3">
      <c r="A71" s="117" t="s">
        <v>68</v>
      </c>
      <c r="B71" s="145">
        <f>SUM('Octubre 10'!C72+'Noviembre 10'!C72+'Dec 10'!C71+'Ene 11'!C71+'Feb 11'!C71+'Mar 11'!C71+'Apr 11'!C71+'May 11'!C71+'Jun 11'!C71+'Jul 11'!C71+'Ago 11'!C71+'Sep 11'!C71)/12</f>
        <v>3966.5</v>
      </c>
      <c r="C71" s="146">
        <f>SUM('Octubre 10'!D72+'Noviembre 10'!D72+'Dec 10'!D71+'Ene 11'!D71+'Feb 11'!D71+'Mar 11'!D71+'Apr 11'!D71+'May 11'!D71+'Jun 11'!D71+'Jul 11'!D71+'Ago 11'!D71+'Sep 11'!D71)/12</f>
        <v>8541</v>
      </c>
      <c r="D71" s="147">
        <f>AVERAGE('Octubre 10'!E72+'Noviembre 10'!E72+'Dec 10'!E71+'Ene 11'!E71+'Feb 11'!E71+'Mar 11'!E71+'Apr 11'!E71+'May 11'!E71+'Jun 11'!E71+'Jul 11'!E71+'Ago 11'!E71+'Sep 11'!E71)</f>
        <v>11644183</v>
      </c>
      <c r="E71" s="121">
        <f t="shared" ref="E71:E77" si="10">D71/B71</f>
        <v>2935.6316651960165</v>
      </c>
      <c r="F71" s="122">
        <f t="shared" si="1"/>
        <v>1363.3278304648168</v>
      </c>
    </row>
    <row r="72" spans="1:6" ht="16.5" thickBot="1" x14ac:dyDescent="0.3">
      <c r="A72" s="117" t="s">
        <v>69</v>
      </c>
      <c r="B72" s="148">
        <f>SUM('Octubre 10'!C73+'Noviembre 10'!C73+'Dec 10'!C72+'Ene 11'!C72+'Feb 11'!C72+'Mar 11'!C72+'Apr 11'!C72+'May 11'!C72+'Jun 11'!C72+'Jul 11'!C72+'Ago 11'!C72+'Sep 11'!C72)/12</f>
        <v>6909.916666666667</v>
      </c>
      <c r="C72" s="136">
        <f>SUM('Octubre 10'!D73+'Noviembre 10'!D73+'Dec 10'!D72+'Ene 11'!D72+'Feb 11'!D72+'Mar 11'!D72+'Apr 11'!D72+'May 11'!D72+'Jun 11'!D72+'Jul 11'!D72+'Ago 11'!D72+'Sep 11'!D72)/12</f>
        <v>13552.666666666666</v>
      </c>
      <c r="D72" s="147">
        <f>AVERAGE('Octubre 10'!E73+'Noviembre 10'!E73+'Dec 10'!E72+'Ene 11'!E72+'Feb 11'!E72+'Mar 11'!E72+'Apr 11'!E72+'May 11'!E72+'Jun 11'!E72+'Jul 11'!E72+'Ago 11'!E72+'Sep 11'!E72)</f>
        <v>18419246</v>
      </c>
      <c r="E72" s="121">
        <f t="shared" si="10"/>
        <v>2665.6249110577792</v>
      </c>
      <c r="F72" s="122">
        <f t="shared" ref="F72:F133" si="11">D72/C72</f>
        <v>1359.0864774460131</v>
      </c>
    </row>
    <row r="73" spans="1:6" ht="16.5" thickBot="1" x14ac:dyDescent="0.3">
      <c r="A73" s="117" t="s">
        <v>67</v>
      </c>
      <c r="B73" s="148">
        <f>SUM('Octubre 10'!C74+'Noviembre 10'!C74+'Dec 10'!C73+'Ene 11'!C73+'Feb 11'!C73+'Mar 11'!C73+'Apr 11'!C73+'May 11'!C73+'Jun 11'!C73+'Jul 11'!C73+'Ago 11'!C73+'Sep 11'!C73)/12</f>
        <v>8049.583333333333</v>
      </c>
      <c r="C73" s="136">
        <f>SUM('Octubre 10'!D74+'Noviembre 10'!D74+'Dec 10'!D73+'Ene 11'!D73+'Feb 11'!D73+'Mar 11'!D73+'Apr 11'!D73+'May 11'!D73+'Jun 11'!D73+'Jul 11'!D73+'Ago 11'!D73+'Sep 11'!D73)/12</f>
        <v>16996.916666666668</v>
      </c>
      <c r="D73" s="147">
        <f>AVERAGE('Octubre 10'!E74+'Noviembre 10'!E74+'Dec 10'!E73+'Ene 11'!E73+'Feb 11'!E73+'Mar 11'!E73+'Apr 11'!E73+'May 11'!E73+'Jun 11'!E73+'Jul 11'!E73+'Ago 11'!E73+'Sep 11'!E73)</f>
        <v>23172290</v>
      </c>
      <c r="E73" s="121">
        <f t="shared" si="10"/>
        <v>2878.6943423572648</v>
      </c>
      <c r="F73" s="122">
        <f t="shared" si="11"/>
        <v>1363.3231517481111</v>
      </c>
    </row>
    <row r="74" spans="1:6" ht="16.5" thickBot="1" x14ac:dyDescent="0.3">
      <c r="A74" s="117" t="s">
        <v>70</v>
      </c>
      <c r="B74" s="148">
        <f>SUM('Octubre 10'!C75+'Noviembre 10'!C75+'Dec 10'!C74+'Ene 11'!C74+'Feb 11'!C74+'Mar 11'!C74+'Apr 11'!C74+'May 11'!C74+'Jun 11'!C74+'Jul 11'!C74+'Ago 11'!C74+'Sep 11'!C74)/12</f>
        <v>4250.583333333333</v>
      </c>
      <c r="C74" s="136">
        <f>SUM('Octubre 10'!D75+'Noviembre 10'!D75+'Dec 10'!D74+'Ene 11'!D74+'Feb 11'!D74+'Mar 11'!D74+'Apr 11'!D74+'May 11'!D74+'Jun 11'!D74+'Jul 11'!D74+'Ago 11'!D74+'Sep 11'!D74)/12</f>
        <v>8744.5833333333339</v>
      </c>
      <c r="D74" s="147">
        <f>AVERAGE('Octubre 10'!E75+'Noviembre 10'!E75+'Dec 10'!E74+'Ene 11'!E74+'Feb 11'!E74+'Mar 11'!E74+'Apr 11'!E74+'May 11'!E74+'Jun 11'!E74+'Jul 11'!E74+'Ago 11'!E74+'Sep 11'!E74)</f>
        <v>11962267</v>
      </c>
      <c r="E74" s="121">
        <f t="shared" si="10"/>
        <v>2814.2647871860727</v>
      </c>
      <c r="F74" s="122">
        <f t="shared" si="11"/>
        <v>1367.9630628484299</v>
      </c>
    </row>
    <row r="75" spans="1:6" ht="16.5" thickBot="1" x14ac:dyDescent="0.3">
      <c r="A75" s="117" t="s">
        <v>71</v>
      </c>
      <c r="B75" s="148">
        <f>SUM('Octubre 10'!C76+'Noviembre 10'!C76+'Dec 10'!C75+'Ene 11'!C75+'Feb 11'!C75+'Mar 11'!C75+'Apr 11'!C75+'May 11'!C75+'Jun 11'!C75+'Jul 11'!C75+'Ago 11'!C75+'Sep 11'!C75)/12</f>
        <v>6171.166666666667</v>
      </c>
      <c r="C75" s="136">
        <f>SUM('Octubre 10'!D76+'Noviembre 10'!D76+'Dec 10'!D75+'Ene 11'!D75+'Feb 11'!D75+'Mar 11'!D75+'Apr 11'!D75+'May 11'!D75+'Jun 11'!D75+'Jul 11'!D75+'Ago 11'!D75+'Sep 11'!D75)/12</f>
        <v>12941.416666666666</v>
      </c>
      <c r="D75" s="147">
        <f>AVERAGE('Octubre 10'!E76+'Noviembre 10'!E76+'Dec 10'!E75+'Ene 11'!E75+'Feb 11'!E75+'Mar 11'!E75+'Apr 11'!E75+'May 11'!E75+'Jun 11'!E75+'Jul 11'!E75+'Ago 11'!E75+'Sep 11'!E75)</f>
        <v>17637109</v>
      </c>
      <c r="E75" s="121">
        <f t="shared" si="10"/>
        <v>2857.9861722526803</v>
      </c>
      <c r="F75" s="122">
        <f t="shared" si="11"/>
        <v>1362.8422184588242</v>
      </c>
    </row>
    <row r="76" spans="1:6" ht="16.5" thickBot="1" x14ac:dyDescent="0.3">
      <c r="A76" s="117" t="s">
        <v>72</v>
      </c>
      <c r="B76" s="149">
        <f>SUM('Octubre 10'!C77+'Noviembre 10'!C77+'Dec 10'!C76+'Ene 11'!C76+'Feb 11'!C76+'Mar 11'!C76+'Apr 11'!C76+'May 11'!C76+'Jun 11'!C76+'Jul 11'!C76+'Ago 11'!C76+'Sep 11'!C76)/12</f>
        <v>3956.9166666666665</v>
      </c>
      <c r="C76" s="150">
        <f>SUM('Octubre 10'!D77+'Noviembre 10'!D77+'Dec 10'!D76+'Ene 11'!D76+'Feb 11'!D76+'Mar 11'!D76+'Apr 11'!D76+'May 11'!D76+'Jun 11'!D76+'Jul 11'!D76+'Ago 11'!D76+'Sep 11'!D76)/12</f>
        <v>8606.5833333333339</v>
      </c>
      <c r="D76" s="147">
        <f>AVERAGE('Octubre 10'!E77+'Noviembre 10'!E77+'Dec 10'!E76+'Ene 11'!E76+'Feb 11'!E76+'Mar 11'!E76+'Apr 11'!E76+'May 11'!E76+'Jun 11'!E76+'Jul 11'!E76+'Ago 11'!E76+'Sep 11'!E76)</f>
        <v>11558233</v>
      </c>
      <c r="E76" s="121">
        <f t="shared" si="10"/>
        <v>2921.0200703409641</v>
      </c>
      <c r="F76" s="122">
        <f t="shared" si="11"/>
        <v>1342.952546016131</v>
      </c>
    </row>
    <row r="77" spans="1:6" ht="16.5" thickBot="1" x14ac:dyDescent="0.3">
      <c r="A77" s="125" t="s">
        <v>49</v>
      </c>
      <c r="B77" s="138">
        <f>SUM(B71:B76)</f>
        <v>33304.666666666664</v>
      </c>
      <c r="C77" s="138">
        <f t="shared" ref="C77:D77" si="12">SUM(C71:C76)</f>
        <v>69383.166666666657</v>
      </c>
      <c r="D77" s="138">
        <f t="shared" si="12"/>
        <v>94393328</v>
      </c>
      <c r="E77" s="121">
        <f t="shared" si="10"/>
        <v>2834.2372840642956</v>
      </c>
      <c r="F77" s="122">
        <f t="shared" si="11"/>
        <v>1360.4643969838987</v>
      </c>
    </row>
    <row r="78" spans="1:6" ht="16.5" thickBot="1" x14ac:dyDescent="0.3">
      <c r="A78" s="142"/>
      <c r="B78" s="143"/>
      <c r="C78" s="143"/>
      <c r="D78" s="144"/>
      <c r="F78" s="122"/>
    </row>
    <row r="79" spans="1:6" ht="16.5" thickBot="1" x14ac:dyDescent="0.3">
      <c r="A79" s="112" t="s">
        <v>73</v>
      </c>
      <c r="B79" s="140"/>
      <c r="C79" s="151"/>
      <c r="D79" s="152"/>
      <c r="F79" s="122"/>
    </row>
    <row r="80" spans="1:6" ht="16.5" thickBot="1" x14ac:dyDescent="0.3">
      <c r="A80" s="117" t="s">
        <v>74</v>
      </c>
      <c r="B80" s="153">
        <f>SUM('Octubre 10'!C81+'Noviembre 10'!C81+'Dec 10'!C80+'Ene 11'!C80+'Feb 11'!C80+'Mar 11'!C80+'Apr 11'!C80+'May 11'!C80+'Jun 11'!C80+'Jul 11'!C80+'Ago 11'!C80+'Sep 11'!C80)/12</f>
        <v>2406.5</v>
      </c>
      <c r="C80" s="153">
        <f>SUM('Octubre 10'!D81+'Noviembre 10'!D81+'Dec 10'!D80+'Ene 11'!D80+'Feb 11'!D80+'Mar 11'!D80+'Apr 11'!D80+'May 11'!D80+'Jun 11'!D80+'Jul 11'!D80+'Ago 11'!D80+'Sep 11'!D80)/12</f>
        <v>4898.916666666667</v>
      </c>
      <c r="D80" s="118">
        <f>AVERAGE('Octubre 10'!E81+'Noviembre 10'!E81+'Dec 10'!E80+'Ene 11'!E80+'Feb 11'!E80+'Mar 11'!E80+'Apr 11'!E80+'May 11'!E80+'Jun 11'!E80+'Jul 11'!E80+'Ago 11'!E80+'Sep 11'!E80)</f>
        <v>6653092</v>
      </c>
      <c r="E80" s="121">
        <f t="shared" ref="E80:E90" si="13">D80/B80</f>
        <v>2764.6341159360068</v>
      </c>
      <c r="F80" s="122">
        <f t="shared" si="11"/>
        <v>1358.0741320359944</v>
      </c>
    </row>
    <row r="81" spans="1:6" ht="16.5" thickBot="1" x14ac:dyDescent="0.3">
      <c r="A81" s="117" t="s">
        <v>142</v>
      </c>
      <c r="B81" s="153">
        <f>SUM('Octubre 10'!C82+'Noviembre 10'!C82+'Dec 10'!C81+'Ene 11'!C81+'Feb 11'!C81+'Mar 11'!C81+'Apr 11'!C81+'May 11'!C81+'Jun 11'!C81+'Jul 11'!C81+'Ago 11'!C81+'Sep 11'!C81)/12</f>
        <v>245.75</v>
      </c>
      <c r="C81" s="153">
        <f>SUM('Octubre 10'!D82+'Noviembre 10'!D82+'Dec 10'!D81+'Ene 11'!D81+'Feb 11'!D81+'Mar 11'!D81+'Apr 11'!D81+'May 11'!D81+'Jun 11'!D81+'Jul 11'!D81+'Ago 11'!D81+'Sep 11'!D81)/12</f>
        <v>539.16666666666663</v>
      </c>
      <c r="D81" s="118">
        <f>AVERAGE('Octubre 10'!E82+'Noviembre 10'!E82+'Dec 10'!E81+'Ene 11'!E81+'Feb 11'!E81+'Mar 11'!E81+'Apr 11'!E81+'May 11'!E81+'Jun 11'!E81+'Jul 11'!E81+'Ago 11'!E81+'Sep 11'!E81)</f>
        <v>696946</v>
      </c>
      <c r="E81" s="121">
        <f t="shared" si="13"/>
        <v>2835.9959308240082</v>
      </c>
      <c r="F81" s="122">
        <f t="shared" si="11"/>
        <v>1292.6355486862442</v>
      </c>
    </row>
    <row r="82" spans="1:6" ht="16.5" thickBot="1" x14ac:dyDescent="0.3">
      <c r="A82" s="117" t="s">
        <v>76</v>
      </c>
      <c r="B82" s="153">
        <f>SUM('Octubre 10'!C83+'Noviembre 10'!C83+'Dec 10'!C82+'Ene 11'!C82+'Feb 11'!C82+'Mar 11'!C82+'Apr 11'!C82+'May 11'!C82+'Jun 11'!C82+'Jul 11'!C82+'Ago 11'!C82+'Sep 11'!C82)/12</f>
        <v>6721.416666666667</v>
      </c>
      <c r="C82" s="153">
        <f>SUM('Octubre 10'!D83+'Noviembre 10'!D83+'Dec 10'!D82+'Ene 11'!D82+'Feb 11'!D82+'Mar 11'!D82+'Apr 11'!D82+'May 11'!D82+'Jun 11'!D82+'Jul 11'!D82+'Ago 11'!D82+'Sep 11'!D82)/12</f>
        <v>13838.25</v>
      </c>
      <c r="D82" s="118">
        <f>AVERAGE('Octubre 10'!E83+'Noviembre 10'!E83+'Dec 10'!E82+'Ene 11'!E82+'Feb 11'!E82+'Mar 11'!E82+'Apr 11'!E82+'May 11'!E82+'Jun 11'!E82+'Jul 11'!E82+'Ago 11'!E82+'Sep 11'!E82)</f>
        <v>19130511</v>
      </c>
      <c r="E82" s="121">
        <f t="shared" si="13"/>
        <v>2846.2022143149384</v>
      </c>
      <c r="F82" s="122">
        <f t="shared" si="11"/>
        <v>1382.4371578776218</v>
      </c>
    </row>
    <row r="83" spans="1:6" ht="16.5" thickBot="1" x14ac:dyDescent="0.3">
      <c r="A83" s="117" t="s">
        <v>73</v>
      </c>
      <c r="B83" s="153">
        <f>SUM('Octubre 10'!C84+'Noviembre 10'!C84+'Dec 10'!C83+'Ene 11'!C83+'Feb 11'!C83+'Mar 11'!C83+'Apr 11'!C83+'May 11'!C83+'Jun 11'!C83+'Jul 11'!C83+'Ago 11'!C83+'Sep 11'!C83)/12</f>
        <v>11122.583333333334</v>
      </c>
      <c r="C83" s="153">
        <f>SUM('Octubre 10'!D84+'Noviembre 10'!D84+'Dec 10'!D83+'Ene 11'!D83+'Feb 11'!D83+'Mar 11'!D83+'Apr 11'!D83+'May 11'!D83+'Jun 11'!D83+'Jul 11'!D83+'Ago 11'!D83+'Sep 11'!D83)/12</f>
        <v>21986.333333333332</v>
      </c>
      <c r="D83" s="118">
        <f>AVERAGE('Octubre 10'!E84+'Noviembre 10'!E84+'Dec 10'!E83+'Ene 11'!E83+'Feb 11'!E83+'Mar 11'!E83+'Apr 11'!E83+'May 11'!E83+'Jun 11'!E83+'Jul 11'!E83+'Ago 11'!E83+'Sep 11'!E83)</f>
        <v>30376555</v>
      </c>
      <c r="E83" s="121">
        <f t="shared" si="13"/>
        <v>2731.0701201009956</v>
      </c>
      <c r="F83" s="122">
        <f t="shared" si="11"/>
        <v>1381.610773359208</v>
      </c>
    </row>
    <row r="84" spans="1:6" ht="16.5" thickBot="1" x14ac:dyDescent="0.3">
      <c r="A84" s="117" t="s">
        <v>77</v>
      </c>
      <c r="B84" s="153">
        <f>SUM('Octubre 10'!C85+'Noviembre 10'!C85+'Dec 10'!C84+'Ene 11'!C84+'Feb 11'!C84+'Mar 11'!C84+'Apr 11'!C84+'May 11'!C84+'Jun 11'!C84+'Jul 11'!C84+'Ago 11'!C84+'Sep 11'!C84)/12</f>
        <v>8088.583333333333</v>
      </c>
      <c r="C84" s="153">
        <f>SUM('Octubre 10'!D85+'Noviembre 10'!D85+'Dec 10'!D84+'Ene 11'!D84+'Feb 11'!D84+'Mar 11'!D84+'Apr 11'!D84+'May 11'!D84+'Jun 11'!D84+'Jul 11'!D84+'Ago 11'!D84+'Sep 11'!D84)/12</f>
        <v>16968.333333333332</v>
      </c>
      <c r="D84" s="118">
        <f>AVERAGE('Octubre 10'!E85+'Noviembre 10'!E85+'Dec 10'!E84+'Ene 11'!E84+'Feb 11'!E84+'Mar 11'!E84+'Apr 11'!E84+'May 11'!E84+'Jun 11'!E84+'Jul 11'!E84+'Ago 11'!E84+'Sep 11'!E84)</f>
        <v>23474602</v>
      </c>
      <c r="E84" s="121">
        <f t="shared" si="13"/>
        <v>2902.1895469952506</v>
      </c>
      <c r="F84" s="122">
        <f t="shared" si="11"/>
        <v>1383.4359296729203</v>
      </c>
    </row>
    <row r="85" spans="1:6" ht="16.5" thickBot="1" x14ac:dyDescent="0.3">
      <c r="A85" s="117" t="s">
        <v>78</v>
      </c>
      <c r="B85" s="153">
        <f>SUM('Octubre 10'!C86+'Noviembre 10'!C86+'Dec 10'!C85+'Ene 11'!C85+'Feb 11'!C85+'Mar 11'!C85+'Apr 11'!C85+'May 11'!C85+'Jun 11'!C85+'Jul 11'!C85+'Ago 11'!C85+'Sep 11'!C85)/12</f>
        <v>7246.083333333333</v>
      </c>
      <c r="C85" s="153">
        <f>SUM('Octubre 10'!D86+'Noviembre 10'!D86+'Dec 10'!D85+'Ene 11'!D85+'Feb 11'!D85+'Mar 11'!D85+'Apr 11'!D85+'May 11'!D85+'Jun 11'!D85+'Jul 11'!D85+'Ago 11'!D85+'Sep 11'!D85)/12</f>
        <v>14773.75</v>
      </c>
      <c r="D85" s="118">
        <f>AVERAGE('Octubre 10'!E86+'Noviembre 10'!E86+'Dec 10'!E85+'Ene 11'!E85+'Feb 11'!E85+'Mar 11'!E85+'Apr 11'!E85+'May 11'!E85+'Jun 11'!E85+'Jul 11'!E85+'Ago 11'!E85+'Sep 11'!E85)</f>
        <v>20477762</v>
      </c>
      <c r="E85" s="121">
        <f t="shared" si="13"/>
        <v>2826.0456108472395</v>
      </c>
      <c r="F85" s="122">
        <f t="shared" si="11"/>
        <v>1386.0910060072765</v>
      </c>
    </row>
    <row r="86" spans="1:6" ht="16.5" thickBot="1" x14ac:dyDescent="0.3">
      <c r="A86" s="117" t="s">
        <v>79</v>
      </c>
      <c r="B86" s="153">
        <f>SUM('Octubre 10'!C87+'Noviembre 10'!C87+'Dec 10'!C86+'Ene 11'!C86+'Feb 11'!C86+'Mar 11'!C86+'Apr 11'!C86+'May 11'!C86+'Jun 11'!C86+'Jul 11'!C86+'Ago 11'!C86+'Sep 11'!C86)/12</f>
        <v>2878.5</v>
      </c>
      <c r="C86" s="153">
        <f>SUM('Octubre 10'!D87+'Noviembre 10'!D87+'Dec 10'!D86+'Ene 11'!D86+'Feb 11'!D86+'Mar 11'!D86+'Apr 11'!D86+'May 11'!D86+'Jun 11'!D86+'Jul 11'!D86+'Ago 11'!D86+'Sep 11'!D86)/12</f>
        <v>5924</v>
      </c>
      <c r="D86" s="118">
        <f>AVERAGE('Octubre 10'!E87+'Noviembre 10'!E87+'Dec 10'!E86+'Ene 11'!E86+'Feb 11'!E86+'Mar 11'!E86+'Apr 11'!E86+'May 11'!E86+'Jun 11'!E86+'Jul 11'!E86+'Ago 11'!E86+'Sep 11'!E86)</f>
        <v>8080545</v>
      </c>
      <c r="E86" s="121">
        <f t="shared" si="13"/>
        <v>2807.206878582595</v>
      </c>
      <c r="F86" s="122">
        <f t="shared" si="11"/>
        <v>1364.0352802160703</v>
      </c>
    </row>
    <row r="87" spans="1:6" ht="16.5" thickBot="1" x14ac:dyDescent="0.3">
      <c r="A87" s="117" t="s">
        <v>80</v>
      </c>
      <c r="B87" s="153">
        <f>SUM('Octubre 10'!C88+'Noviembre 10'!C88+'Dec 10'!C87+'Ene 11'!C87+'Feb 11'!C87+'Mar 11'!C87+'Apr 11'!C87+'May 11'!C87+'Jun 11'!C87+'Jul 11'!C87+'Ago 11'!C87+'Sep 11'!C87)/12</f>
        <v>5392.416666666667</v>
      </c>
      <c r="C87" s="153">
        <f>SUM('Octubre 10'!D88+'Noviembre 10'!D88+'Dec 10'!D87+'Ene 11'!D87+'Feb 11'!D87+'Mar 11'!D87+'Apr 11'!D87+'May 11'!D87+'Jun 11'!D87+'Jul 11'!D87+'Ago 11'!D87+'Sep 11'!D87)/12</f>
        <v>11332.916666666666</v>
      </c>
      <c r="D87" s="118">
        <f>AVERAGE('Octubre 10'!E88+'Noviembre 10'!E88+'Dec 10'!E87+'Ene 11'!E87+'Feb 11'!E87+'Mar 11'!E87+'Apr 11'!E87+'May 11'!E87+'Jun 11'!E87+'Jul 11'!E87+'Ago 11'!E87+'Sep 11'!E87)</f>
        <v>15553496</v>
      </c>
      <c r="E87" s="121">
        <f t="shared" si="13"/>
        <v>2884.3275587630778</v>
      </c>
      <c r="F87" s="122">
        <f t="shared" si="11"/>
        <v>1372.4177506525975</v>
      </c>
    </row>
    <row r="88" spans="1:6" ht="16.5" thickBot="1" x14ac:dyDescent="0.3">
      <c r="A88" s="117" t="s">
        <v>81</v>
      </c>
      <c r="B88" s="153">
        <f>SUM('Octubre 10'!C89+'Noviembre 10'!C89+'Dec 10'!C88+'Ene 11'!C88+'Feb 11'!C88+'Mar 11'!C88+'Apr 11'!C88+'May 11'!C88+'Jun 11'!C88+'Jul 11'!C88+'Ago 11'!C88+'Sep 11'!C88)/12</f>
        <v>2054.5</v>
      </c>
      <c r="C88" s="153">
        <f>SUM('Octubre 10'!D89+'Noviembre 10'!D89+'Dec 10'!D88+'Ene 11'!D88+'Feb 11'!D88+'Mar 11'!D88+'Apr 11'!D88+'May 11'!D88+'Jun 11'!D88+'Jul 11'!D88+'Ago 11'!D88+'Sep 11'!D88)/12</f>
        <v>4119.916666666667</v>
      </c>
      <c r="D88" s="118">
        <f>AVERAGE('Octubre 10'!E89+'Noviembre 10'!E89+'Dec 10'!E88+'Ene 11'!E88+'Feb 11'!E88+'Mar 11'!E88+'Apr 11'!E88+'May 11'!E88+'Jun 11'!E88+'Jul 11'!E88+'Ago 11'!E88+'Sep 11'!E88)</f>
        <v>5745707</v>
      </c>
      <c r="E88" s="121">
        <f t="shared" si="13"/>
        <v>2796.644925772694</v>
      </c>
      <c r="F88" s="122">
        <f t="shared" si="11"/>
        <v>1394.6172859483402</v>
      </c>
    </row>
    <row r="89" spans="1:6" ht="16.5" thickBot="1" x14ac:dyDescent="0.3">
      <c r="A89" s="117" t="s">
        <v>82</v>
      </c>
      <c r="B89" s="153">
        <f>SUM('Octubre 10'!C90+'Noviembre 10'!C90+'Dec 10'!C89+'Ene 11'!C89+'Feb 11'!C89+'Mar 11'!C89+'Apr 11'!C89+'May 11'!C89+'Jun 11'!C89+'Jul 11'!C89+'Ago 11'!C89+'Sep 11'!C89)/12</f>
        <v>9218.4166666666661</v>
      </c>
      <c r="C89" s="153">
        <f>SUM('Octubre 10'!D90+'Noviembre 10'!D90+'Dec 10'!D89+'Ene 11'!D89+'Feb 11'!D89+'Mar 11'!D89+'Apr 11'!D89+'May 11'!D89+'Jun 11'!D89+'Jul 11'!D89+'Ago 11'!D89+'Sep 11'!D89)/12</f>
        <v>18578.5</v>
      </c>
      <c r="D89" s="118">
        <f>AVERAGE('Octubre 10'!E90+'Noviembre 10'!E90+'Dec 10'!E89+'Ene 11'!E89+'Feb 11'!E89+'Mar 11'!E89+'Apr 11'!E89+'May 11'!E89+'Jun 11'!E89+'Jul 11'!E89+'Ago 11'!E89+'Sep 11'!E89)</f>
        <v>25511451</v>
      </c>
      <c r="E89" s="121">
        <f t="shared" si="13"/>
        <v>2767.4439030563817</v>
      </c>
      <c r="F89" s="122">
        <f t="shared" si="11"/>
        <v>1373.1706542508814</v>
      </c>
    </row>
    <row r="90" spans="1:6" ht="16.5" thickBot="1" x14ac:dyDescent="0.3">
      <c r="A90" s="125" t="s">
        <v>49</v>
      </c>
      <c r="B90" s="154">
        <f>SUM(B80:B89)</f>
        <v>55374.749999999993</v>
      </c>
      <c r="C90" s="154">
        <f t="shared" ref="C90:D90" si="14">SUM(C80:C89)</f>
        <v>112960.08333333334</v>
      </c>
      <c r="D90" s="154">
        <f t="shared" si="14"/>
        <v>155700667</v>
      </c>
      <c r="E90" s="121">
        <f t="shared" si="13"/>
        <v>2811.7628883200377</v>
      </c>
      <c r="F90" s="122">
        <f t="shared" si="11"/>
        <v>1378.368910551736</v>
      </c>
    </row>
    <row r="91" spans="1:6" ht="16.5" thickBot="1" x14ac:dyDescent="0.3">
      <c r="A91" s="142"/>
      <c r="B91" s="143"/>
      <c r="C91" s="143"/>
      <c r="D91" s="144"/>
      <c r="F91" s="122"/>
    </row>
    <row r="92" spans="1:6" ht="16.5" thickBot="1" x14ac:dyDescent="0.3">
      <c r="A92" s="125" t="s">
        <v>83</v>
      </c>
      <c r="B92" s="140"/>
      <c r="C92" s="140"/>
      <c r="D92" s="141"/>
      <c r="F92" s="122"/>
    </row>
    <row r="93" spans="1:6" ht="16.5" thickBot="1" x14ac:dyDescent="0.3">
      <c r="A93" s="117" t="s">
        <v>84</v>
      </c>
      <c r="B93" s="153">
        <f>('Octubre 10'!C94+'Noviembre 10'!C94+'Dec 10'!C93+'Ene 11'!C93+'Feb 11'!C93+'Mar 11'!C93+'Apr 11'!C93+'May 11'!C93+'Jun 11'!C93+'Jul 11'!C93+'Ago 11'!C93+'Sep 11'!C93)/12</f>
        <v>5578.666666666667</v>
      </c>
      <c r="C93" s="153">
        <f>('Octubre 10'!D94+'Noviembre 10'!D94+'Dec 10'!D93+'Ene 11'!D93+'Feb 11'!D93+'Mar 11'!D93+'Apr 11'!D93+'May 11'!D93+'Jun 11'!D93+'Jul 11'!D93+'Ago 11'!D93+'Sep 11'!D93)/12</f>
        <v>11434.75</v>
      </c>
      <c r="D93" s="153">
        <f>AVERAGE('Octubre 10'!E94+'Noviembre 10'!E94+'Dec 10'!E93+'Ene 11'!E93+'Feb 11'!E93+'Mar 11'!E93+'Apr 11'!E93+'May 11'!E93+'Jun 11'!E93+'Jul 11'!E93+'Ago 11'!E93+'Sep 11'!E93)</f>
        <v>15581710</v>
      </c>
      <c r="E93" s="121">
        <f t="shared" ref="E93:E102" si="15">D93/B93</f>
        <v>2793.0885516252388</v>
      </c>
      <c r="F93" s="122">
        <f t="shared" si="11"/>
        <v>1362.6629353505762</v>
      </c>
    </row>
    <row r="94" spans="1:6" ht="16.5" thickBot="1" x14ac:dyDescent="0.3">
      <c r="A94" s="117" t="s">
        <v>85</v>
      </c>
      <c r="B94" s="153">
        <f>('Octubre 10'!C95+'Noviembre 10'!C95+'Dec 10'!C94+'Ene 11'!C94+'Feb 11'!C94+'Mar 11'!C94+'Apr 11'!C94+'May 11'!C94+'Jun 11'!C94+'Jul 11'!C94+'Ago 11'!C94+'Sep 11'!C94)/12</f>
        <v>7541.916666666667</v>
      </c>
      <c r="C94" s="153">
        <f>('Octubre 10'!D95+'Noviembre 10'!D95+'Dec 10'!D94+'Ene 11'!D94+'Feb 11'!D94+'Mar 11'!D94+'Apr 11'!D94+'May 11'!D94+'Jun 11'!D94+'Jul 11'!D94+'Ago 11'!D94+'Sep 11'!D94)/12</f>
        <v>15900.416666666666</v>
      </c>
      <c r="D94" s="153">
        <f>AVERAGE('Octubre 10'!E95+'Noviembre 10'!E95+'Dec 10'!E94+'Ene 11'!E94+'Feb 11'!E94+'Mar 11'!E94+'Apr 11'!E94+'May 11'!E94+'Jun 11'!E94+'Jul 11'!E94+'Ago 11'!E94+'Sep 11'!E94)</f>
        <v>21886275</v>
      </c>
      <c r="E94" s="121">
        <f t="shared" si="15"/>
        <v>2901.9513165309436</v>
      </c>
      <c r="F94" s="122">
        <f t="shared" si="11"/>
        <v>1376.4592122847935</v>
      </c>
    </row>
    <row r="95" spans="1:6" ht="16.5" thickBot="1" x14ac:dyDescent="0.3">
      <c r="A95" s="117" t="s">
        <v>86</v>
      </c>
      <c r="B95" s="153">
        <f>('Octubre 10'!C96+'Noviembre 10'!C96+'Dec 10'!C95+'Ene 11'!C95+'Feb 11'!C95+'Mar 11'!C95+'Apr 11'!C95+'May 11'!C95+'Jun 11'!C95+'Jul 11'!C95+'Ago 11'!C95+'Sep 11'!C95)/12</f>
        <v>4058</v>
      </c>
      <c r="C95" s="153">
        <f>('Octubre 10'!D96+'Noviembre 10'!D96+'Dec 10'!D95+'Ene 11'!D95+'Feb 11'!D95+'Mar 11'!D95+'Apr 11'!D95+'May 11'!D95+'Jun 11'!D95+'Jul 11'!D95+'Ago 11'!D95+'Sep 11'!D95)/12</f>
        <v>8672.25</v>
      </c>
      <c r="D95" s="153">
        <f>AVERAGE('Octubre 10'!E96+'Noviembre 10'!E96+'Dec 10'!E95+'Ene 11'!E95+'Feb 11'!E95+'Mar 11'!E95+'Apr 11'!E95+'May 11'!E95+'Jun 11'!E95+'Jul 11'!E95+'Ago 11'!E95+'Sep 11'!E95)</f>
        <v>11931040</v>
      </c>
      <c r="E95" s="121">
        <f t="shared" si="15"/>
        <v>2940.1281419418433</v>
      </c>
      <c r="F95" s="122">
        <f t="shared" si="11"/>
        <v>1375.7721467900487</v>
      </c>
    </row>
    <row r="96" spans="1:6" ht="16.5" thickBot="1" x14ac:dyDescent="0.3">
      <c r="A96" s="155" t="s">
        <v>87</v>
      </c>
      <c r="B96" s="153">
        <f>('Octubre 10'!C97+'Noviembre 10'!C97+'Dec 10'!C96+'Ene 11'!C96+'Feb 11'!C96+'Mar 11'!C96+'Apr 11'!C96+'May 11'!C96+'Jun 11'!C96+'Jul 11'!C96+'Ago 11'!C96+'Sep 11'!C96)/12</f>
        <v>2636.8333333333335</v>
      </c>
      <c r="C96" s="153">
        <f>('Octubre 10'!D97+'Noviembre 10'!D97+'Dec 10'!D96+'Ene 11'!D96+'Feb 11'!D96+'Mar 11'!D96+'Apr 11'!D96+'May 11'!D96+'Jun 11'!D96+'Jul 11'!D96+'Ago 11'!D96+'Sep 11'!D96)/12</f>
        <v>52850.75</v>
      </c>
      <c r="D96" s="153">
        <f>AVERAGE('Octubre 10'!E97+'Noviembre 10'!E97+'Dec 10'!E96+'Ene 11'!E96+'Feb 11'!E96+'Mar 11'!E96+'Apr 11'!E96+'May 11'!E96+'Jun 11'!E96+'Jul 11'!E96+'Ago 11'!E96+'Sep 11'!E96)</f>
        <v>6345812</v>
      </c>
      <c r="E96" s="121">
        <f t="shared" si="15"/>
        <v>2406.6033752607291</v>
      </c>
      <c r="F96" s="122">
        <f t="shared" si="11"/>
        <v>120.07042473380227</v>
      </c>
    </row>
    <row r="97" spans="1:6" ht="16.5" thickBot="1" x14ac:dyDescent="0.3">
      <c r="A97" s="117" t="s">
        <v>88</v>
      </c>
      <c r="B97" s="153">
        <f>('Octubre 10'!C98+'Noviembre 10'!C98+'Dec 10'!C97+'Ene 11'!C97+'Feb 11'!C97+'Mar 11'!C97+'Apr 11'!C97+'May 11'!C97+'Jun 11'!C97+'Jul 11'!C97+'Ago 11'!C97+'Sep 11'!C97)/12</f>
        <v>5092.833333333333</v>
      </c>
      <c r="C97" s="153">
        <f>('Octubre 10'!D98+'Noviembre 10'!D98+'Dec 10'!D97+'Ene 11'!D97+'Feb 11'!D97+'Mar 11'!D97+'Apr 11'!D97+'May 11'!D97+'Jun 11'!D97+'Jul 11'!D97+'Ago 11'!D97+'Sep 11'!D97)/12</f>
        <v>10882.166666666666</v>
      </c>
      <c r="D97" s="153">
        <f>AVERAGE('Octubre 10'!E98+'Noviembre 10'!E98+'Dec 10'!E97+'Ene 11'!E97+'Feb 11'!E97+'Mar 11'!E97+'Apr 11'!E97+'May 11'!E97+'Jun 11'!E97+'Jul 11'!E97+'Ago 11'!E97+'Sep 11'!E97)</f>
        <v>15011235</v>
      </c>
      <c r="E97" s="121">
        <f t="shared" si="15"/>
        <v>2947.5213535360149</v>
      </c>
      <c r="F97" s="122">
        <f t="shared" si="11"/>
        <v>1379.4343957238909</v>
      </c>
    </row>
    <row r="98" spans="1:6" ht="16.5" thickBot="1" x14ac:dyDescent="0.3">
      <c r="A98" s="117" t="s">
        <v>89</v>
      </c>
      <c r="B98" s="153">
        <f>('Octubre 10'!C99+'Noviembre 10'!C99+'Dec 10'!C98+'Ene 11'!C98+'Feb 11'!C98+'Mar 11'!C98+'Apr 11'!C98+'May 11'!C98+'Jun 11'!C98+'Jul 11'!C98+'Ago 11'!C98+'Sep 11'!C98)/12</f>
        <v>1147.4166666666667</v>
      </c>
      <c r="C98" s="153">
        <f>('Octubre 10'!D99+'Noviembre 10'!D99+'Dec 10'!D98+'Ene 11'!D98+'Feb 11'!D98+'Mar 11'!D98+'Apr 11'!D98+'May 11'!D98+'Jun 11'!D98+'Jul 11'!D98+'Ago 11'!D98+'Sep 11'!D98)/12</f>
        <v>29025.75</v>
      </c>
      <c r="D98" s="153">
        <f>AVERAGE('Octubre 10'!E99+'Noviembre 10'!E99+'Dec 10'!E98+'Ene 11'!E98+'Feb 11'!E98+'Mar 11'!E98+'Apr 11'!E98+'May 11'!E98+'Jun 11'!E98+'Jul 11'!E98+'Ago 11'!E98+'Sep 11'!E98)</f>
        <v>3416328</v>
      </c>
      <c r="E98" s="121">
        <f t="shared" si="15"/>
        <v>2977.4083811460523</v>
      </c>
      <c r="F98" s="122">
        <f t="shared" si="11"/>
        <v>117.69990439523527</v>
      </c>
    </row>
    <row r="99" spans="1:6" ht="16.5" thickBot="1" x14ac:dyDescent="0.3">
      <c r="A99" s="117" t="s">
        <v>90</v>
      </c>
      <c r="B99" s="153">
        <f>('Octubre 10'!C100+'Noviembre 10'!C100+'Dec 10'!C99+'Ene 11'!C99+'Feb 11'!C99+'Mar 11'!C99+'Apr 11'!C99+'May 11'!C99+'Jun 11'!C99+'Jul 11'!C99+'Ago 11'!C99+'Sep 11'!C99)/12</f>
        <v>14737</v>
      </c>
      <c r="C99" s="153">
        <f>('Octubre 10'!D100+'Noviembre 10'!D100+'Dec 10'!D99+'Ene 11'!D99+'Feb 11'!D99+'Mar 11'!D99+'Apr 11'!D99+'May 11'!D99+'Jun 11'!D99+'Jul 11'!D99+'Ago 11'!D99+'Sep 11'!D99)/12</f>
        <v>29308.333333333332</v>
      </c>
      <c r="D99" s="153">
        <f>AVERAGE('Octubre 10'!E100+'Noviembre 10'!E100+'Dec 10'!E99+'Ene 11'!E99+'Feb 11'!E99+'Mar 11'!E99+'Apr 11'!E99+'May 11'!E99+'Jun 11'!E99+'Jul 11'!E99+'Ago 11'!E99+'Sep 11'!E99)</f>
        <v>41059810</v>
      </c>
      <c r="E99" s="121">
        <f t="shared" si="15"/>
        <v>2786.1715410192032</v>
      </c>
      <c r="F99" s="122">
        <f t="shared" si="11"/>
        <v>1400.96025021325</v>
      </c>
    </row>
    <row r="100" spans="1:6" ht="16.5" customHeight="1" thickBot="1" x14ac:dyDescent="0.3">
      <c r="A100" s="156" t="s">
        <v>92</v>
      </c>
      <c r="B100" s="153">
        <f>('Octubre 10'!C101+'Noviembre 10'!C101+'Dec 10'!C100+'Ene 11'!C100+'Feb 11'!C100+'Mar 11'!C100+'Apr 11'!C100+'May 11'!C100+'Jun 11'!C100+'Jul 11'!C100+'Ago 11'!C100+'Sep 11'!C100)/12</f>
        <v>4536.583333333333</v>
      </c>
      <c r="C100" s="153">
        <f>('Octubre 10'!D101+'Noviembre 10'!D101+'Dec 10'!D100+'Ene 11'!D100+'Feb 11'!D100+'Mar 11'!D100+'Apr 11'!D100+'May 11'!D100+'Jun 11'!D100+'Jul 11'!D100+'Ago 11'!D100+'Sep 11'!D100)/12</f>
        <v>9600</v>
      </c>
      <c r="D100" s="153">
        <f>AVERAGE('Octubre 10'!E101+'Noviembre 10'!E101+'Dec 10'!E100+'Ene 11'!E100+'Feb 11'!E100+'Mar 11'!E100+'Apr 11'!E100+'May 11'!E100+'Jun 11'!E100+'Jul 11'!E100+'Ago 11'!E100+'Sep 11'!E100)</f>
        <v>13051699</v>
      </c>
      <c r="E100" s="121">
        <f t="shared" si="15"/>
        <v>2876.9887029519282</v>
      </c>
      <c r="F100" s="122">
        <f t="shared" si="11"/>
        <v>1359.5519791666666</v>
      </c>
    </row>
    <row r="101" spans="1:6" ht="16.5" thickBot="1" x14ac:dyDescent="0.3">
      <c r="A101" s="117" t="s">
        <v>93</v>
      </c>
      <c r="B101" s="153">
        <f>('Octubre 10'!C102+'Noviembre 10'!C102+'Dec 10'!C101+'Ene 11'!C101+'Feb 11'!C101+'Mar 11'!C101+'Apr 11'!C101+'May 11'!C101+'Jun 11'!C101+'Jul 11'!C101+'Ago 11'!C101+'Sep 11'!C101)/12</f>
        <v>6264.833333333333</v>
      </c>
      <c r="C101" s="153">
        <f>('Octubre 10'!D102+'Noviembre 10'!D102+'Dec 10'!D101+'Ene 11'!D101+'Feb 11'!D101+'Mar 11'!D101+'Apr 11'!D101+'May 11'!D101+'Jun 11'!D101+'Jul 11'!D101+'Ago 11'!D101+'Sep 11'!D101)/12</f>
        <v>13044.916666666666</v>
      </c>
      <c r="D101" s="153">
        <f>AVERAGE('Octubre 10'!E102+'Noviembre 10'!E102+'Dec 10'!E101+'Ene 11'!E101+'Feb 11'!E101+'Mar 11'!E101+'Apr 11'!E101+'May 11'!E101+'Jun 11'!E101+'Jul 11'!E101+'Ago 11'!E101+'Sep 11'!E101)</f>
        <v>17902104</v>
      </c>
      <c r="E101" s="121">
        <f t="shared" si="15"/>
        <v>2857.5547101545667</v>
      </c>
      <c r="F101" s="122">
        <f t="shared" si="11"/>
        <v>1372.3433010304143</v>
      </c>
    </row>
    <row r="102" spans="1:6" ht="16.5" thickBot="1" x14ac:dyDescent="0.3">
      <c r="A102" s="125" t="s">
        <v>49</v>
      </c>
      <c r="B102" s="138">
        <f>SUM(B93:B101)</f>
        <v>51594.083333333343</v>
      </c>
      <c r="C102" s="138">
        <f>SUM(C93:C101)</f>
        <v>180719.33333333331</v>
      </c>
      <c r="D102" s="138">
        <f>SUM(D93:D101)</f>
        <v>146186013</v>
      </c>
      <c r="E102" s="121">
        <f t="shared" si="15"/>
        <v>2833.387155180907</v>
      </c>
      <c r="F102" s="122">
        <f t="shared" si="11"/>
        <v>808.91186517583446</v>
      </c>
    </row>
    <row r="103" spans="1:6" ht="16.5" thickBot="1" x14ac:dyDescent="0.3">
      <c r="A103" s="142"/>
      <c r="B103" s="143"/>
      <c r="C103" s="143"/>
      <c r="D103" s="144"/>
      <c r="F103" s="122"/>
    </row>
    <row r="104" spans="1:6" ht="16.5" thickBot="1" x14ac:dyDescent="0.3">
      <c r="A104" s="105" t="s">
        <v>94</v>
      </c>
      <c r="B104" s="140"/>
      <c r="C104" s="140"/>
      <c r="D104" s="141"/>
      <c r="F104" s="122"/>
    </row>
    <row r="105" spans="1:6" ht="16.5" thickBot="1" x14ac:dyDescent="0.3">
      <c r="A105" s="117" t="s">
        <v>95</v>
      </c>
      <c r="B105" s="157">
        <f>('Octubre 10'!C107+'Noviembre 10'!C106+'Dec 10'!C105+'Ene 11'!C105+'Feb 11'!C105+'Mar 11'!C105+'Apr 11'!C105+'May 11'!C105+'Jun 11'!C105+'Jul 11'!C105+'Ago 11'!C105+'Sep 11'!C105)/12</f>
        <v>3893.0833333333335</v>
      </c>
      <c r="C105" s="158">
        <f>('Octubre 10'!D107+'Noviembre 10'!D106+'Dec 10'!D105+'Ene 11'!D105+'Feb 11'!D105+'Mar 11'!D105+'Apr 11'!D105+'May 11'!D105+'Jun 11'!D105+'Jul 11'!D105+'Ago 11'!D105+'Sep 11'!D105)/12</f>
        <v>9268.25</v>
      </c>
      <c r="D105" s="118">
        <f>AVERAGE('Octubre 10'!E107+'Noviembre 10'!E106+'Dec 10'!E105+'Ene 11'!E105+'Feb 11'!E105+'Mar 11'!E105+'Apr 11'!E105+'May 11'!E105+'Jun 11'!E105+'Jul 11'!E105+'Ago 11'!E105+'Sep 11'!E105)</f>
        <v>12756814</v>
      </c>
      <c r="E105" s="121">
        <f t="shared" ref="E105:E119" si="16">D105/B105</f>
        <v>3276.7893486311191</v>
      </c>
      <c r="F105" s="122">
        <f t="shared" si="11"/>
        <v>1376.3994281552611</v>
      </c>
    </row>
    <row r="106" spans="1:6" ht="16.5" thickBot="1" x14ac:dyDescent="0.3">
      <c r="A106" s="117" t="s">
        <v>96</v>
      </c>
      <c r="B106" s="157">
        <f>('Octubre 10'!C108+'Noviembre 10'!C107+'Dec 10'!C106+'Ene 11'!C106+'Feb 11'!C106+'Mar 11'!C106+'Apr 11'!C106+'May 11'!C106+'Jun 11'!C106+'Jul 11'!C106+'Ago 11'!C106+'Sep 11'!C106)/12</f>
        <v>5611.75</v>
      </c>
      <c r="C106" s="158">
        <f>('Octubre 10'!D108+'Noviembre 10'!D107+'Dec 10'!D106+'Ene 11'!D106+'Feb 11'!D106+'Mar 11'!D106+'Apr 11'!D106+'May 11'!D106+'Jun 11'!D106+'Jul 11'!D106+'Ago 11'!D106+'Sep 11'!D106)/12</f>
        <v>11438.5</v>
      </c>
      <c r="D106" s="118">
        <f>AVERAGE('Octubre 10'!E108+'Noviembre 10'!E107+'Dec 10'!E106+'Ene 11'!E106+'Feb 11'!E106+'Mar 11'!E106+'Apr 11'!E106+'May 11'!E106+'Jun 11'!E106+'Jul 11'!E106+'Ago 11'!E106+'Sep 11'!E106)</f>
        <v>15672124</v>
      </c>
      <c r="E106" s="121">
        <f t="shared" si="16"/>
        <v>2792.7338174366287</v>
      </c>
      <c r="F106" s="122">
        <f t="shared" si="11"/>
        <v>1370.1205577654412</v>
      </c>
    </row>
    <row r="107" spans="1:6" ht="16.5" thickBot="1" x14ac:dyDescent="0.3">
      <c r="A107" s="117" t="s">
        <v>97</v>
      </c>
      <c r="B107" s="157">
        <f>('Octubre 10'!C109+'Noviembre 10'!C108+'Dec 10'!C107+'Ene 11'!C107+'Feb 11'!C107+'Mar 11'!C107+'Apr 11'!C107+'May 11'!C107+'Jun 11'!C107+'Jul 11'!C107+'Ago 11'!C107+'Sep 11'!C107)/12</f>
        <v>867.16666666666663</v>
      </c>
      <c r="C107" s="158">
        <f>('Octubre 10'!D109+'Noviembre 10'!D108+'Dec 10'!D107+'Ene 11'!D107+'Feb 11'!D107+'Mar 11'!D107+'Apr 11'!D107+'May 11'!D107+'Jun 11'!D107+'Jul 11'!D107+'Ago 11'!D107+'Sep 11'!D107)/12</f>
        <v>1964.9166666666667</v>
      </c>
      <c r="D107" s="118">
        <f>AVERAGE('Octubre 10'!E109+'Noviembre 10'!E108+'Dec 10'!E107+'Ene 11'!E107+'Feb 11'!E107+'Mar 11'!E107+'Apr 11'!E107+'May 11'!E107+'Jun 11'!E107+'Jul 11'!E107+'Ago 11'!E107+'Sep 11'!E107)</f>
        <v>2791575</v>
      </c>
      <c r="E107" s="121">
        <f t="shared" si="16"/>
        <v>3219.1908514318666</v>
      </c>
      <c r="F107" s="122">
        <f t="shared" si="11"/>
        <v>1420.7091055600322</v>
      </c>
    </row>
    <row r="108" spans="1:6" ht="16.5" thickBot="1" x14ac:dyDescent="0.3">
      <c r="A108" s="117" t="s">
        <v>98</v>
      </c>
      <c r="B108" s="157">
        <f>('Octubre 10'!C110+'Noviembre 10'!C109+'Dec 10'!C108+'Ene 11'!C108+'Feb 11'!C108+'Mar 11'!C108+'Apr 11'!C108+'May 11'!C108+'Jun 11'!C108+'Jul 11'!C108+'Ago 11'!C108+'Sep 11'!C108)/12</f>
        <v>7554.083333333333</v>
      </c>
      <c r="C108" s="158">
        <f>('Octubre 10'!D110+'Noviembre 10'!D109+'Dec 10'!D108+'Ene 11'!D108+'Feb 11'!D108+'Mar 11'!D108+'Apr 11'!D108+'May 11'!D108+'Jun 11'!D108+'Jul 11'!D108+'Ago 11'!D108+'Sep 11'!D108)/12</f>
        <v>16276.666666666666</v>
      </c>
      <c r="D108" s="118">
        <f>AVERAGE('Octubre 10'!E110+'Noviembre 10'!E109+'Dec 10'!E108+'Ene 11'!E108+'Feb 11'!E108+'Mar 11'!E108+'Apr 11'!E108+'May 11'!E108+'Jun 11'!E108+'Jul 11'!E108+'Ago 11'!E108+'Sep 11'!E108)</f>
        <v>22271029</v>
      </c>
      <c r="E108" s="121">
        <f t="shared" si="16"/>
        <v>2948.2106586945251</v>
      </c>
      <c r="F108" s="122">
        <f t="shared" si="11"/>
        <v>1368.2794798279747</v>
      </c>
    </row>
    <row r="109" spans="1:6" ht="16.5" thickBot="1" x14ac:dyDescent="0.3">
      <c r="A109" s="117" t="s">
        <v>99</v>
      </c>
      <c r="B109" s="157">
        <f>('Octubre 10'!C111+'Noviembre 10'!C110+'Dec 10'!C109+'Ene 11'!C109+'Feb 11'!C109+'Mar 11'!C109+'Apr 11'!C109+'May 11'!C109+'Jun 11'!C109+'Jul 11'!C109+'Ago 11'!C109+'Sep 11'!C109)/12</f>
        <v>4674.583333333333</v>
      </c>
      <c r="C109" s="158">
        <f>('Octubre 10'!D111+'Noviembre 10'!D110+'Dec 10'!D109+'Ene 11'!D109+'Feb 11'!D109+'Mar 11'!D109+'Apr 11'!D109+'May 11'!D109+'Jun 11'!D109+'Jul 11'!D109+'Ago 11'!D109+'Sep 11'!D109)/12</f>
        <v>10265.333333333334</v>
      </c>
      <c r="D109" s="118">
        <f>AVERAGE('Octubre 10'!E111+'Noviembre 10'!E110+'Dec 10'!E109+'Ene 11'!E109+'Feb 11'!E109+'Mar 11'!E109+'Apr 11'!E109+'May 11'!E109+'Jun 11'!E109+'Jul 11'!E109+'Ago 11'!E109+'Sep 11'!E109)</f>
        <v>14101361</v>
      </c>
      <c r="E109" s="121">
        <f t="shared" si="16"/>
        <v>3016.6027631696234</v>
      </c>
      <c r="F109" s="122">
        <f t="shared" si="11"/>
        <v>1373.6875892973112</v>
      </c>
    </row>
    <row r="110" spans="1:6" ht="16.5" thickBot="1" x14ac:dyDescent="0.3">
      <c r="A110" s="117" t="s">
        <v>100</v>
      </c>
      <c r="B110" s="157">
        <f>('Octubre 10'!C112+'Noviembre 10'!C111+'Dec 10'!C110+'Ene 11'!C110+'Feb 11'!C110+'Mar 11'!C110+'Apr 11'!C110+'May 11'!C110+'Jun 11'!C110+'Jul 11'!C110+'Ago 11'!C110+'Sep 11'!C110)/12</f>
        <v>3735.5</v>
      </c>
      <c r="C110" s="158">
        <f>('Octubre 10'!D112+'Noviembre 10'!D111+'Dec 10'!D110+'Ene 11'!D110+'Feb 11'!D110+'Mar 11'!D110+'Apr 11'!D110+'May 11'!D110+'Jun 11'!D110+'Jul 11'!D110+'Ago 11'!D110+'Sep 11'!D110)/12</f>
        <v>8894.1666666666661</v>
      </c>
      <c r="D110" s="118">
        <f>AVERAGE('Octubre 10'!E112+'Noviembre 10'!E111+'Dec 10'!E110+'Ene 11'!E110+'Feb 11'!E110+'Mar 11'!E110+'Apr 11'!E110+'May 11'!E110+'Jun 11'!E110+'Jul 11'!E110+'Ago 11'!E110+'Sep 11'!E110)</f>
        <v>12235283</v>
      </c>
      <c r="E110" s="121">
        <f t="shared" si="16"/>
        <v>3275.4070405568195</v>
      </c>
      <c r="F110" s="122">
        <f t="shared" si="11"/>
        <v>1375.6525438021176</v>
      </c>
    </row>
    <row r="111" spans="1:6" ht="16.5" thickBot="1" x14ac:dyDescent="0.3">
      <c r="A111" s="117" t="s">
        <v>101</v>
      </c>
      <c r="B111" s="157">
        <f>('Octubre 10'!C113+'Noviembre 10'!C112+'Dec 10'!C111+'Ene 11'!C111+'Feb 11'!C111+'Mar 11'!C111+'Apr 11'!C111+'May 11'!C111+'Jun 11'!C111+'Jul 11'!C111+'Ago 11'!C111+'Sep 11'!C111)/12</f>
        <v>8736</v>
      </c>
      <c r="C111" s="158">
        <f>('Octubre 10'!D113+'Noviembre 10'!D112+'Dec 10'!D111+'Ene 11'!D111+'Feb 11'!D111+'Mar 11'!D111+'Apr 11'!D111+'May 11'!D111+'Jun 11'!D111+'Jul 11'!D111+'Ago 11'!D111+'Sep 11'!D111)/12</f>
        <v>19788.333333333332</v>
      </c>
      <c r="D111" s="118">
        <f>AVERAGE('Octubre 10'!E113+'Noviembre 10'!E112+'Dec 10'!E111+'Ene 11'!E111+'Feb 11'!E111+'Mar 11'!E111+'Apr 11'!E111+'May 11'!E111+'Jun 11'!E111+'Jul 11'!E111+'Ago 11'!E111+'Sep 11'!E111)</f>
        <v>26853432</v>
      </c>
      <c r="E111" s="121">
        <f t="shared" si="16"/>
        <v>3073.881868131868</v>
      </c>
      <c r="F111" s="122">
        <f t="shared" si="11"/>
        <v>1357.0335382801316</v>
      </c>
    </row>
    <row r="112" spans="1:6" ht="16.5" thickBot="1" x14ac:dyDescent="0.3">
      <c r="A112" s="117" t="s">
        <v>102</v>
      </c>
      <c r="B112" s="157">
        <f>('Octubre 10'!C114+'Noviembre 10'!C113+'Dec 10'!C112+'Ene 11'!C112+'Feb 11'!C112+'Mar 11'!C112+'Apr 11'!C112+'May 11'!C112+'Jun 11'!C112+'Jul 11'!C112+'Ago 11'!C112+'Sep 11'!C112)/12</f>
        <v>5768.416666666667</v>
      </c>
      <c r="C112" s="158">
        <f>('Octubre 10'!D114+'Noviembre 10'!D113+'Dec 10'!D112+'Ene 11'!D112+'Feb 11'!D112+'Mar 11'!D112+'Apr 11'!D112+'May 11'!D112+'Jun 11'!D112+'Jul 11'!D112+'Ago 11'!D112+'Sep 11'!D112)/12</f>
        <v>13201.25</v>
      </c>
      <c r="D112" s="118">
        <f>AVERAGE('Octubre 10'!E114+'Noviembre 10'!E113+'Dec 10'!E112+'Ene 11'!E112+'Feb 11'!E112+'Mar 11'!E112+'Apr 11'!E112+'May 11'!E112+'Jun 11'!E112+'Jul 11'!E112+'Ago 11'!E112+'Sep 11'!E112)</f>
        <v>18019504</v>
      </c>
      <c r="E112" s="121">
        <f t="shared" si="16"/>
        <v>3123.8214992560061</v>
      </c>
      <c r="F112" s="122">
        <f t="shared" si="11"/>
        <v>1364.9846794811097</v>
      </c>
    </row>
    <row r="113" spans="1:6" ht="16.5" thickBot="1" x14ac:dyDescent="0.3">
      <c r="A113" s="117" t="s">
        <v>103</v>
      </c>
      <c r="B113" s="157">
        <f>('Octubre 10'!C115+'Noviembre 10'!C114+'Dec 10'!C113+'Ene 11'!C113+'Feb 11'!C113+'Mar 11'!C113+'Apr 11'!C113+'May 11'!C113+'Jun 11'!C113+'Jul 11'!C113+'Ago 11'!C113+'Sep 11'!C113)/12</f>
        <v>5044.25</v>
      </c>
      <c r="C113" s="158">
        <f>('Octubre 10'!D115+'Noviembre 10'!D114+'Dec 10'!D113+'Ene 11'!D113+'Feb 11'!D113+'Mar 11'!D113+'Apr 11'!D113+'May 11'!D113+'Jun 11'!D113+'Jul 11'!D113+'Ago 11'!D113+'Sep 11'!D113)/12</f>
        <v>11890.583333333334</v>
      </c>
      <c r="D113" s="118">
        <f>AVERAGE('Octubre 10'!E115+'Noviembre 10'!E114+'Dec 10'!E113+'Ene 11'!E113+'Feb 11'!E113+'Mar 11'!E113+'Apr 11'!E113+'May 11'!E113+'Jun 11'!E113+'Jul 11'!E113+'Ago 11'!E113+'Sep 11'!E113)</f>
        <v>16066981</v>
      </c>
      <c r="E113" s="121">
        <f t="shared" si="16"/>
        <v>3185.2071170144222</v>
      </c>
      <c r="F113" s="122">
        <f t="shared" si="11"/>
        <v>1351.2357257493675</v>
      </c>
    </row>
    <row r="114" spans="1:6" ht="16.5" thickBot="1" x14ac:dyDescent="0.3">
      <c r="A114" s="117" t="s">
        <v>104</v>
      </c>
      <c r="B114" s="157">
        <f>('Octubre 10'!C116+'Noviembre 10'!C115+'Dec 10'!C114+'Ene 11'!C114+'Feb 11'!C114+'Mar 11'!C114+'Apr 11'!C114+'May 11'!C114+'Jun 11'!C114+'Jul 11'!C114+'Ago 11'!C114+'Sep 11'!C114)/12</f>
        <v>7215.583333333333</v>
      </c>
      <c r="C114" s="158">
        <f>('Octubre 10'!D116+'Noviembre 10'!D115+'Dec 10'!D114+'Ene 11'!D114+'Feb 11'!D114+'Mar 11'!D114+'Apr 11'!D114+'May 11'!D114+'Jun 11'!D114+'Jul 11'!D114+'Ago 11'!D114+'Sep 11'!D114)/12</f>
        <v>14569.5</v>
      </c>
      <c r="D114" s="118">
        <f>AVERAGE('Octubre 10'!E116+'Noviembre 10'!E115+'Dec 10'!E114+'Ene 11'!E114+'Feb 11'!E114+'Mar 11'!E114+'Apr 11'!E114+'May 11'!E114+'Jun 11'!E114+'Jul 11'!E114+'Ago 11'!E114+'Sep 11'!E114)</f>
        <v>20161428</v>
      </c>
      <c r="E114" s="121">
        <f t="shared" si="16"/>
        <v>2794.1508078579927</v>
      </c>
      <c r="F114" s="122">
        <f t="shared" si="11"/>
        <v>1383.8105631627716</v>
      </c>
    </row>
    <row r="115" spans="1:6" ht="16.5" thickBot="1" x14ac:dyDescent="0.3">
      <c r="A115" s="117" t="s">
        <v>105</v>
      </c>
      <c r="B115" s="157">
        <f>('Octubre 10'!C117+'Noviembre 10'!C116+'Dec 10'!C115+'Ene 11'!C115+'Feb 11'!C115+'Mar 11'!C115+'Apr 11'!C115+'May 11'!C115+'Jun 11'!C115+'Jul 11'!C115+'Ago 11'!C115+'Sep 11'!C115)/12</f>
        <v>8444</v>
      </c>
      <c r="C115" s="158">
        <f>('Octubre 10'!D117+'Noviembre 10'!D116+'Dec 10'!D115+'Ene 11'!D115+'Feb 11'!D115+'Mar 11'!D115+'Apr 11'!D115+'May 11'!D115+'Jun 11'!D115+'Jul 11'!D115+'Ago 11'!D115+'Sep 11'!D115)/12</f>
        <v>19583.583333333332</v>
      </c>
      <c r="D115" s="118">
        <f>AVERAGE('Octubre 10'!E117+'Noviembre 10'!E116+'Dec 10'!E115+'Ene 11'!E115+'Feb 11'!E115+'Mar 11'!E115+'Apr 11'!E115+'May 11'!E115+'Jun 11'!E115+'Jul 11'!E115+'Ago 11'!E115+'Sep 11'!E115)</f>
        <v>26809116</v>
      </c>
      <c r="E115" s="121">
        <f t="shared" si="16"/>
        <v>3174.9308384651822</v>
      </c>
      <c r="F115" s="122">
        <f t="shared" si="11"/>
        <v>1368.9586601022115</v>
      </c>
    </row>
    <row r="116" spans="1:6" ht="16.5" thickBot="1" x14ac:dyDescent="0.3">
      <c r="A116" s="117" t="s">
        <v>106</v>
      </c>
      <c r="B116" s="157">
        <f>('Octubre 10'!C118+'Noviembre 10'!C117+'Dec 10'!C116+'Ene 11'!C116+'Feb 11'!C116+'Mar 11'!C116+'Apr 11'!C116+'May 11'!C116+'Jun 11'!C116+'Jul 11'!C116+'Ago 11'!C116+'Sep 11'!C116)/12</f>
        <v>16174.25</v>
      </c>
      <c r="C116" s="158">
        <f>('Octubre 10'!D118+'Noviembre 10'!D117+'Dec 10'!D116+'Ene 11'!D116+'Feb 11'!D116+'Mar 11'!D116+'Apr 11'!D116+'May 11'!D116+'Jun 11'!D116+'Jul 11'!D116+'Ago 11'!D116+'Sep 11'!D116)/12</f>
        <v>35339.666666666664</v>
      </c>
      <c r="D116" s="118">
        <f>AVERAGE('Octubre 10'!E118+'Noviembre 10'!E117+'Dec 10'!E116+'Ene 11'!E116+'Feb 11'!E116+'Mar 11'!E116+'Apr 11'!E116+'May 11'!E116+'Jun 11'!E116+'Jul 11'!E116+'Ago 11'!E116+'Sep 11'!E116)</f>
        <v>49138427</v>
      </c>
      <c r="E116" s="121">
        <f t="shared" si="16"/>
        <v>3038.0652580490596</v>
      </c>
      <c r="F116" s="122">
        <f t="shared" si="11"/>
        <v>1390.4609645440912</v>
      </c>
    </row>
    <row r="117" spans="1:6" ht="16.5" thickBot="1" x14ac:dyDescent="0.3">
      <c r="A117" s="117" t="s">
        <v>107</v>
      </c>
      <c r="B117" s="157">
        <f>('Octubre 10'!C119+'Noviembre 10'!C118+'Dec 10'!C117+'Ene 11'!C117+'Feb 11'!C117+'Mar 11'!C117+'Apr 11'!C117+'May 11'!C117+'Jun 11'!C117+'Jul 11'!C117+'Ago 11'!C117+'Sep 11'!C117)/12</f>
        <v>5382.083333333333</v>
      </c>
      <c r="C117" s="158">
        <f>('Octubre 10'!D119+'Noviembre 10'!D118+'Dec 10'!D117+'Ene 11'!D117+'Feb 11'!D117+'Mar 11'!D117+'Apr 11'!D117+'May 11'!D117+'Jun 11'!D117+'Jul 11'!D117+'Ago 11'!D117+'Sep 11'!D117)/12</f>
        <v>12358.5</v>
      </c>
      <c r="D117" s="118">
        <f>AVERAGE('Octubre 10'!E119+'Noviembre 10'!E118+'Dec 10'!E117+'Ene 11'!E117+'Feb 11'!E117+'Mar 11'!E117+'Apr 11'!E117+'May 11'!E117+'Jun 11'!E117+'Jul 11'!E117+'Ago 11'!E117+'Sep 11'!E117)</f>
        <v>16913339</v>
      </c>
      <c r="E117" s="121">
        <f t="shared" si="16"/>
        <v>3142.526407060463</v>
      </c>
      <c r="F117" s="122">
        <f t="shared" si="11"/>
        <v>1368.5592102601449</v>
      </c>
    </row>
    <row r="118" spans="1:6" ht="16.5" thickBot="1" x14ac:dyDescent="0.3">
      <c r="A118" s="117" t="s">
        <v>108</v>
      </c>
      <c r="B118" s="157">
        <f>('Octubre 10'!C120+'Noviembre 10'!C119+'Dec 10'!C118+'Ene 11'!C118+'Feb 11'!C118+'Mar 11'!C118+'Apr 11'!C118+'May 11'!C118+'Jun 11'!C118+'Jul 11'!C118+'Ago 11'!C118+'Sep 11'!C118)/12</f>
        <v>8259.1666666666661</v>
      </c>
      <c r="C118" s="158">
        <f>('Octubre 10'!D120+'Noviembre 10'!D119+'Dec 10'!D118+'Ene 11'!D118+'Feb 11'!D118+'Mar 11'!D118+'Apr 11'!D118+'May 11'!D118+'Jun 11'!D118+'Jul 11'!D118+'Ago 11'!D118+'Sep 11'!D118)/12</f>
        <v>17654.916666666668</v>
      </c>
      <c r="D118" s="118">
        <f>AVERAGE('Octubre 10'!E120+'Noviembre 10'!E119+'Dec 10'!E118+'Ene 11'!E118+'Feb 11'!E118+'Mar 11'!E118+'Apr 11'!E118+'May 11'!E118+'Jun 11'!E118+'Jul 11'!E118+'Ago 11'!E118+'Sep 11'!E118)</f>
        <v>24192443</v>
      </c>
      <c r="E118" s="121">
        <f t="shared" si="16"/>
        <v>2929.1627081021088</v>
      </c>
      <c r="F118" s="122">
        <f t="shared" si="11"/>
        <v>1370.2949414469056</v>
      </c>
    </row>
    <row r="119" spans="1:6" ht="16.5" thickBot="1" x14ac:dyDescent="0.3">
      <c r="A119" s="125" t="s">
        <v>49</v>
      </c>
      <c r="B119" s="138">
        <f>SUM(B105:B118)</f>
        <v>91359.916666666657</v>
      </c>
      <c r="C119" s="138">
        <f t="shared" ref="C119:D119" si="17">SUM(C105:C118)</f>
        <v>202494.16666666666</v>
      </c>
      <c r="D119" s="138">
        <f t="shared" si="17"/>
        <v>277982856</v>
      </c>
      <c r="E119" s="121">
        <f t="shared" si="16"/>
        <v>3042.7223025415051</v>
      </c>
      <c r="F119" s="122">
        <f t="shared" si="11"/>
        <v>1372.7943899618508</v>
      </c>
    </row>
    <row r="120" spans="1:6" ht="16.5" thickBot="1" x14ac:dyDescent="0.3">
      <c r="A120" s="142"/>
      <c r="B120" s="143"/>
      <c r="C120" s="143"/>
      <c r="D120" s="144"/>
      <c r="F120" s="122"/>
    </row>
    <row r="121" spans="1:6" ht="16.5" thickBot="1" x14ac:dyDescent="0.3">
      <c r="A121" s="112" t="s">
        <v>109</v>
      </c>
      <c r="B121" s="140"/>
      <c r="C121" s="151"/>
      <c r="D121" s="152"/>
      <c r="F121" s="122"/>
    </row>
    <row r="122" spans="1:6" ht="16.5" thickBot="1" x14ac:dyDescent="0.3">
      <c r="A122" s="117" t="s">
        <v>110</v>
      </c>
      <c r="B122" s="136">
        <f>SUM('Octubre 10'!C124+'Noviembre 10'!C123+'Dec 10'!C122+'Ene 11'!C122+'Feb 11'!C122+'Mar 11'!C122+'Apr 11'!C124+'May 11'!C122+'Jun 11'!C122+'Jul 11'!C122+'Ago 11'!C122+'Sep 11'!C122)/12</f>
        <v>1528.8333333333333</v>
      </c>
      <c r="C122" s="136">
        <f>SUM('Octubre 10'!D124+'Noviembre 10'!D123+'Dec 10'!D122+'Ene 11'!D122+'Feb 11'!D122+'Mar 11'!D122+'Apr 11'!D124+'May 11'!D122+'Jun 11'!D122+'Jul 11'!D122+'Ago 11'!D122+'Sep 11'!D122)/12</f>
        <v>3408.0833333333335</v>
      </c>
      <c r="D122" s="136">
        <f>AVERAGE('Octubre 10'!E124+'Noviembre 10'!E123+'Dec 10'!E122+'Ene 11'!E122+'Feb 11'!E122+'Mar 11'!E122+'Apr 11'!E122+'May 11'!E122+'Jun 11'!E122+'Jul 11'!E122+'Ago 11'!E122+'Sep 11'!E122)</f>
        <v>4725979</v>
      </c>
      <c r="E122" s="121">
        <f t="shared" ref="E122:E133" si="18">D122/B122</f>
        <v>3091.2323122206476</v>
      </c>
      <c r="F122" s="122">
        <f t="shared" si="11"/>
        <v>1386.6970193412719</v>
      </c>
    </row>
    <row r="123" spans="1:6" ht="16.5" thickBot="1" x14ac:dyDescent="0.3">
      <c r="A123" s="117" t="s">
        <v>111</v>
      </c>
      <c r="B123" s="136">
        <f>SUM('Octubre 10'!C125+'Noviembre 10'!C124+'Dec 10'!C123+'Ene 11'!C123+'Feb 11'!C123+'Mar 11'!C123+'Apr 11'!C125+'May 11'!C123+'Jun 11'!C123+'Jul 11'!C123+'Ago 11'!C123+'Sep 11'!C123)/12</f>
        <v>4874.833333333333</v>
      </c>
      <c r="C123" s="136">
        <f>SUM('Octubre 10'!D125+'Noviembre 10'!D124+'Dec 10'!D123+'Ene 11'!D123+'Feb 11'!D123+'Mar 11'!D123+'Apr 11'!D125+'May 11'!D123+'Jun 11'!D123+'Jul 11'!D123+'Ago 11'!D123+'Sep 11'!D123)/12</f>
        <v>9919.9166666666661</v>
      </c>
      <c r="D123" s="136">
        <f>AVERAGE('Octubre 10'!E125+'Noviembre 10'!E124+'Dec 10'!E123+'Ene 11'!E123+'Feb 11'!E123+'Mar 11'!E123+'Apr 11'!E123+'May 11'!E123+'Jun 11'!E123+'Jul 11'!E123+'Ago 11'!E123+'Sep 11'!E123)</f>
        <v>13770772</v>
      </c>
      <c r="E123" s="121">
        <f t="shared" si="18"/>
        <v>2824.8703203528326</v>
      </c>
      <c r="F123" s="122">
        <f t="shared" si="11"/>
        <v>1388.1943228689759</v>
      </c>
    </row>
    <row r="124" spans="1:6" ht="16.5" thickBot="1" x14ac:dyDescent="0.3">
      <c r="A124" s="117" t="s">
        <v>112</v>
      </c>
      <c r="B124" s="136">
        <f>SUM('Octubre 10'!C126+'Noviembre 10'!C125+'Dec 10'!C124+'Ene 11'!C124+'Feb 11'!C124+'Mar 11'!C124+'Apr 11'!C126+'May 11'!C124+'Jun 11'!C124+'Jul 11'!C124+'Ago 11'!C124+'Sep 11'!C124)/12</f>
        <v>2143.6666666666665</v>
      </c>
      <c r="C124" s="136">
        <f>SUM('Octubre 10'!D126+'Noviembre 10'!D125+'Dec 10'!D124+'Ene 11'!D124+'Feb 11'!D124+'Mar 11'!D124+'Apr 11'!D126+'May 11'!D124+'Jun 11'!D124+'Jul 11'!D124+'Ago 11'!D124+'Sep 11'!D124)/12</f>
        <v>4258.083333333333</v>
      </c>
      <c r="D124" s="136">
        <f>AVERAGE('Octubre 10'!E126+'Noviembre 10'!E125+'Dec 10'!E124+'Ene 11'!E124+'Feb 11'!E124+'Mar 11'!E124+'Apr 11'!E124+'May 11'!E124+'Jun 11'!E124+'Jul 11'!E124+'Ago 11'!E124+'Sep 11'!E124)</f>
        <v>4743590</v>
      </c>
      <c r="E124" s="121">
        <f t="shared" si="18"/>
        <v>2212.8393717928784</v>
      </c>
      <c r="F124" s="122">
        <f t="shared" si="11"/>
        <v>1114.0200011742372</v>
      </c>
    </row>
    <row r="125" spans="1:6" ht="16.5" thickBot="1" x14ac:dyDescent="0.3">
      <c r="A125" s="117" t="s">
        <v>113</v>
      </c>
      <c r="B125" s="136">
        <f>SUM('Octubre 10'!C127+'Noviembre 10'!C126+'Dec 10'!C125+'Ene 11'!C125+'Feb 11'!C125+'Mar 11'!C125+'Apr 11'!C127+'May 11'!C125+'Jun 11'!C125+'Jul 11'!C125+'Ago 11'!C125+'Sep 11'!C125)/12</f>
        <v>5300.416666666667</v>
      </c>
      <c r="C125" s="136">
        <f>SUM('Octubre 10'!D127+'Noviembre 10'!D126+'Dec 10'!D125+'Ene 11'!D125+'Feb 11'!D125+'Mar 11'!D125+'Apr 11'!D127+'May 11'!D125+'Jun 11'!D125+'Jul 11'!D125+'Ago 11'!D125+'Sep 11'!D125)/12</f>
        <v>10677.416666666666</v>
      </c>
      <c r="D125" s="136">
        <f>AVERAGE('Octubre 10'!E127+'Noviembre 10'!E126+'Dec 10'!E125+'Ene 11'!E125+'Feb 11'!E125+'Mar 11'!E125+'Apr 11'!E125+'May 11'!E125+'Jun 11'!E125+'Jul 11'!E125+'Ago 11'!E125+'Sep 11'!E125)</f>
        <v>13312849</v>
      </c>
      <c r="E125" s="121">
        <f t="shared" si="18"/>
        <v>2511.660844273249</v>
      </c>
      <c r="F125" s="122">
        <f t="shared" si="11"/>
        <v>1246.8230299151637</v>
      </c>
    </row>
    <row r="126" spans="1:6" ht="16.5" thickBot="1" x14ac:dyDescent="0.3">
      <c r="A126" s="117" t="s">
        <v>114</v>
      </c>
      <c r="B126" s="136">
        <f>SUM('Octubre 10'!C128+'Noviembre 10'!C127+'Dec 10'!C126+'Ene 11'!C126+'Feb 11'!C126+'Mar 11'!C126+'Apr 11'!C128+'May 11'!C126+'Jun 11'!C126+'Jul 11'!C126+'Ago 11'!C126+'Sep 11'!C126)/12</f>
        <v>7758.5</v>
      </c>
      <c r="C126" s="136">
        <f>SUM('Octubre 10'!D128+'Noviembre 10'!D127+'Dec 10'!D126+'Ene 11'!D126+'Feb 11'!D126+'Mar 11'!D126+'Apr 11'!D128+'May 11'!D126+'Jun 11'!D126+'Jul 11'!D126+'Ago 11'!D126+'Sep 11'!D126)/12</f>
        <v>13709.666666666666</v>
      </c>
      <c r="D126" s="136">
        <f>AVERAGE('Octubre 10'!E128+'Noviembre 10'!E127+'Dec 10'!E126+'Ene 11'!E126+'Feb 11'!E126+'Mar 11'!E126+'Apr 11'!E126+'May 11'!E126+'Jun 11'!E126+'Jul 11'!E126+'Ago 11'!E126+'Sep 11'!E126)</f>
        <v>19158645</v>
      </c>
      <c r="E126" s="121">
        <f t="shared" si="18"/>
        <v>2469.3748791647872</v>
      </c>
      <c r="F126" s="122">
        <f t="shared" si="11"/>
        <v>1397.4552019256487</v>
      </c>
    </row>
    <row r="127" spans="1:6" ht="16.5" thickBot="1" x14ac:dyDescent="0.3">
      <c r="A127" s="117" t="s">
        <v>115</v>
      </c>
      <c r="B127" s="136">
        <f>SUM('Octubre 10'!C129+'Noviembre 10'!C128+'Dec 10'!C127+'Ene 11'!C127+'Feb 11'!C127+'Mar 11'!C127+'Apr 11'!C129+'May 11'!C127+'Jun 11'!C127+'Jul 11'!C127+'Ago 11'!C127+'Sep 11'!C127)/12</f>
        <v>10359.5</v>
      </c>
      <c r="C127" s="136">
        <f>SUM('Octubre 10'!D129+'Noviembre 10'!D128+'Dec 10'!D127+'Ene 11'!D127+'Feb 11'!D127+'Mar 11'!D127+'Apr 11'!D129+'May 11'!D127+'Jun 11'!D127+'Jul 11'!D127+'Ago 11'!D127+'Sep 11'!D127)/12</f>
        <v>22529.333333333332</v>
      </c>
      <c r="D127" s="136">
        <f>AVERAGE('Octubre 10'!E129+'Noviembre 10'!E128+'Dec 10'!E127+'Ene 11'!E127+'Feb 11'!E127+'Mar 11'!E127+'Apr 11'!E127+'May 11'!E127+'Jun 11'!E127+'Jul 11'!E127+'Ago 11'!E127+'Sep 11'!E127)</f>
        <v>32253373</v>
      </c>
      <c r="E127" s="121">
        <f t="shared" si="18"/>
        <v>3113.4102031951347</v>
      </c>
      <c r="F127" s="122">
        <f t="shared" si="11"/>
        <v>1431.6168402675032</v>
      </c>
    </row>
    <row r="128" spans="1:6" ht="16.5" thickBot="1" x14ac:dyDescent="0.3">
      <c r="A128" s="117" t="s">
        <v>116</v>
      </c>
      <c r="B128" s="136">
        <f>SUM('Octubre 10'!C130+'Noviembre 10'!C129+'Dec 10'!C128+'Ene 11'!C128+'Feb 11'!C128+'Mar 11'!C128+'Apr 11'!C130+'May 11'!C128+'Jun 11'!C128+'Jul 11'!C128+'Ago 11'!C128+'Sep 11'!C128)/12</f>
        <v>9876.8333333333339</v>
      </c>
      <c r="C128" s="136">
        <f>SUM('Octubre 10'!D130+'Noviembre 10'!D129+'Dec 10'!D128+'Ene 11'!D128+'Feb 11'!D128+'Mar 11'!D128+'Apr 11'!D130+'May 11'!D128+'Jun 11'!D128+'Jul 11'!D128+'Ago 11'!D128+'Sep 11'!D128)/12</f>
        <v>20347.75</v>
      </c>
      <c r="D128" s="136">
        <f>AVERAGE('Octubre 10'!E130+'Noviembre 10'!E129+'Dec 10'!E128+'Ene 11'!E128+'Feb 11'!E128+'Mar 11'!E128+'Apr 11'!E128+'May 11'!E128+'Jun 11'!E128+'Jul 11'!E128+'Ago 11'!E128+'Sep 11'!E128)</f>
        <v>27313111</v>
      </c>
      <c r="E128" s="121">
        <f t="shared" si="18"/>
        <v>2765.3712559693558</v>
      </c>
      <c r="F128" s="122">
        <f t="shared" si="11"/>
        <v>1342.3160300278901</v>
      </c>
    </row>
    <row r="129" spans="1:6" ht="16.5" thickBot="1" x14ac:dyDescent="0.3">
      <c r="A129" s="117" t="s">
        <v>117</v>
      </c>
      <c r="B129" s="136">
        <f>SUM('Octubre 10'!C131+'Noviembre 10'!C130+'Dec 10'!C129+'Ene 11'!C129+'Feb 11'!C129+'Mar 11'!C129+'Apr 11'!C131+'May 11'!C129+'Jun 11'!C129+'Jul 11'!C129+'Ago 11'!C129+'Sep 11'!C129)/12</f>
        <v>11789.25</v>
      </c>
      <c r="C129" s="136">
        <f>SUM('Octubre 10'!D131+'Noviembre 10'!D130+'Dec 10'!D129+'Ene 11'!D129+'Feb 11'!D129+'Mar 11'!D129+'Apr 11'!D131+'May 11'!D129+'Jun 11'!D129+'Jul 11'!D129+'Ago 11'!D129+'Sep 11'!D129)/12</f>
        <v>25043.583333333332</v>
      </c>
      <c r="D129" s="136">
        <f>AVERAGE('Octubre 10'!E131+'Noviembre 10'!E130+'Dec 10'!E129+'Ene 11'!E129+'Feb 11'!E129+'Mar 11'!E129+'Apr 11'!E129+'May 11'!E129+'Jun 11'!E129+'Jul 11'!E129+'Ago 11'!E129+'Sep 11'!E129)</f>
        <v>22102007</v>
      </c>
      <c r="E129" s="121">
        <f t="shared" si="18"/>
        <v>1874.759378247132</v>
      </c>
      <c r="F129" s="122">
        <f t="shared" si="11"/>
        <v>882.54171560912152</v>
      </c>
    </row>
    <row r="130" spans="1:6" ht="15" customHeight="1" thickBot="1" x14ac:dyDescent="0.3">
      <c r="A130" s="156" t="s">
        <v>118</v>
      </c>
      <c r="B130" s="136">
        <f>SUM('Octubre 10'!C132+'Noviembre 10'!C131+'Dec 10'!C130+'Ene 11'!C130+'Feb 11'!C130+'Mar 11'!C130+'Apr 11'!C132+'May 11'!C130+'Jun 11'!C130+'Jul 11'!C130+'Ago 11'!C130+'Sep 11'!C130)/12</f>
        <v>10066.416666666666</v>
      </c>
      <c r="C130" s="136">
        <f>SUM('Octubre 10'!D132+'Noviembre 10'!D131+'Dec 10'!D130+'Ene 11'!D130+'Feb 11'!D130+'Mar 11'!D130+'Apr 11'!D132+'May 11'!D130+'Jun 11'!D130+'Jul 11'!D130+'Ago 11'!D130+'Sep 11'!D130)/12</f>
        <v>20101.5</v>
      </c>
      <c r="D130" s="136">
        <f>AVERAGE('Octubre 10'!E132+'Noviembre 10'!E131+'Dec 10'!E130+'Ene 11'!E130+'Feb 11'!E130+'Mar 11'!E130+'Apr 11'!E130+'May 11'!E130+'Jun 11'!E130+'Jul 11'!E130+'Ago 11'!E130+'Sep 11'!E130)</f>
        <v>31784279</v>
      </c>
      <c r="E130" s="121">
        <f t="shared" si="18"/>
        <v>3157.4571222795271</v>
      </c>
      <c r="F130" s="122">
        <f t="shared" si="11"/>
        <v>1581.1894137253439</v>
      </c>
    </row>
    <row r="131" spans="1:6" ht="15" customHeight="1" thickBot="1" x14ac:dyDescent="0.3">
      <c r="A131" s="125" t="s">
        <v>49</v>
      </c>
      <c r="B131" s="138">
        <f>SUM(B122:B130)</f>
        <v>63698.25</v>
      </c>
      <c r="C131" s="138">
        <f>SUM(C122:C130)</f>
        <v>129995.33333333333</v>
      </c>
      <c r="D131" s="138">
        <f>SUM(D122:D130)</f>
        <v>169164605</v>
      </c>
      <c r="E131" s="121">
        <f t="shared" si="18"/>
        <v>2655.7182497164363</v>
      </c>
      <c r="F131" s="122">
        <f t="shared" si="11"/>
        <v>1301.3129061043217</v>
      </c>
    </row>
    <row r="132" spans="1:6" ht="16.5" thickBot="1" x14ac:dyDescent="0.3">
      <c r="A132" s="142"/>
      <c r="B132" s="143"/>
      <c r="C132" s="143"/>
      <c r="D132" s="144"/>
      <c r="F132" s="122"/>
    </row>
    <row r="133" spans="1:6" ht="16.5" thickBot="1" x14ac:dyDescent="0.3">
      <c r="A133" s="105" t="s">
        <v>120</v>
      </c>
      <c r="B133" s="154">
        <f>SUM(B131+B119+B102+B90+B77+B68+B58+B48+B32+B16)</f>
        <v>642946.16666666663</v>
      </c>
      <c r="C133" s="154">
        <f>SUM(C131+C119+C102+C90+C77+C68+C58+C48+C32+C16)</f>
        <v>1465324.4166666665</v>
      </c>
      <c r="D133" s="154">
        <f>SUM(D131+D119+D102+D90+D77+D68+D58+D48+D32+D16)</f>
        <v>1891684250</v>
      </c>
      <c r="E133" s="122">
        <f t="shared" si="18"/>
        <v>2942.2125024982652</v>
      </c>
      <c r="F133" s="122">
        <f t="shared" si="11"/>
        <v>1290.9661700056979</v>
      </c>
    </row>
    <row r="136" spans="1:6" x14ac:dyDescent="0.25">
      <c r="B136" s="159">
        <f>('Octubre 10'!C136+'Noviembre 10'!C135+'Dec 10'!C134+'Ene 11'!C134+'Feb 11'!C134+'Mar 11'!C134+'Apr 11'!C133+'May 11'!C133+'Jun 11'!C133+'Jul 11'!C133+'Ago 11'!C133+'Sep 11'!C133)/12</f>
        <v>642524.16666666663</v>
      </c>
      <c r="C136" s="159">
        <f>'Octubre 10'!D136+'Noviembre 10'!D135+'Dec 10'!D134+'Ene 11'!D134+'Feb 11'!D134+'Mar 11'!D134+'Apr 11'!D133+'May 11'!D133+'Jun 11'!D133+'Jul 11'!D133+'Ago 11'!D133+'Sep 11'!D133</f>
        <v>16193110</v>
      </c>
      <c r="D136" s="159">
        <f>'Octubre 10'!E136+'Noviembre 10'!E135+'Dec 10'!E134+'Ene 11'!E134+'Feb 11'!E134+'Mar 11'!E134+'Apr 11'!E133+'May 11'!E133+'Jun 11'!E133+'Jul 11'!E133+'Ago 11'!E133+'Sep 11'!E133</f>
        <v>1836507152</v>
      </c>
    </row>
    <row r="138" spans="1:6" x14ac:dyDescent="0.25">
      <c r="B138" s="123">
        <f>SUM('Octubre 10'!C136+'Noviembre 10'!C135+'Dec 10'!C134+'Ene 11'!C134+'Feb 11'!C134+'Mar 11'!C134+'Apr 11'!C133+'May 11'!C133+'Jun 11'!C133+'Jul 11'!C133+'Ago 11'!C133+'Sep 11'!C133)/12</f>
        <v>642524.16666666663</v>
      </c>
      <c r="C138" s="123">
        <f>SUM('Octubre 10'!D136+'Noviembre 10'!D135+'Dec 10'!D134+'Ene 11'!D134+'Feb 11'!D134+'Mar 11'!D134+'Apr 11'!D133+'May 11'!D133+'Jun 11'!D133+'Jul 11'!D133+'Ago 11'!D133+'Sep 11'!D133)/12</f>
        <v>1349425.8333333333</v>
      </c>
      <c r="D138" s="123">
        <f>SUM('Octubre 10'!E136+'Noviembre 10'!E135+'Dec 10'!E134+'Ene 11'!E134+'Feb 11'!E134+'Mar 11'!E134+'Apr 11'!E133+'May 11'!E133+'Jun 11'!E133+'Jul 11'!E133+'Ago 11'!E133+'Sep 11'!E133)/12</f>
        <v>153042262.66666666</v>
      </c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41"/>
  <sheetViews>
    <sheetView topLeftCell="A28" workbookViewId="0">
      <selection activeCell="E135" sqref="E135"/>
    </sheetView>
  </sheetViews>
  <sheetFormatPr defaultRowHeight="15" x14ac:dyDescent="0.25"/>
  <cols>
    <col min="1" max="1" width="9.140625" style="1"/>
    <col min="2" max="2" width="18.7109375" style="1" bestFit="1" customWidth="1"/>
    <col min="3" max="3" width="10.5703125" style="1" bestFit="1" customWidth="1"/>
    <col min="4" max="4" width="12.7109375" style="1" bestFit="1" customWidth="1"/>
    <col min="5" max="5" width="15.7109375" style="1" bestFit="1" customWidth="1"/>
    <col min="6" max="6" width="15.85546875" style="1" customWidth="1"/>
    <col min="7" max="8" width="9.140625" style="1"/>
    <col min="9" max="9" width="13.5703125" style="1" bestFit="1" customWidth="1"/>
    <col min="10" max="10" width="12.7109375" style="1" bestFit="1" customWidth="1"/>
    <col min="11" max="16384" width="9.140625" style="1"/>
  </cols>
  <sheetData>
    <row r="1" spans="2:10" ht="18.75" x14ac:dyDescent="0.3">
      <c r="B1" s="162" t="s">
        <v>0</v>
      </c>
      <c r="C1" s="162"/>
      <c r="D1" s="162"/>
      <c r="E1" s="162"/>
      <c r="F1" s="162"/>
      <c r="G1" s="17"/>
      <c r="H1" s="17"/>
      <c r="I1" s="17"/>
      <c r="J1" s="17"/>
    </row>
    <row r="2" spans="2:10" ht="18.75" x14ac:dyDescent="0.3">
      <c r="B2" s="162" t="s">
        <v>1</v>
      </c>
      <c r="C2" s="162"/>
      <c r="D2" s="162"/>
      <c r="E2" s="162"/>
      <c r="F2" s="162"/>
      <c r="G2" s="17"/>
      <c r="H2" s="17"/>
      <c r="I2" s="17"/>
      <c r="J2" s="17"/>
    </row>
    <row r="3" spans="2:10" ht="18.75" x14ac:dyDescent="0.3">
      <c r="B3" s="163" t="s">
        <v>2</v>
      </c>
      <c r="C3" s="163"/>
      <c r="D3" s="163"/>
      <c r="E3" s="163"/>
      <c r="F3" s="163"/>
      <c r="G3" s="17"/>
      <c r="H3" s="17"/>
      <c r="I3" s="17"/>
      <c r="J3" s="17"/>
    </row>
    <row r="4" spans="2:10" ht="18.75" x14ac:dyDescent="0.3">
      <c r="B4" s="162" t="s">
        <v>128</v>
      </c>
      <c r="C4" s="162"/>
      <c r="D4" s="162"/>
      <c r="E4" s="162"/>
      <c r="F4" s="162"/>
      <c r="G4" s="17"/>
      <c r="H4" s="17"/>
      <c r="I4" s="17"/>
      <c r="J4" s="17"/>
    </row>
    <row r="5" spans="2:10" ht="19.5" thickBot="1" x14ac:dyDescent="0.35">
      <c r="B5" s="164"/>
      <c r="C5" s="164"/>
      <c r="D5" s="164"/>
      <c r="E5" s="164"/>
      <c r="F5" s="164"/>
      <c r="G5" s="17"/>
      <c r="H5" s="17"/>
      <c r="I5" s="17"/>
      <c r="J5" s="17"/>
    </row>
    <row r="6" spans="2:10" ht="57" thickBot="1" x14ac:dyDescent="0.35">
      <c r="B6" s="18"/>
      <c r="C6" s="19" t="s">
        <v>3</v>
      </c>
      <c r="D6" s="20" t="s">
        <v>4</v>
      </c>
      <c r="E6" s="20" t="s">
        <v>5</v>
      </c>
      <c r="F6" s="20" t="s">
        <v>6</v>
      </c>
      <c r="G6" s="17"/>
      <c r="H6" s="17"/>
      <c r="I6" s="160" t="s">
        <v>7</v>
      </c>
      <c r="J6" s="161"/>
    </row>
    <row r="7" spans="2:10" ht="19.5" thickBot="1" x14ac:dyDescent="0.35">
      <c r="B7" s="21" t="s">
        <v>8</v>
      </c>
      <c r="C7" s="22"/>
      <c r="D7" s="22"/>
      <c r="E7" s="22"/>
      <c r="F7" s="23"/>
      <c r="G7" s="17"/>
      <c r="H7" s="17"/>
      <c r="I7" s="54" t="s">
        <v>9</v>
      </c>
      <c r="J7" s="54" t="s">
        <v>10</v>
      </c>
    </row>
    <row r="8" spans="2:10" ht="18.75" x14ac:dyDescent="0.3">
      <c r="B8" s="24" t="s">
        <v>11</v>
      </c>
      <c r="C8" s="15">
        <v>7367</v>
      </c>
      <c r="D8" s="13">
        <v>16477</v>
      </c>
      <c r="E8" s="14">
        <v>2076607</v>
      </c>
      <c r="F8" s="25">
        <f>E8/C8</f>
        <v>281.8795982082259</v>
      </c>
      <c r="G8" s="17"/>
      <c r="H8" s="17"/>
      <c r="I8" s="55"/>
      <c r="J8" s="55"/>
    </row>
    <row r="9" spans="2:10" ht="18.75" x14ac:dyDescent="0.3">
      <c r="B9" s="26" t="s">
        <v>12</v>
      </c>
      <c r="C9" s="3">
        <v>5725</v>
      </c>
      <c r="D9" s="13">
        <v>11873</v>
      </c>
      <c r="E9" s="3">
        <v>1540107</v>
      </c>
      <c r="F9" s="25">
        <f t="shared" ref="F9:F16" si="0">E9/C9</f>
        <v>269.01432314410482</v>
      </c>
      <c r="G9" s="17"/>
      <c r="H9" s="17"/>
      <c r="I9" s="55"/>
      <c r="J9" s="55"/>
    </row>
    <row r="10" spans="2:10" ht="18.75" x14ac:dyDescent="0.3">
      <c r="B10" s="26" t="s">
        <v>13</v>
      </c>
      <c r="C10" s="3">
        <v>6244</v>
      </c>
      <c r="D10" s="13">
        <v>12470</v>
      </c>
      <c r="E10" s="3">
        <v>1631258</v>
      </c>
      <c r="F10" s="25">
        <f t="shared" si="0"/>
        <v>261.25208199871878</v>
      </c>
      <c r="G10" s="17"/>
      <c r="H10" s="17"/>
      <c r="I10" s="55"/>
      <c r="J10" s="55"/>
    </row>
    <row r="11" spans="2:10" ht="18.75" x14ac:dyDescent="0.3">
      <c r="B11" s="26" t="s">
        <v>14</v>
      </c>
      <c r="C11" s="3">
        <v>8053</v>
      </c>
      <c r="D11" s="13">
        <v>17041</v>
      </c>
      <c r="E11" s="3">
        <v>2168275</v>
      </c>
      <c r="F11" s="25">
        <f t="shared" si="0"/>
        <v>269.2505898422948</v>
      </c>
      <c r="G11" s="17"/>
      <c r="H11" s="17"/>
      <c r="I11" s="55"/>
      <c r="J11" s="55"/>
    </row>
    <row r="12" spans="2:10" ht="18.75" x14ac:dyDescent="0.3">
      <c r="B12" s="26" t="s">
        <v>15</v>
      </c>
      <c r="C12" s="3">
        <v>2013</v>
      </c>
      <c r="D12" s="13">
        <v>4500</v>
      </c>
      <c r="E12" s="3">
        <v>573303</v>
      </c>
      <c r="F12" s="25">
        <f t="shared" si="0"/>
        <v>284.80029806259313</v>
      </c>
      <c r="G12" s="17"/>
      <c r="H12" s="17"/>
      <c r="I12" s="55"/>
      <c r="J12" s="55"/>
    </row>
    <row r="13" spans="2:10" ht="18.75" x14ac:dyDescent="0.3">
      <c r="B13" s="26" t="s">
        <v>16</v>
      </c>
      <c r="C13" s="3">
        <v>8458</v>
      </c>
      <c r="D13" s="13">
        <v>18629</v>
      </c>
      <c r="E13" s="3">
        <v>2379514</v>
      </c>
      <c r="F13" s="25">
        <f t="shared" si="0"/>
        <v>281.33293922913219</v>
      </c>
      <c r="G13" s="17"/>
      <c r="H13" s="17"/>
      <c r="I13" s="55"/>
      <c r="J13" s="55"/>
    </row>
    <row r="14" spans="2:10" ht="18.75" x14ac:dyDescent="0.3">
      <c r="B14" s="26" t="s">
        <v>17</v>
      </c>
      <c r="C14" s="3">
        <v>3017</v>
      </c>
      <c r="D14" s="13">
        <v>6049</v>
      </c>
      <c r="E14" s="3">
        <v>778714</v>
      </c>
      <c r="F14" s="25">
        <f t="shared" si="0"/>
        <v>258.1087172688101</v>
      </c>
      <c r="G14" s="17"/>
      <c r="H14" s="17"/>
      <c r="I14" s="55"/>
      <c r="J14" s="55"/>
    </row>
    <row r="15" spans="2:10" ht="19.5" thickBot="1" x14ac:dyDescent="0.35">
      <c r="B15" s="28" t="s">
        <v>18</v>
      </c>
      <c r="C15" s="4">
        <v>10037</v>
      </c>
      <c r="D15" s="13">
        <v>20567</v>
      </c>
      <c r="E15" s="11">
        <v>2702014</v>
      </c>
      <c r="F15" s="25">
        <f t="shared" si="0"/>
        <v>269.20534024110788</v>
      </c>
      <c r="G15" s="17"/>
      <c r="H15" s="17"/>
      <c r="I15" s="55"/>
      <c r="J15" s="55"/>
    </row>
    <row r="16" spans="2:10" ht="19.5" thickBot="1" x14ac:dyDescent="0.35">
      <c r="B16" s="29" t="s">
        <v>19</v>
      </c>
      <c r="C16" s="30">
        <f>SUM(C8:C15)</f>
        <v>50914</v>
      </c>
      <c r="D16" s="30">
        <f t="shared" ref="D16:E16" si="1">SUM(D8:D15)</f>
        <v>107606</v>
      </c>
      <c r="E16" s="30">
        <f t="shared" si="1"/>
        <v>13849792</v>
      </c>
      <c r="F16" s="31">
        <f t="shared" si="0"/>
        <v>272.02325490042034</v>
      </c>
      <c r="G16" s="17"/>
      <c r="H16" s="17"/>
      <c r="I16" s="55"/>
      <c r="J16" s="55"/>
    </row>
    <row r="17" spans="2:17" ht="19.5" thickBot="1" x14ac:dyDescent="0.35">
      <c r="B17" s="32"/>
      <c r="C17" s="33"/>
      <c r="D17" s="33"/>
      <c r="E17" s="33"/>
      <c r="F17" s="33"/>
      <c r="G17" s="2"/>
      <c r="H17" s="2"/>
      <c r="I17" s="55"/>
      <c r="J17" s="55"/>
      <c r="K17" s="2"/>
      <c r="L17" s="2"/>
      <c r="M17" s="2"/>
      <c r="N17" s="2"/>
      <c r="O17" s="2"/>
      <c r="P17" s="2"/>
      <c r="Q17" s="2"/>
    </row>
    <row r="18" spans="2:17" ht="19.5" thickBot="1" x14ac:dyDescent="0.35">
      <c r="B18" s="34" t="s">
        <v>20</v>
      </c>
      <c r="C18" s="35"/>
      <c r="D18" s="35"/>
      <c r="E18" s="35"/>
      <c r="F18" s="36"/>
      <c r="G18" s="2"/>
      <c r="H18" s="2"/>
      <c r="I18" s="55"/>
      <c r="J18" s="55"/>
      <c r="K18" s="2"/>
      <c r="L18" s="2"/>
      <c r="M18" s="2"/>
      <c r="N18" s="2"/>
      <c r="O18" s="2"/>
      <c r="P18" s="2"/>
      <c r="Q18" s="2"/>
    </row>
    <row r="19" spans="2:17" ht="18.75" x14ac:dyDescent="0.3">
      <c r="B19" s="37" t="s">
        <v>21</v>
      </c>
      <c r="C19" s="3">
        <v>14387</v>
      </c>
      <c r="D19" s="3">
        <v>28496</v>
      </c>
      <c r="E19" s="6">
        <v>3715917</v>
      </c>
      <c r="F19" s="27">
        <f t="shared" ref="F19:F32" si="2">E19/C19</f>
        <v>258.28296378675191</v>
      </c>
      <c r="G19" s="38"/>
      <c r="H19" s="38"/>
      <c r="I19" s="55"/>
      <c r="J19" s="55"/>
      <c r="K19" s="38"/>
      <c r="L19" s="38"/>
      <c r="M19" s="38"/>
      <c r="N19" s="38"/>
      <c r="O19" s="38"/>
      <c r="P19" s="38"/>
      <c r="Q19" s="38"/>
    </row>
    <row r="20" spans="2:17" ht="18.75" x14ac:dyDescent="0.3">
      <c r="B20" s="59" t="s">
        <v>22</v>
      </c>
      <c r="C20" s="3">
        <v>6794</v>
      </c>
      <c r="D20" s="3">
        <v>12832</v>
      </c>
      <c r="E20" s="3">
        <v>1684103</v>
      </c>
      <c r="F20" s="27">
        <f t="shared" si="2"/>
        <v>247.8809243450103</v>
      </c>
      <c r="G20" s="38"/>
      <c r="H20" s="38"/>
      <c r="I20" s="55"/>
      <c r="J20" s="55"/>
      <c r="K20" s="38"/>
      <c r="L20" s="38"/>
      <c r="M20" s="38"/>
      <c r="N20" s="38"/>
      <c r="O20" s="38"/>
      <c r="P20" s="38"/>
      <c r="Q20" s="38"/>
    </row>
    <row r="21" spans="2:17" ht="18.75" x14ac:dyDescent="0.3">
      <c r="B21" s="58" t="s">
        <v>23</v>
      </c>
      <c r="C21" s="9">
        <v>5821</v>
      </c>
      <c r="D21" s="3">
        <v>11882</v>
      </c>
      <c r="E21" s="9">
        <v>1528623</v>
      </c>
      <c r="F21" s="27">
        <f t="shared" si="2"/>
        <v>262.60487888678921</v>
      </c>
      <c r="G21" s="2"/>
      <c r="H21" s="2"/>
      <c r="I21" s="55"/>
      <c r="J21" s="55"/>
      <c r="K21" s="2"/>
      <c r="L21" s="2"/>
      <c r="M21" s="2"/>
      <c r="N21" s="2"/>
      <c r="O21" s="2"/>
      <c r="P21" s="2"/>
      <c r="Q21" s="2"/>
    </row>
    <row r="22" spans="2:17" ht="18.75" x14ac:dyDescent="0.3">
      <c r="B22" s="26" t="s">
        <v>24</v>
      </c>
      <c r="C22" s="9">
        <v>7518</v>
      </c>
      <c r="D22" s="3">
        <v>15726</v>
      </c>
      <c r="E22" s="9">
        <v>2005172</v>
      </c>
      <c r="F22" s="27">
        <f t="shared" si="2"/>
        <v>266.71614791167866</v>
      </c>
      <c r="G22" s="2"/>
      <c r="H22" s="2"/>
      <c r="I22" s="55"/>
      <c r="J22" s="55"/>
      <c r="K22" s="2"/>
      <c r="L22" s="2"/>
      <c r="M22" s="2"/>
      <c r="N22" s="2"/>
      <c r="O22" s="2"/>
      <c r="P22" s="2"/>
      <c r="Q22" s="2"/>
    </row>
    <row r="23" spans="2:17" ht="18.75" x14ac:dyDescent="0.3">
      <c r="B23" s="26" t="s">
        <v>25</v>
      </c>
      <c r="C23" s="9">
        <v>4701</v>
      </c>
      <c r="D23" s="3">
        <v>10350</v>
      </c>
      <c r="E23" s="9">
        <v>1314332</v>
      </c>
      <c r="F23" s="27">
        <f t="shared" si="2"/>
        <v>279.58562008083385</v>
      </c>
      <c r="G23" s="2"/>
      <c r="H23" s="2"/>
      <c r="I23" s="55"/>
      <c r="J23" s="55"/>
      <c r="K23" s="2"/>
      <c r="L23" s="2"/>
      <c r="M23" s="2"/>
      <c r="N23" s="2"/>
      <c r="O23" s="2"/>
      <c r="P23" s="2"/>
      <c r="Q23" s="2"/>
    </row>
    <row r="24" spans="2:17" ht="18.75" x14ac:dyDescent="0.3">
      <c r="B24" s="26" t="s">
        <v>26</v>
      </c>
      <c r="C24" s="9">
        <v>3157</v>
      </c>
      <c r="D24" s="3">
        <v>6835</v>
      </c>
      <c r="E24" s="9">
        <v>875123</v>
      </c>
      <c r="F24" s="27">
        <f t="shared" si="2"/>
        <v>277.20082356667723</v>
      </c>
      <c r="G24" s="2"/>
      <c r="H24" s="2"/>
      <c r="I24" s="55"/>
      <c r="J24" s="55"/>
      <c r="K24" s="2"/>
      <c r="L24" s="2"/>
      <c r="M24" s="2"/>
      <c r="N24" s="2"/>
      <c r="O24" s="2"/>
      <c r="P24" s="2"/>
      <c r="Q24" s="2"/>
    </row>
    <row r="25" spans="2:17" ht="18.75" x14ac:dyDescent="0.3">
      <c r="B25" s="26" t="s">
        <v>27</v>
      </c>
      <c r="C25" s="9">
        <v>8230</v>
      </c>
      <c r="D25" s="3">
        <v>17134</v>
      </c>
      <c r="E25" s="9">
        <v>2207520</v>
      </c>
      <c r="F25" s="27">
        <f t="shared" si="2"/>
        <v>268.22843256379099</v>
      </c>
      <c r="G25" s="2"/>
      <c r="H25" s="2"/>
      <c r="I25" s="55"/>
      <c r="J25" s="55"/>
      <c r="K25" s="2"/>
      <c r="L25" s="2"/>
      <c r="M25" s="2"/>
      <c r="N25" s="2"/>
      <c r="O25" s="2"/>
      <c r="P25" s="2"/>
      <c r="Q25" s="2"/>
    </row>
    <row r="26" spans="2:17" ht="18.75" x14ac:dyDescent="0.3">
      <c r="B26" s="26" t="s">
        <v>28</v>
      </c>
      <c r="C26" s="9">
        <v>7340</v>
      </c>
      <c r="D26" s="3">
        <v>16029</v>
      </c>
      <c r="E26" s="9">
        <v>2060777</v>
      </c>
      <c r="F26" s="27">
        <f t="shared" si="2"/>
        <v>280.7598092643052</v>
      </c>
      <c r="G26" s="2"/>
      <c r="H26" s="2"/>
      <c r="I26" s="55"/>
      <c r="J26" s="55"/>
      <c r="K26" s="2"/>
      <c r="L26" s="2"/>
      <c r="M26" s="2"/>
      <c r="N26" s="2"/>
      <c r="O26" s="2"/>
      <c r="P26" s="2"/>
      <c r="Q26" s="2"/>
    </row>
    <row r="27" spans="2:17" ht="18.75" x14ac:dyDescent="0.3">
      <c r="B27" s="26" t="s">
        <v>29</v>
      </c>
      <c r="C27" s="9">
        <v>9589</v>
      </c>
      <c r="D27" s="3">
        <v>19442</v>
      </c>
      <c r="E27" s="9">
        <v>2501213</v>
      </c>
      <c r="F27" s="27">
        <f t="shared" si="2"/>
        <v>260.84190217958076</v>
      </c>
      <c r="G27" s="2"/>
      <c r="H27" s="2"/>
      <c r="I27" s="55"/>
      <c r="J27" s="55"/>
      <c r="K27" s="2"/>
      <c r="L27" s="2"/>
      <c r="M27" s="2"/>
      <c r="N27" s="2"/>
      <c r="O27" s="2"/>
      <c r="P27" s="2"/>
      <c r="Q27" s="2"/>
    </row>
    <row r="28" spans="2:17" ht="18.75" x14ac:dyDescent="0.3">
      <c r="B28" s="26" t="s">
        <v>30</v>
      </c>
      <c r="C28" s="9">
        <v>6497</v>
      </c>
      <c r="D28" s="3">
        <v>15037</v>
      </c>
      <c r="E28" s="9">
        <v>1893182</v>
      </c>
      <c r="F28" s="27">
        <f t="shared" si="2"/>
        <v>291.39325842696627</v>
      </c>
      <c r="G28" s="2"/>
      <c r="H28" s="2"/>
      <c r="I28" s="55"/>
      <c r="J28" s="55"/>
      <c r="K28" s="2"/>
      <c r="L28" s="2"/>
      <c r="M28" s="2"/>
      <c r="N28" s="2"/>
      <c r="O28" s="2"/>
      <c r="P28" s="2"/>
      <c r="Q28" s="2"/>
    </row>
    <row r="29" spans="2:17" ht="18.75" x14ac:dyDescent="0.3">
      <c r="B29" s="26" t="s">
        <v>31</v>
      </c>
      <c r="C29" s="9">
        <v>5495</v>
      </c>
      <c r="D29" s="3">
        <v>11947</v>
      </c>
      <c r="E29" s="9">
        <v>1516903</v>
      </c>
      <c r="F29" s="27">
        <f t="shared" si="2"/>
        <v>276.05150136487714</v>
      </c>
      <c r="G29" s="2"/>
      <c r="H29" s="2"/>
      <c r="I29" s="55"/>
      <c r="J29" s="55"/>
      <c r="K29" s="2"/>
      <c r="L29" s="2"/>
      <c r="M29" s="2"/>
      <c r="N29" s="2"/>
      <c r="O29" s="2"/>
      <c r="P29" s="2"/>
      <c r="Q29" s="2"/>
    </row>
    <row r="30" spans="2:17" ht="18.75" x14ac:dyDescent="0.3">
      <c r="B30" s="39" t="s">
        <v>32</v>
      </c>
      <c r="C30" s="8">
        <v>5459</v>
      </c>
      <c r="D30" s="13">
        <v>12140</v>
      </c>
      <c r="E30" s="8">
        <v>1558399</v>
      </c>
      <c r="F30" s="27">
        <f t="shared" si="2"/>
        <v>285.47334676680708</v>
      </c>
      <c r="G30" s="2"/>
      <c r="H30" s="2"/>
      <c r="I30" s="55"/>
      <c r="J30" s="55"/>
      <c r="K30" s="2"/>
      <c r="L30" s="2"/>
      <c r="M30" s="2"/>
      <c r="N30" s="2"/>
      <c r="O30" s="2"/>
      <c r="P30" s="2"/>
      <c r="Q30" s="2"/>
    </row>
    <row r="31" spans="2:17" ht="19.5" thickBot="1" x14ac:dyDescent="0.35">
      <c r="B31" s="39" t="s">
        <v>33</v>
      </c>
      <c r="C31" s="56">
        <v>1913</v>
      </c>
      <c r="D31" s="5">
        <v>4160</v>
      </c>
      <c r="E31" s="57">
        <v>537553</v>
      </c>
      <c r="F31" s="27">
        <f t="shared" si="2"/>
        <v>281</v>
      </c>
      <c r="G31" s="2"/>
      <c r="H31" s="2"/>
      <c r="I31" s="55"/>
      <c r="J31" s="55"/>
      <c r="K31" s="2"/>
      <c r="L31" s="2"/>
      <c r="M31" s="2"/>
      <c r="N31" s="2"/>
      <c r="O31" s="2"/>
      <c r="P31" s="2"/>
      <c r="Q31" s="2"/>
    </row>
    <row r="32" spans="2:17" ht="19.5" thickBot="1" x14ac:dyDescent="0.35">
      <c r="B32" s="29" t="s">
        <v>34</v>
      </c>
      <c r="C32" s="40">
        <f>SUM(C19:C31)</f>
        <v>86901</v>
      </c>
      <c r="D32" s="40">
        <f t="shared" ref="D32:E32" si="3">SUM(D19:D31)</f>
        <v>182010</v>
      </c>
      <c r="E32" s="40">
        <f t="shared" si="3"/>
        <v>23398817</v>
      </c>
      <c r="F32" s="31">
        <f t="shared" si="2"/>
        <v>269.25831693536321</v>
      </c>
      <c r="G32" s="2"/>
      <c r="H32" s="2"/>
      <c r="I32" s="55"/>
      <c r="J32" s="55"/>
      <c r="K32" s="2"/>
      <c r="L32" s="2"/>
      <c r="M32" s="2"/>
      <c r="N32" s="2"/>
      <c r="O32" s="2"/>
      <c r="P32" s="2"/>
      <c r="Q32" s="2"/>
    </row>
    <row r="33" spans="2:10" ht="19.5" thickBot="1" x14ac:dyDescent="0.35">
      <c r="B33" s="32"/>
      <c r="C33" s="41"/>
      <c r="D33" s="41"/>
      <c r="E33" s="41"/>
      <c r="F33" s="33"/>
      <c r="G33" s="17"/>
      <c r="H33" s="17"/>
      <c r="I33" s="55"/>
      <c r="J33" s="55"/>
    </row>
    <row r="34" spans="2:10" ht="19.5" thickBot="1" x14ac:dyDescent="0.35">
      <c r="B34" s="21" t="s">
        <v>35</v>
      </c>
      <c r="C34" s="42"/>
      <c r="D34" s="42"/>
      <c r="E34" s="42"/>
      <c r="F34" s="43"/>
      <c r="G34" s="17"/>
      <c r="H34" s="17"/>
      <c r="I34" s="55"/>
      <c r="J34" s="55"/>
    </row>
    <row r="35" spans="2:10" ht="18.75" x14ac:dyDescent="0.3">
      <c r="B35" s="24" t="s">
        <v>36</v>
      </c>
      <c r="C35" s="16">
        <v>8701</v>
      </c>
      <c r="D35" s="7">
        <v>18555</v>
      </c>
      <c r="E35" s="8">
        <v>2378644</v>
      </c>
      <c r="F35" s="27">
        <f t="shared" ref="F35:F47" si="4">E35/C35</f>
        <v>273.37593380071257</v>
      </c>
      <c r="G35" s="17"/>
      <c r="H35" s="17"/>
      <c r="I35" s="55"/>
      <c r="J35" s="55"/>
    </row>
    <row r="36" spans="2:10" ht="18.75" x14ac:dyDescent="0.3">
      <c r="B36" s="26" t="s">
        <v>37</v>
      </c>
      <c r="C36" s="9">
        <v>8652</v>
      </c>
      <c r="D36" s="7">
        <v>17598</v>
      </c>
      <c r="E36" s="9">
        <v>2248437</v>
      </c>
      <c r="F36" s="27">
        <f t="shared" si="4"/>
        <v>259.87482662968102</v>
      </c>
      <c r="G36" s="17"/>
      <c r="H36" s="17"/>
      <c r="I36" s="55"/>
      <c r="J36" s="55"/>
    </row>
    <row r="37" spans="2:10" ht="18.75" x14ac:dyDescent="0.3">
      <c r="B37" s="26" t="s">
        <v>38</v>
      </c>
      <c r="C37" s="9">
        <v>10131</v>
      </c>
      <c r="D37" s="7">
        <v>21249</v>
      </c>
      <c r="E37" s="9">
        <v>2685865</v>
      </c>
      <c r="F37" s="27">
        <f t="shared" si="4"/>
        <v>265.11351297996248</v>
      </c>
      <c r="G37" s="17"/>
      <c r="H37" s="17"/>
      <c r="I37" s="55"/>
      <c r="J37" s="55"/>
    </row>
    <row r="38" spans="2:10" ht="18.75" x14ac:dyDescent="0.3">
      <c r="B38" s="26" t="s">
        <v>39</v>
      </c>
      <c r="C38" s="9">
        <v>5038</v>
      </c>
      <c r="D38" s="7">
        <v>10762</v>
      </c>
      <c r="E38" s="9">
        <v>1396728</v>
      </c>
      <c r="F38" s="27">
        <f t="shared" si="4"/>
        <v>277.23858674077013</v>
      </c>
      <c r="G38" s="17"/>
      <c r="H38" s="17"/>
      <c r="I38" s="55"/>
      <c r="J38" s="55"/>
    </row>
    <row r="39" spans="2:10" ht="18.75" x14ac:dyDescent="0.3">
      <c r="B39" s="26" t="s">
        <v>40</v>
      </c>
      <c r="C39" s="9">
        <v>7787</v>
      </c>
      <c r="D39" s="7">
        <v>17048</v>
      </c>
      <c r="E39" s="9">
        <v>2178607</v>
      </c>
      <c r="F39" s="27">
        <f t="shared" si="4"/>
        <v>279.77488121227685</v>
      </c>
      <c r="G39" s="17"/>
      <c r="H39" s="17"/>
      <c r="I39" s="55"/>
      <c r="J39" s="55"/>
    </row>
    <row r="40" spans="2:10" ht="18.75" x14ac:dyDescent="0.3">
      <c r="B40" s="26" t="s">
        <v>41</v>
      </c>
      <c r="C40" s="9">
        <v>5651</v>
      </c>
      <c r="D40" s="7">
        <v>11769</v>
      </c>
      <c r="E40" s="9">
        <v>1488868</v>
      </c>
      <c r="F40" s="27">
        <f t="shared" si="4"/>
        <v>263.46982834896477</v>
      </c>
      <c r="G40" s="17"/>
      <c r="H40" s="17"/>
      <c r="I40" s="55"/>
      <c r="J40" s="55"/>
    </row>
    <row r="41" spans="2:10" ht="18.75" x14ac:dyDescent="0.3">
      <c r="B41" s="26" t="s">
        <v>42</v>
      </c>
      <c r="C41" s="9">
        <v>6767</v>
      </c>
      <c r="D41" s="7">
        <v>14883</v>
      </c>
      <c r="E41" s="9">
        <v>1870370</v>
      </c>
      <c r="F41" s="27">
        <f t="shared" si="4"/>
        <v>276.39574405201716</v>
      </c>
      <c r="G41" s="17"/>
      <c r="H41" s="17"/>
      <c r="I41" s="55"/>
      <c r="J41" s="55"/>
    </row>
    <row r="42" spans="2:10" ht="18.75" x14ac:dyDescent="0.3">
      <c r="B42" s="26" t="s">
        <v>43</v>
      </c>
      <c r="C42" s="9">
        <v>9876</v>
      </c>
      <c r="D42" s="7">
        <v>22077</v>
      </c>
      <c r="E42" s="9">
        <v>2797289</v>
      </c>
      <c r="F42" s="27">
        <f t="shared" si="4"/>
        <v>283.24108950992303</v>
      </c>
      <c r="G42" s="17"/>
      <c r="H42" s="17"/>
      <c r="I42" s="55"/>
      <c r="J42" s="55"/>
    </row>
    <row r="43" spans="2:10" ht="18.75" x14ac:dyDescent="0.3">
      <c r="B43" s="26" t="s">
        <v>44</v>
      </c>
      <c r="C43" s="9">
        <v>6547</v>
      </c>
      <c r="D43" s="7">
        <v>14041</v>
      </c>
      <c r="E43" s="9">
        <v>1785352</v>
      </c>
      <c r="F43" s="27">
        <f t="shared" si="4"/>
        <v>272.69772414846494</v>
      </c>
      <c r="G43" s="17"/>
      <c r="H43" s="17"/>
      <c r="I43" s="55"/>
      <c r="J43" s="55"/>
    </row>
    <row r="44" spans="2:10" ht="18.75" x14ac:dyDescent="0.3">
      <c r="B44" s="26" t="s">
        <v>45</v>
      </c>
      <c r="C44" s="9">
        <v>5490</v>
      </c>
      <c r="D44" s="7">
        <v>11345</v>
      </c>
      <c r="E44" s="9">
        <v>1430033</v>
      </c>
      <c r="F44" s="27">
        <f t="shared" si="4"/>
        <v>260.47959927140255</v>
      </c>
      <c r="G44" s="17"/>
      <c r="H44" s="17"/>
      <c r="I44" s="55"/>
      <c r="J44" s="55"/>
    </row>
    <row r="45" spans="2:10" ht="18.75" x14ac:dyDescent="0.3">
      <c r="B45" s="26" t="s">
        <v>46</v>
      </c>
      <c r="C45" s="9">
        <v>7153</v>
      </c>
      <c r="D45" s="7">
        <v>15566</v>
      </c>
      <c r="E45" s="9">
        <v>1984639</v>
      </c>
      <c r="F45" s="27">
        <f t="shared" si="4"/>
        <v>277.45547322801622</v>
      </c>
      <c r="G45" s="17"/>
      <c r="H45" s="17"/>
      <c r="I45" s="55"/>
      <c r="J45" s="55"/>
    </row>
    <row r="46" spans="2:10" ht="18.75" x14ac:dyDescent="0.3">
      <c r="B46" s="39" t="s">
        <v>47</v>
      </c>
      <c r="C46" s="9">
        <v>6501</v>
      </c>
      <c r="D46" s="7">
        <v>13702</v>
      </c>
      <c r="E46" s="12">
        <v>1744857</v>
      </c>
      <c r="F46" s="27">
        <f t="shared" si="4"/>
        <v>268.39824642362714</v>
      </c>
      <c r="G46" s="17"/>
      <c r="H46" s="17"/>
      <c r="I46" s="55"/>
      <c r="J46" s="55"/>
    </row>
    <row r="47" spans="2:10" ht="19.5" thickBot="1" x14ac:dyDescent="0.35">
      <c r="B47" s="39" t="s">
        <v>48</v>
      </c>
      <c r="C47" s="56">
        <v>5008</v>
      </c>
      <c r="D47" s="7">
        <v>10481</v>
      </c>
      <c r="E47" s="12">
        <v>1327775</v>
      </c>
      <c r="F47" s="27">
        <f t="shared" si="4"/>
        <v>265.1307907348243</v>
      </c>
      <c r="G47" s="17"/>
      <c r="H47" s="17"/>
      <c r="I47" s="55"/>
      <c r="J47" s="55"/>
    </row>
    <row r="48" spans="2:10" ht="19.5" thickBot="1" x14ac:dyDescent="0.35">
      <c r="B48" s="29" t="s">
        <v>49</v>
      </c>
      <c r="C48" s="40">
        <f>SUM(C35:C47)</f>
        <v>93302</v>
      </c>
      <c r="D48" s="40">
        <f t="shared" ref="D48:E48" si="5">SUM(D35:D47)</f>
        <v>199076</v>
      </c>
      <c r="E48" s="40">
        <f t="shared" si="5"/>
        <v>25317464</v>
      </c>
      <c r="F48" s="31">
        <f t="shared" ref="F48" si="6">E48/C48</f>
        <v>271.34963880731391</v>
      </c>
      <c r="G48" s="17"/>
      <c r="H48" s="17"/>
      <c r="I48" s="55"/>
      <c r="J48" s="55"/>
    </row>
    <row r="49" spans="2:10" ht="19.5" thickBot="1" x14ac:dyDescent="0.35">
      <c r="B49" s="44"/>
      <c r="C49" s="45"/>
      <c r="D49" s="45"/>
      <c r="E49" s="45"/>
      <c r="F49" s="46"/>
      <c r="G49" s="17"/>
      <c r="H49" s="17"/>
      <c r="I49" s="55"/>
      <c r="J49" s="55"/>
    </row>
    <row r="50" spans="2:10" ht="19.5" thickBot="1" x14ac:dyDescent="0.35">
      <c r="B50" s="21" t="s">
        <v>50</v>
      </c>
      <c r="C50" s="42"/>
      <c r="D50" s="42"/>
      <c r="E50" s="42"/>
      <c r="F50" s="43"/>
      <c r="G50" s="17"/>
      <c r="H50" s="17"/>
      <c r="I50" s="55"/>
      <c r="J50" s="55"/>
    </row>
    <row r="51" spans="2:10" ht="18.75" x14ac:dyDescent="0.3">
      <c r="B51" s="24" t="s">
        <v>51</v>
      </c>
      <c r="C51" s="16">
        <v>5133</v>
      </c>
      <c r="D51" s="7">
        <v>10831</v>
      </c>
      <c r="E51" s="8">
        <v>1396755</v>
      </c>
      <c r="F51" s="27">
        <f t="shared" ref="F51:F57" si="7">E51/C51</f>
        <v>272.11279953243718</v>
      </c>
      <c r="G51" s="17"/>
      <c r="H51" s="17"/>
      <c r="I51" s="55"/>
      <c r="J51" s="55"/>
    </row>
    <row r="52" spans="2:10" ht="18.75" x14ac:dyDescent="0.3">
      <c r="B52" s="26" t="s">
        <v>52</v>
      </c>
      <c r="C52" s="9">
        <v>7841</v>
      </c>
      <c r="D52" s="7">
        <v>17563</v>
      </c>
      <c r="E52" s="9">
        <v>2253606</v>
      </c>
      <c r="F52" s="27">
        <f t="shared" si="7"/>
        <v>287.41308506568038</v>
      </c>
      <c r="G52" s="17"/>
      <c r="H52" s="17"/>
      <c r="I52" s="55"/>
      <c r="J52" s="55"/>
    </row>
    <row r="53" spans="2:10" ht="18.75" x14ac:dyDescent="0.3">
      <c r="B53" s="26" t="s">
        <v>53</v>
      </c>
      <c r="C53" s="9">
        <v>20941</v>
      </c>
      <c r="D53" s="7">
        <v>42856</v>
      </c>
      <c r="E53" s="9">
        <v>5458198</v>
      </c>
      <c r="F53" s="27">
        <f t="shared" si="7"/>
        <v>260.64648297598012</v>
      </c>
      <c r="G53" s="17"/>
      <c r="H53" s="17"/>
      <c r="I53" s="55"/>
      <c r="J53" s="55"/>
    </row>
    <row r="54" spans="2:10" ht="18.75" x14ac:dyDescent="0.3">
      <c r="B54" s="26" t="s">
        <v>54</v>
      </c>
      <c r="C54" s="9">
        <v>6702</v>
      </c>
      <c r="D54" s="7">
        <v>14512</v>
      </c>
      <c r="E54" s="9">
        <v>1827387</v>
      </c>
      <c r="F54" s="27">
        <f t="shared" si="7"/>
        <v>272.66293643688454</v>
      </c>
      <c r="G54" s="17"/>
      <c r="H54" s="17"/>
      <c r="I54" s="55"/>
      <c r="J54" s="55"/>
    </row>
    <row r="55" spans="2:10" ht="18.75" x14ac:dyDescent="0.3">
      <c r="B55" s="26" t="s">
        <v>55</v>
      </c>
      <c r="C55" s="9">
        <v>5260</v>
      </c>
      <c r="D55" s="7">
        <v>10836</v>
      </c>
      <c r="E55" s="9">
        <v>1413415</v>
      </c>
      <c r="F55" s="27">
        <f t="shared" si="7"/>
        <v>268.71007604562737</v>
      </c>
      <c r="G55" s="17"/>
      <c r="H55" s="17"/>
      <c r="I55" s="55"/>
      <c r="J55" s="55"/>
    </row>
    <row r="56" spans="2:10" ht="18.75" x14ac:dyDescent="0.3">
      <c r="B56" s="26" t="s">
        <v>56</v>
      </c>
      <c r="C56" s="9">
        <v>5238</v>
      </c>
      <c r="D56" s="7">
        <v>10844</v>
      </c>
      <c r="E56" s="9">
        <v>1376031</v>
      </c>
      <c r="F56" s="27">
        <f t="shared" si="7"/>
        <v>262.70160366552119</v>
      </c>
      <c r="G56" s="17"/>
      <c r="H56" s="17"/>
      <c r="I56" s="55"/>
      <c r="J56" s="55"/>
    </row>
    <row r="57" spans="2:10" ht="19.5" thickBot="1" x14ac:dyDescent="0.35">
      <c r="B57" s="26" t="s">
        <v>57</v>
      </c>
      <c r="C57" s="10">
        <v>7478</v>
      </c>
      <c r="D57" s="7">
        <v>15396</v>
      </c>
      <c r="E57" s="9">
        <v>1952483</v>
      </c>
      <c r="F57" s="27">
        <f t="shared" si="7"/>
        <v>261.0969510564322</v>
      </c>
      <c r="G57" s="17"/>
      <c r="H57" s="17"/>
      <c r="I57" s="55"/>
      <c r="J57" s="55"/>
    </row>
    <row r="58" spans="2:10" ht="19.5" thickBot="1" x14ac:dyDescent="0.35">
      <c r="B58" s="29" t="s">
        <v>49</v>
      </c>
      <c r="C58" s="40">
        <f>SUM(C51:C57)</f>
        <v>58593</v>
      </c>
      <c r="D58" s="40">
        <f t="shared" ref="D58:E58" si="8">SUM(D51:D57)</f>
        <v>122838</v>
      </c>
      <c r="E58" s="40">
        <f t="shared" si="8"/>
        <v>15677875</v>
      </c>
      <c r="F58" s="31">
        <f t="shared" ref="F58" si="9">E58/C58</f>
        <v>267.5724915945591</v>
      </c>
      <c r="G58" s="17"/>
      <c r="H58" s="17"/>
      <c r="I58" s="55"/>
      <c r="J58" s="55"/>
    </row>
    <row r="59" spans="2:10" ht="19.5" thickBot="1" x14ac:dyDescent="0.35">
      <c r="B59" s="44"/>
      <c r="C59" s="45"/>
      <c r="D59" s="45"/>
      <c r="E59" s="45"/>
      <c r="F59" s="46"/>
      <c r="G59" s="17"/>
      <c r="H59" s="17"/>
      <c r="I59" s="55"/>
      <c r="J59" s="55"/>
    </row>
    <row r="60" spans="2:10" ht="19.5" thickBot="1" x14ac:dyDescent="0.35">
      <c r="B60" s="21" t="s">
        <v>58</v>
      </c>
      <c r="C60" s="42"/>
      <c r="D60" s="42"/>
      <c r="E60" s="42"/>
      <c r="F60" s="43"/>
      <c r="G60" s="17"/>
      <c r="H60" s="17"/>
      <c r="I60" s="55"/>
      <c r="J60" s="55"/>
    </row>
    <row r="61" spans="2:10" ht="18.75" x14ac:dyDescent="0.3">
      <c r="B61" s="24" t="s">
        <v>59</v>
      </c>
      <c r="C61" s="16">
        <v>8332</v>
      </c>
      <c r="D61" s="7">
        <v>17908</v>
      </c>
      <c r="E61" s="8">
        <v>2267302</v>
      </c>
      <c r="F61" s="27">
        <f t="shared" ref="F61:F68" si="10">E61/C61</f>
        <v>272.11977916466634</v>
      </c>
      <c r="G61" s="17"/>
      <c r="H61" s="17"/>
      <c r="I61" s="55"/>
      <c r="J61" s="55"/>
    </row>
    <row r="62" spans="2:10" ht="18.75" x14ac:dyDescent="0.3">
      <c r="B62" s="26" t="s">
        <v>60</v>
      </c>
      <c r="C62" s="9">
        <v>9213</v>
      </c>
      <c r="D62" s="7">
        <v>19329</v>
      </c>
      <c r="E62" s="9">
        <v>2461316</v>
      </c>
      <c r="F62" s="27">
        <f t="shared" si="10"/>
        <v>267.15684359057855</v>
      </c>
      <c r="G62" s="17"/>
      <c r="H62" s="17"/>
      <c r="I62" s="55"/>
      <c r="J62" s="55"/>
    </row>
    <row r="63" spans="2:10" ht="18.75" x14ac:dyDescent="0.3">
      <c r="B63" s="26" t="s">
        <v>61</v>
      </c>
      <c r="C63" s="9">
        <v>10951</v>
      </c>
      <c r="D63" s="7">
        <v>22320</v>
      </c>
      <c r="E63" s="9">
        <v>2838657</v>
      </c>
      <c r="F63" s="27">
        <f t="shared" si="10"/>
        <v>259.21440964295499</v>
      </c>
      <c r="G63" s="17"/>
      <c r="H63" s="17"/>
      <c r="I63" s="55"/>
      <c r="J63" s="55"/>
    </row>
    <row r="64" spans="2:10" ht="18.75" x14ac:dyDescent="0.3">
      <c r="B64" s="26" t="s">
        <v>62</v>
      </c>
      <c r="C64" s="9">
        <v>5060</v>
      </c>
      <c r="D64" s="7">
        <v>11403</v>
      </c>
      <c r="E64" s="9">
        <v>1464849</v>
      </c>
      <c r="F64" s="27">
        <f t="shared" si="10"/>
        <v>289.49584980237154</v>
      </c>
      <c r="G64" s="17"/>
      <c r="H64" s="17"/>
      <c r="I64" s="55"/>
      <c r="J64" s="55"/>
    </row>
    <row r="65" spans="2:10" ht="18.75" x14ac:dyDescent="0.3">
      <c r="B65" s="26" t="s">
        <v>63</v>
      </c>
      <c r="C65" s="9">
        <v>3782</v>
      </c>
      <c r="D65" s="7">
        <v>7890</v>
      </c>
      <c r="E65" s="9">
        <v>998123</v>
      </c>
      <c r="F65" s="27">
        <f t="shared" si="10"/>
        <v>263.91406663141197</v>
      </c>
      <c r="G65" s="17"/>
      <c r="H65" s="17"/>
      <c r="I65" s="55"/>
      <c r="J65" s="55"/>
    </row>
    <row r="66" spans="2:10" ht="18.75" x14ac:dyDescent="0.3">
      <c r="B66" s="26" t="s">
        <v>64</v>
      </c>
      <c r="C66" s="9">
        <v>6998</v>
      </c>
      <c r="D66" s="7">
        <v>14757</v>
      </c>
      <c r="E66" s="9">
        <v>1872682</v>
      </c>
      <c r="F66" s="27">
        <f t="shared" si="10"/>
        <v>267.60245784509863</v>
      </c>
      <c r="G66" s="75">
        <f>D66+D67</f>
        <v>19975</v>
      </c>
      <c r="H66" s="17"/>
      <c r="I66" s="55"/>
      <c r="J66" s="55"/>
    </row>
    <row r="67" spans="2:10" ht="18.75" x14ac:dyDescent="0.3">
      <c r="B67" s="26" t="s">
        <v>65</v>
      </c>
      <c r="C67" s="9">
        <v>2422</v>
      </c>
      <c r="D67" s="7">
        <v>5218</v>
      </c>
      <c r="E67" s="9">
        <v>660527</v>
      </c>
      <c r="F67" s="27">
        <f t="shared" si="10"/>
        <v>272.71965317919074</v>
      </c>
      <c r="G67" s="75">
        <f>D68</f>
        <v>18849</v>
      </c>
      <c r="H67" s="17"/>
      <c r="I67" s="55"/>
      <c r="J67" s="55"/>
    </row>
    <row r="68" spans="2:10" ht="19.5" thickBot="1" x14ac:dyDescent="0.35">
      <c r="B68" s="26" t="s">
        <v>66</v>
      </c>
      <c r="C68" s="9">
        <v>9121</v>
      </c>
      <c r="D68" s="7">
        <v>18849</v>
      </c>
      <c r="E68" s="9">
        <v>2405506</v>
      </c>
      <c r="F68" s="27">
        <f t="shared" si="10"/>
        <v>263.7327047472865</v>
      </c>
      <c r="G68" s="17"/>
      <c r="H68" s="17"/>
      <c r="I68" s="55"/>
      <c r="J68" s="55"/>
    </row>
    <row r="69" spans="2:10" ht="19.5" thickBot="1" x14ac:dyDescent="0.35">
      <c r="B69" s="29" t="s">
        <v>49</v>
      </c>
      <c r="C69" s="40">
        <f>SUM(C61:C68)</f>
        <v>55879</v>
      </c>
      <c r="D69" s="40">
        <f>SUM(D61:D68)</f>
        <v>117674</v>
      </c>
      <c r="E69" s="40">
        <f>SUM(E61:E68)</f>
        <v>14968962</v>
      </c>
      <c r="F69" s="31">
        <f t="shared" ref="F69" si="11">E69/C69</f>
        <v>267.88170869199519</v>
      </c>
      <c r="G69" s="17"/>
      <c r="H69" s="17"/>
      <c r="I69" s="55"/>
      <c r="J69" s="55"/>
    </row>
    <row r="70" spans="2:10" ht="19.5" thickBot="1" x14ac:dyDescent="0.35">
      <c r="B70" s="44"/>
      <c r="C70" s="45"/>
      <c r="D70" s="45"/>
      <c r="E70" s="45"/>
      <c r="F70" s="46"/>
      <c r="G70" s="17"/>
      <c r="H70" s="17"/>
      <c r="I70" s="55"/>
      <c r="J70" s="55"/>
    </row>
    <row r="71" spans="2:10" ht="19.5" thickBot="1" x14ac:dyDescent="0.35">
      <c r="B71" s="21" t="s">
        <v>67</v>
      </c>
      <c r="C71" s="42"/>
      <c r="D71" s="42"/>
      <c r="E71" s="42"/>
      <c r="F71" s="43"/>
      <c r="G71" s="17"/>
      <c r="H71" s="17"/>
      <c r="I71" s="55"/>
      <c r="J71" s="55"/>
    </row>
    <row r="72" spans="2:10" ht="18.75" x14ac:dyDescent="0.3">
      <c r="B72" s="24" t="s">
        <v>68</v>
      </c>
      <c r="C72" s="16">
        <v>3962</v>
      </c>
      <c r="D72" s="7">
        <v>8608</v>
      </c>
      <c r="E72" s="8">
        <v>1086412</v>
      </c>
      <c r="F72" s="27">
        <f t="shared" ref="F72:F77" si="12">E72/C72</f>
        <v>274.20797576981323</v>
      </c>
      <c r="G72" s="17"/>
      <c r="H72" s="17"/>
      <c r="I72" s="55"/>
      <c r="J72" s="55"/>
    </row>
    <row r="73" spans="2:10" ht="18.75" x14ac:dyDescent="0.3">
      <c r="B73" s="26" t="s">
        <v>69</v>
      </c>
      <c r="C73" s="9">
        <v>6780</v>
      </c>
      <c r="D73" s="7">
        <v>13356</v>
      </c>
      <c r="E73" s="9">
        <v>1678855</v>
      </c>
      <c r="F73" s="27">
        <f t="shared" si="12"/>
        <v>247.61873156342182</v>
      </c>
      <c r="G73" s="17"/>
      <c r="H73" s="17"/>
      <c r="I73" s="55"/>
      <c r="J73" s="55"/>
    </row>
    <row r="74" spans="2:10" ht="18.75" x14ac:dyDescent="0.3">
      <c r="B74" s="26" t="s">
        <v>67</v>
      </c>
      <c r="C74" s="9">
        <v>7985</v>
      </c>
      <c r="D74" s="7">
        <v>16965</v>
      </c>
      <c r="E74" s="9">
        <v>2140827</v>
      </c>
      <c r="F74" s="27">
        <f t="shared" si="12"/>
        <v>268.106073888541</v>
      </c>
      <c r="G74" s="17"/>
      <c r="H74" s="17"/>
      <c r="I74" s="55"/>
      <c r="J74" s="55"/>
    </row>
    <row r="75" spans="2:10" ht="18.75" x14ac:dyDescent="0.3">
      <c r="B75" s="26" t="s">
        <v>70</v>
      </c>
      <c r="C75" s="9">
        <v>4172</v>
      </c>
      <c r="D75" s="7">
        <v>8647</v>
      </c>
      <c r="E75" s="9">
        <v>1093404</v>
      </c>
      <c r="F75" s="27">
        <f t="shared" si="12"/>
        <v>262.08149568552255</v>
      </c>
      <c r="G75" s="17"/>
      <c r="H75" s="17"/>
      <c r="I75" s="55"/>
      <c r="J75" s="55"/>
    </row>
    <row r="76" spans="2:10" ht="18.75" x14ac:dyDescent="0.3">
      <c r="B76" s="26" t="s">
        <v>71</v>
      </c>
      <c r="C76" s="9">
        <v>6074</v>
      </c>
      <c r="D76" s="7">
        <v>12834</v>
      </c>
      <c r="E76" s="9">
        <v>1620077</v>
      </c>
      <c r="F76" s="27">
        <f t="shared" si="12"/>
        <v>266.72324662495885</v>
      </c>
      <c r="G76" s="17"/>
      <c r="H76" s="17"/>
      <c r="I76" s="55"/>
      <c r="J76" s="55"/>
    </row>
    <row r="77" spans="2:10" ht="19.5" thickBot="1" x14ac:dyDescent="0.35">
      <c r="B77" s="28" t="s">
        <v>72</v>
      </c>
      <c r="C77" s="10">
        <v>3902</v>
      </c>
      <c r="D77" s="7">
        <v>8554</v>
      </c>
      <c r="E77" s="10">
        <v>1062943</v>
      </c>
      <c r="F77" s="27">
        <f t="shared" si="12"/>
        <v>272.40978985135825</v>
      </c>
      <c r="G77" s="17"/>
      <c r="H77" s="17"/>
      <c r="I77" s="55"/>
      <c r="J77" s="55"/>
    </row>
    <row r="78" spans="2:10" ht="19.5" thickBot="1" x14ac:dyDescent="0.35">
      <c r="B78" s="29" t="s">
        <v>49</v>
      </c>
      <c r="C78" s="40">
        <f>SUM(C72:C77)</f>
        <v>32875</v>
      </c>
      <c r="D78" s="40">
        <f t="shared" ref="D78:E78" si="13">SUM(D72:D77)</f>
        <v>68964</v>
      </c>
      <c r="E78" s="40">
        <f t="shared" si="13"/>
        <v>8682518</v>
      </c>
      <c r="F78" s="31">
        <f t="shared" ref="F78" si="14">E78/C78</f>
        <v>264.10701140684409</v>
      </c>
      <c r="G78" s="17"/>
      <c r="H78" s="17"/>
      <c r="I78" s="55"/>
      <c r="J78" s="55"/>
    </row>
    <row r="79" spans="2:10" ht="19.5" thickBot="1" x14ac:dyDescent="0.35">
      <c r="B79" s="44"/>
      <c r="C79" s="45"/>
      <c r="D79" s="45"/>
      <c r="E79" s="45"/>
      <c r="F79" s="46"/>
      <c r="G79" s="17"/>
      <c r="H79" s="17"/>
      <c r="I79" s="55"/>
      <c r="J79" s="55"/>
    </row>
    <row r="80" spans="2:10" ht="19.5" thickBot="1" x14ac:dyDescent="0.35">
      <c r="B80" s="21" t="s">
        <v>73</v>
      </c>
      <c r="C80" s="42"/>
      <c r="D80" s="42"/>
      <c r="E80" s="42"/>
      <c r="F80" s="43"/>
      <c r="G80" s="17"/>
      <c r="H80" s="17"/>
      <c r="I80" s="55"/>
      <c r="J80" s="55"/>
    </row>
    <row r="81" spans="2:10" ht="18.75" x14ac:dyDescent="0.3">
      <c r="B81" s="24" t="s">
        <v>74</v>
      </c>
      <c r="C81" s="16">
        <v>2299</v>
      </c>
      <c r="D81" s="7">
        <v>4734</v>
      </c>
      <c r="E81" s="7">
        <v>594604</v>
      </c>
      <c r="F81" s="27">
        <f t="shared" ref="F81:F90" si="15">E81/C81</f>
        <v>258.63592866463682</v>
      </c>
      <c r="G81" s="17"/>
      <c r="H81" s="17"/>
      <c r="I81" s="55"/>
      <c r="J81" s="55"/>
    </row>
    <row r="82" spans="2:10" ht="18.75" x14ac:dyDescent="0.3">
      <c r="B82" s="26" t="s">
        <v>75</v>
      </c>
      <c r="C82" s="9">
        <v>234</v>
      </c>
      <c r="D82" s="7">
        <v>528</v>
      </c>
      <c r="E82" s="9">
        <v>62930</v>
      </c>
      <c r="F82" s="27">
        <f t="shared" si="15"/>
        <v>268.9316239316239</v>
      </c>
      <c r="G82" s="17"/>
      <c r="H82" s="17"/>
      <c r="I82" s="55"/>
      <c r="J82" s="55"/>
    </row>
    <row r="83" spans="2:10" ht="18.75" x14ac:dyDescent="0.3">
      <c r="B83" s="26" t="s">
        <v>76</v>
      </c>
      <c r="C83" s="9">
        <v>6594</v>
      </c>
      <c r="D83" s="7">
        <v>13630</v>
      </c>
      <c r="E83" s="9">
        <v>1747538</v>
      </c>
      <c r="F83" s="27">
        <f t="shared" si="15"/>
        <v>265.01941158629057</v>
      </c>
      <c r="G83" s="17"/>
      <c r="H83" s="17"/>
      <c r="I83" s="55"/>
      <c r="J83" s="55"/>
    </row>
    <row r="84" spans="2:10" ht="18.75" x14ac:dyDescent="0.3">
      <c r="B84" s="26" t="s">
        <v>73</v>
      </c>
      <c r="C84" s="9">
        <v>11001</v>
      </c>
      <c r="D84" s="7">
        <v>21855</v>
      </c>
      <c r="E84" s="9">
        <v>2800528</v>
      </c>
      <c r="F84" s="27">
        <f t="shared" si="15"/>
        <v>254.57031178983729</v>
      </c>
      <c r="G84" s="17"/>
      <c r="H84" s="17"/>
      <c r="I84" s="55"/>
      <c r="J84" s="55"/>
    </row>
    <row r="85" spans="2:10" ht="18.75" x14ac:dyDescent="0.3">
      <c r="B85" s="26" t="s">
        <v>77</v>
      </c>
      <c r="C85" s="9">
        <v>7949</v>
      </c>
      <c r="D85" s="7">
        <v>16785</v>
      </c>
      <c r="E85" s="9">
        <v>2155108</v>
      </c>
      <c r="F85" s="27">
        <f t="shared" si="15"/>
        <v>271.11687004654675</v>
      </c>
      <c r="G85" s="17"/>
      <c r="H85" s="17"/>
      <c r="I85" s="55"/>
      <c r="J85" s="55"/>
    </row>
    <row r="86" spans="2:10" ht="18.75" x14ac:dyDescent="0.3">
      <c r="B86" s="26" t="s">
        <v>78</v>
      </c>
      <c r="C86" s="9">
        <v>6977</v>
      </c>
      <c r="D86" s="7">
        <v>14288</v>
      </c>
      <c r="E86" s="9">
        <v>1840723</v>
      </c>
      <c r="F86" s="27">
        <f t="shared" si="15"/>
        <v>263.8272896660456</v>
      </c>
      <c r="G86" s="17"/>
      <c r="H86" s="17"/>
      <c r="I86" s="55"/>
      <c r="J86" s="55"/>
    </row>
    <row r="87" spans="2:10" ht="18.75" x14ac:dyDescent="0.3">
      <c r="B87" s="26" t="s">
        <v>79</v>
      </c>
      <c r="C87" s="9">
        <v>2835</v>
      </c>
      <c r="D87" s="7">
        <v>5858</v>
      </c>
      <c r="E87" s="9">
        <v>740823</v>
      </c>
      <c r="F87" s="27">
        <f t="shared" si="15"/>
        <v>261.3132275132275</v>
      </c>
      <c r="G87" s="17"/>
      <c r="H87" s="17"/>
      <c r="I87" s="55"/>
      <c r="J87" s="55"/>
    </row>
    <row r="88" spans="2:10" ht="18.75" x14ac:dyDescent="0.3">
      <c r="B88" s="26" t="s">
        <v>80</v>
      </c>
      <c r="C88" s="9">
        <v>5234</v>
      </c>
      <c r="D88" s="7">
        <v>11077</v>
      </c>
      <c r="E88" s="9">
        <v>1404674</v>
      </c>
      <c r="F88" s="27">
        <f t="shared" si="15"/>
        <v>268.37485670615206</v>
      </c>
      <c r="G88" s="17"/>
      <c r="H88" s="17"/>
      <c r="I88" s="55"/>
      <c r="J88" s="55"/>
    </row>
    <row r="89" spans="2:10" ht="18.75" x14ac:dyDescent="0.3">
      <c r="B89" s="26" t="s">
        <v>81</v>
      </c>
      <c r="C89" s="9">
        <v>2046</v>
      </c>
      <c r="D89" s="7">
        <v>4149</v>
      </c>
      <c r="E89" s="9">
        <v>536078</v>
      </c>
      <c r="F89" s="27">
        <f t="shared" si="15"/>
        <v>262.01270772238513</v>
      </c>
      <c r="G89" s="17"/>
      <c r="H89" s="17"/>
      <c r="I89" s="55"/>
      <c r="J89" s="55"/>
    </row>
    <row r="90" spans="2:10" ht="19.5" thickBot="1" x14ac:dyDescent="0.35">
      <c r="B90" s="28" t="s">
        <v>82</v>
      </c>
      <c r="C90" s="10">
        <v>9104</v>
      </c>
      <c r="D90" s="7">
        <v>18432</v>
      </c>
      <c r="E90" s="10">
        <v>2345728</v>
      </c>
      <c r="F90" s="27">
        <f t="shared" si="15"/>
        <v>257.65905096660811</v>
      </c>
      <c r="G90" s="17"/>
      <c r="H90" s="17"/>
      <c r="I90" s="55"/>
      <c r="J90" s="55"/>
    </row>
    <row r="91" spans="2:10" ht="19.5" thickBot="1" x14ac:dyDescent="0.35">
      <c r="B91" s="29" t="s">
        <v>49</v>
      </c>
      <c r="C91" s="40">
        <f>SUM(C81:C90)</f>
        <v>54273</v>
      </c>
      <c r="D91" s="40">
        <f t="shared" ref="D91:E91" si="16">SUM(D81:D90)</f>
        <v>111336</v>
      </c>
      <c r="E91" s="40">
        <f t="shared" si="16"/>
        <v>14228734</v>
      </c>
      <c r="F91" s="31">
        <f t="shared" ref="F91" si="17">E91/C91</f>
        <v>262.16966078897428</v>
      </c>
      <c r="G91" s="17"/>
      <c r="H91" s="17"/>
      <c r="I91" s="55"/>
      <c r="J91" s="55"/>
    </row>
    <row r="92" spans="2:10" ht="19.5" thickBot="1" x14ac:dyDescent="0.35">
      <c r="B92" s="44"/>
      <c r="C92" s="45"/>
      <c r="D92" s="45"/>
      <c r="E92" s="45"/>
      <c r="F92" s="46"/>
      <c r="G92" s="17"/>
      <c r="H92" s="17"/>
      <c r="I92" s="55"/>
      <c r="J92" s="55"/>
    </row>
    <row r="93" spans="2:10" ht="19.5" thickBot="1" x14ac:dyDescent="0.35">
      <c r="B93" s="21" t="s">
        <v>83</v>
      </c>
      <c r="C93" s="42"/>
      <c r="D93" s="42"/>
      <c r="E93" s="42"/>
      <c r="F93" s="43"/>
      <c r="G93" s="17"/>
      <c r="H93" s="17"/>
      <c r="I93" s="55"/>
      <c r="J93" s="55"/>
    </row>
    <row r="94" spans="2:10" ht="18.75" x14ac:dyDescent="0.3">
      <c r="B94" s="24" t="s">
        <v>84</v>
      </c>
      <c r="C94" s="16">
        <v>5506</v>
      </c>
      <c r="D94" s="7">
        <v>11336</v>
      </c>
      <c r="E94" s="8">
        <v>1431480</v>
      </c>
      <c r="F94" s="27">
        <f t="shared" ref="F94:F102" si="18">E94/C94</f>
        <v>259.98547039593171</v>
      </c>
      <c r="G94" s="17"/>
      <c r="H94" s="17"/>
      <c r="I94" s="55"/>
      <c r="J94" s="55"/>
    </row>
    <row r="95" spans="2:10" ht="18.75" x14ac:dyDescent="0.3">
      <c r="B95" s="26" t="s">
        <v>85</v>
      </c>
      <c r="C95" s="9">
        <v>7513</v>
      </c>
      <c r="D95" s="7">
        <v>15869</v>
      </c>
      <c r="E95" s="9">
        <v>2025557</v>
      </c>
      <c r="F95" s="27">
        <f t="shared" si="18"/>
        <v>269.60694795687476</v>
      </c>
      <c r="G95" s="17"/>
      <c r="H95" s="17"/>
      <c r="I95" s="55"/>
      <c r="J95" s="55"/>
    </row>
    <row r="96" spans="2:10" ht="18.75" x14ac:dyDescent="0.3">
      <c r="B96" s="26" t="s">
        <v>86</v>
      </c>
      <c r="C96" s="9">
        <v>4075</v>
      </c>
      <c r="D96" s="7">
        <v>8822</v>
      </c>
      <c r="E96" s="9">
        <v>1123504</v>
      </c>
      <c r="F96" s="27">
        <f t="shared" si="18"/>
        <v>275.70650306748468</v>
      </c>
      <c r="G96" s="17"/>
      <c r="H96" s="17"/>
      <c r="I96" s="55"/>
      <c r="J96" s="55"/>
    </row>
    <row r="97" spans="2:10" ht="18.75" x14ac:dyDescent="0.3">
      <c r="B97" s="26" t="s">
        <v>87</v>
      </c>
      <c r="C97" s="9">
        <v>2567</v>
      </c>
      <c r="D97" s="7">
        <v>4948</v>
      </c>
      <c r="E97" s="9">
        <v>632284</v>
      </c>
      <c r="F97" s="27">
        <f t="shared" si="18"/>
        <v>246.31242695753798</v>
      </c>
      <c r="G97" s="17"/>
      <c r="H97" s="17"/>
      <c r="I97" s="55"/>
      <c r="J97" s="55"/>
    </row>
    <row r="98" spans="2:10" ht="18.75" x14ac:dyDescent="0.3">
      <c r="B98" s="26" t="s">
        <v>88</v>
      </c>
      <c r="C98" s="9">
        <v>4977</v>
      </c>
      <c r="D98" s="7">
        <v>10680</v>
      </c>
      <c r="E98" s="9">
        <v>1365800</v>
      </c>
      <c r="F98" s="27">
        <f t="shared" si="18"/>
        <v>274.42234277677318</v>
      </c>
      <c r="G98" s="17"/>
      <c r="H98" s="17"/>
      <c r="I98" s="55"/>
      <c r="J98" s="55"/>
    </row>
    <row r="99" spans="2:10" ht="18.75" x14ac:dyDescent="0.3">
      <c r="B99" s="26" t="s">
        <v>89</v>
      </c>
      <c r="C99" s="9">
        <v>1140</v>
      </c>
      <c r="D99" s="7">
        <v>2725</v>
      </c>
      <c r="E99" s="9">
        <v>346665</v>
      </c>
      <c r="F99" s="27">
        <f t="shared" si="18"/>
        <v>304.09210526315792</v>
      </c>
      <c r="G99" s="17"/>
      <c r="H99" s="17"/>
      <c r="I99" s="55"/>
      <c r="J99" s="55"/>
    </row>
    <row r="100" spans="2:10" ht="18.75" x14ac:dyDescent="0.3">
      <c r="B100" s="26" t="s">
        <v>90</v>
      </c>
      <c r="C100" s="9">
        <v>15155</v>
      </c>
      <c r="D100" s="7">
        <v>30202</v>
      </c>
      <c r="E100" s="9">
        <v>3923105</v>
      </c>
      <c r="F100" s="27">
        <f t="shared" si="18"/>
        <v>258.8653909600792</v>
      </c>
      <c r="G100" s="17"/>
      <c r="H100" s="17"/>
      <c r="I100" s="55"/>
      <c r="J100" s="55"/>
    </row>
    <row r="101" spans="2:10" ht="18.75" x14ac:dyDescent="0.3">
      <c r="B101" s="47" t="s">
        <v>92</v>
      </c>
      <c r="C101" s="9">
        <v>4237</v>
      </c>
      <c r="D101" s="7">
        <v>9161</v>
      </c>
      <c r="E101" s="9">
        <v>1150586</v>
      </c>
      <c r="F101" s="27">
        <f t="shared" si="18"/>
        <v>271.55676185980644</v>
      </c>
      <c r="G101" s="17"/>
      <c r="H101" s="17"/>
      <c r="I101" s="55"/>
      <c r="J101" s="55"/>
    </row>
    <row r="102" spans="2:10" ht="19.5" thickBot="1" x14ac:dyDescent="0.35">
      <c r="B102" s="26" t="s">
        <v>93</v>
      </c>
      <c r="C102" s="10">
        <v>6365</v>
      </c>
      <c r="D102" s="7">
        <v>13264</v>
      </c>
      <c r="E102" s="9">
        <v>1685353</v>
      </c>
      <c r="F102" s="27">
        <f t="shared" si="18"/>
        <v>264.78444619010213</v>
      </c>
      <c r="G102" s="17"/>
      <c r="H102" s="17"/>
      <c r="I102" s="55"/>
      <c r="J102" s="55"/>
    </row>
    <row r="103" spans="2:10" ht="19.5" thickBot="1" x14ac:dyDescent="0.35">
      <c r="B103" s="29" t="s">
        <v>49</v>
      </c>
      <c r="C103" s="40">
        <f>SUM(C94:C102)</f>
        <v>51535</v>
      </c>
      <c r="D103" s="40">
        <f t="shared" ref="D103:E103" si="19">SUM(D94:D102)</f>
        <v>107007</v>
      </c>
      <c r="E103" s="40">
        <f t="shared" si="19"/>
        <v>13684334</v>
      </c>
      <c r="F103" s="31">
        <f t="shared" ref="F103" si="20">E103/C103</f>
        <v>265.53476278257494</v>
      </c>
      <c r="G103" s="17"/>
      <c r="H103" s="17"/>
      <c r="I103" s="55"/>
      <c r="J103" s="55"/>
    </row>
    <row r="104" spans="2:10" ht="19.5" thickBot="1" x14ac:dyDescent="0.35">
      <c r="B104" s="44"/>
      <c r="C104" s="45"/>
      <c r="D104" s="45"/>
      <c r="E104" s="45"/>
      <c r="F104" s="46"/>
      <c r="G104" s="17"/>
      <c r="H104" s="17"/>
      <c r="I104" s="55"/>
      <c r="J104" s="55"/>
    </row>
    <row r="105" spans="2:10" ht="19.5" thickBot="1" x14ac:dyDescent="0.35">
      <c r="B105" s="34" t="s">
        <v>94</v>
      </c>
      <c r="C105" s="42"/>
      <c r="D105" s="42"/>
      <c r="E105" s="42"/>
      <c r="F105" s="43"/>
      <c r="G105" s="17"/>
      <c r="H105" s="17"/>
      <c r="I105" s="55"/>
      <c r="J105" s="55"/>
    </row>
    <row r="106" spans="2:10" ht="18.75" x14ac:dyDescent="0.3">
      <c r="B106" s="48" t="s">
        <v>95</v>
      </c>
      <c r="C106" s="60">
        <v>3852</v>
      </c>
      <c r="D106" s="7">
        <v>9194</v>
      </c>
      <c r="E106" s="8">
        <v>1175289</v>
      </c>
      <c r="F106" s="27">
        <f t="shared" ref="F106:F119" si="21">E106/C106</f>
        <v>305.11137071651092</v>
      </c>
      <c r="G106" s="17"/>
      <c r="H106" s="17"/>
      <c r="I106" s="55"/>
      <c r="J106" s="55"/>
    </row>
    <row r="107" spans="2:10" ht="18.75" x14ac:dyDescent="0.3">
      <c r="B107" s="49" t="s">
        <v>96</v>
      </c>
      <c r="C107" s="9">
        <v>5511</v>
      </c>
      <c r="D107" s="7">
        <v>11242</v>
      </c>
      <c r="E107" s="8">
        <v>1431942</v>
      </c>
      <c r="F107" s="27">
        <f t="shared" si="21"/>
        <v>259.83342406096898</v>
      </c>
      <c r="G107" s="17"/>
      <c r="H107" s="17"/>
      <c r="I107" s="55"/>
      <c r="J107" s="55"/>
    </row>
    <row r="108" spans="2:10" ht="18.75" x14ac:dyDescent="0.3">
      <c r="B108" s="49" t="s">
        <v>97</v>
      </c>
      <c r="C108" s="9">
        <v>855</v>
      </c>
      <c r="D108" s="7">
        <v>1968</v>
      </c>
      <c r="E108" s="9">
        <v>259666</v>
      </c>
      <c r="F108" s="27">
        <f t="shared" si="21"/>
        <v>303.70292397660819</v>
      </c>
      <c r="G108" s="17"/>
      <c r="H108" s="17"/>
      <c r="I108" s="55"/>
      <c r="J108" s="55"/>
    </row>
    <row r="109" spans="2:10" ht="18.75" x14ac:dyDescent="0.3">
      <c r="B109" s="49" t="s">
        <v>98</v>
      </c>
      <c r="C109" s="9">
        <v>7489</v>
      </c>
      <c r="D109" s="7">
        <v>16171</v>
      </c>
      <c r="E109" s="9">
        <v>2055215</v>
      </c>
      <c r="F109" s="27">
        <f t="shared" si="21"/>
        <v>274.43116570970756</v>
      </c>
      <c r="G109" s="17"/>
      <c r="H109" s="17"/>
      <c r="I109" s="55"/>
      <c r="J109" s="55"/>
    </row>
    <row r="110" spans="2:10" ht="18.75" x14ac:dyDescent="0.3">
      <c r="B110" s="26" t="s">
        <v>99</v>
      </c>
      <c r="C110" s="9">
        <v>4599</v>
      </c>
      <c r="D110" s="7">
        <v>10157</v>
      </c>
      <c r="E110" s="9">
        <v>1296729</v>
      </c>
      <c r="F110" s="27">
        <f t="shared" si="21"/>
        <v>281.95890410958901</v>
      </c>
      <c r="G110" s="17"/>
      <c r="H110" s="17"/>
      <c r="I110" s="55"/>
      <c r="J110" s="55"/>
    </row>
    <row r="111" spans="2:10" ht="18.75" x14ac:dyDescent="0.3">
      <c r="B111" s="26" t="s">
        <v>100</v>
      </c>
      <c r="C111" s="9">
        <v>3719</v>
      </c>
      <c r="D111" s="7">
        <v>8918</v>
      </c>
      <c r="E111" s="9">
        <v>1138972</v>
      </c>
      <c r="F111" s="27">
        <f t="shared" si="21"/>
        <v>306.25759612799141</v>
      </c>
      <c r="G111" s="17"/>
      <c r="H111" s="17"/>
      <c r="I111" s="55"/>
      <c r="J111" s="55"/>
    </row>
    <row r="112" spans="2:10" ht="18.75" x14ac:dyDescent="0.3">
      <c r="B112" s="26" t="s">
        <v>101</v>
      </c>
      <c r="C112" s="9">
        <v>8620</v>
      </c>
      <c r="D112" s="7">
        <v>19640</v>
      </c>
      <c r="E112" s="9">
        <v>2475443</v>
      </c>
      <c r="F112" s="27">
        <f t="shared" si="21"/>
        <v>287.17436194895589</v>
      </c>
      <c r="G112" s="17"/>
      <c r="H112" s="17"/>
      <c r="I112" s="55"/>
      <c r="J112" s="55"/>
    </row>
    <row r="113" spans="2:10" ht="18.75" x14ac:dyDescent="0.3">
      <c r="B113" s="26" t="s">
        <v>102</v>
      </c>
      <c r="C113" s="9">
        <v>5740</v>
      </c>
      <c r="D113" s="7">
        <v>13223</v>
      </c>
      <c r="E113" s="9">
        <v>1677119</v>
      </c>
      <c r="F113" s="27">
        <f t="shared" si="21"/>
        <v>292.18101045296169</v>
      </c>
      <c r="G113" s="17"/>
      <c r="H113" s="17"/>
      <c r="I113" s="55"/>
      <c r="J113" s="55"/>
    </row>
    <row r="114" spans="2:10" ht="18.75" x14ac:dyDescent="0.3">
      <c r="B114" s="26" t="s">
        <v>103</v>
      </c>
      <c r="C114" s="9">
        <v>4897</v>
      </c>
      <c r="D114" s="7">
        <v>11670</v>
      </c>
      <c r="E114" s="9">
        <v>1459672</v>
      </c>
      <c r="F114" s="27">
        <f t="shared" si="21"/>
        <v>298.07473963651216</v>
      </c>
      <c r="G114" s="17"/>
      <c r="H114" s="17"/>
      <c r="I114" s="55"/>
      <c r="J114" s="55"/>
    </row>
    <row r="115" spans="2:10" ht="18.75" x14ac:dyDescent="0.3">
      <c r="B115" s="26" t="s">
        <v>104</v>
      </c>
      <c r="C115" s="9">
        <v>7141</v>
      </c>
      <c r="D115" s="7">
        <v>14578</v>
      </c>
      <c r="E115" s="9">
        <v>1871335</v>
      </c>
      <c r="F115" s="27">
        <f t="shared" si="21"/>
        <v>262.05503430892031</v>
      </c>
      <c r="G115" s="17"/>
      <c r="H115" s="17"/>
      <c r="I115" s="55"/>
      <c r="J115" s="55"/>
    </row>
    <row r="116" spans="2:10" ht="18.75" x14ac:dyDescent="0.3">
      <c r="B116" s="26" t="s">
        <v>105</v>
      </c>
      <c r="C116" s="9">
        <v>8338</v>
      </c>
      <c r="D116" s="7">
        <v>19409</v>
      </c>
      <c r="E116" s="9">
        <v>2465081</v>
      </c>
      <c r="F116" s="27">
        <f t="shared" si="21"/>
        <v>295.64415927080836</v>
      </c>
      <c r="G116" s="17"/>
      <c r="H116" s="17"/>
      <c r="I116" s="55"/>
      <c r="J116" s="55"/>
    </row>
    <row r="117" spans="2:10" ht="18.75" x14ac:dyDescent="0.3">
      <c r="B117" s="26" t="s">
        <v>106</v>
      </c>
      <c r="C117" s="9">
        <v>15880</v>
      </c>
      <c r="D117" s="7">
        <v>35012</v>
      </c>
      <c r="E117" s="9">
        <v>4516883</v>
      </c>
      <c r="F117" s="27">
        <f t="shared" si="21"/>
        <v>284.43847607052896</v>
      </c>
      <c r="G117" s="17"/>
      <c r="H117" s="17"/>
      <c r="I117" s="55"/>
      <c r="J117" s="55"/>
    </row>
    <row r="118" spans="2:10" ht="18.75" x14ac:dyDescent="0.3">
      <c r="B118" s="26" t="s">
        <v>107</v>
      </c>
      <c r="C118" s="9">
        <v>5276</v>
      </c>
      <c r="D118" s="7">
        <v>12177</v>
      </c>
      <c r="E118" s="9">
        <v>1544391</v>
      </c>
      <c r="F118" s="27">
        <f t="shared" si="21"/>
        <v>292.72005307050796</v>
      </c>
      <c r="G118" s="17"/>
      <c r="H118" s="17"/>
      <c r="I118" s="55"/>
      <c r="J118" s="55"/>
    </row>
    <row r="119" spans="2:10" ht="19.5" thickBot="1" x14ac:dyDescent="0.35">
      <c r="B119" s="26" t="s">
        <v>108</v>
      </c>
      <c r="C119" s="10">
        <v>8198</v>
      </c>
      <c r="D119" s="7">
        <v>17651</v>
      </c>
      <c r="E119" s="9">
        <v>2238898</v>
      </c>
      <c r="F119" s="27">
        <f t="shared" si="21"/>
        <v>273.10295193949742</v>
      </c>
      <c r="G119" s="17"/>
      <c r="H119" s="17"/>
      <c r="I119" s="55"/>
      <c r="J119" s="55"/>
    </row>
    <row r="120" spans="2:10" ht="19.5" thickBot="1" x14ac:dyDescent="0.35">
      <c r="B120" s="29" t="s">
        <v>49</v>
      </c>
      <c r="C120" s="40">
        <f>SUM(C106:C119)</f>
        <v>90115</v>
      </c>
      <c r="D120" s="40">
        <f t="shared" ref="D120:E120" si="22">SUM(D106:D119)</f>
        <v>201010</v>
      </c>
      <c r="E120" s="40">
        <f t="shared" si="22"/>
        <v>25606635</v>
      </c>
      <c r="F120" s="31">
        <f t="shared" ref="F120" si="23">E120/C120</f>
        <v>284.15507962048491</v>
      </c>
      <c r="G120" s="17"/>
      <c r="H120" s="17"/>
      <c r="I120" s="55"/>
      <c r="J120" s="55"/>
    </row>
    <row r="121" spans="2:10" ht="19.5" thickBot="1" x14ac:dyDescent="0.35">
      <c r="B121" s="44"/>
      <c r="C121" s="45"/>
      <c r="D121" s="45"/>
      <c r="E121" s="45"/>
      <c r="F121" s="46"/>
      <c r="G121" s="17"/>
      <c r="H121" s="17"/>
      <c r="I121" s="55"/>
      <c r="J121" s="55"/>
    </row>
    <row r="122" spans="2:10" ht="19.5" thickBot="1" x14ac:dyDescent="0.35">
      <c r="B122" s="21" t="s">
        <v>109</v>
      </c>
      <c r="C122" s="42"/>
      <c r="D122" s="42"/>
      <c r="E122" s="42"/>
      <c r="F122" s="43"/>
      <c r="G122" s="17"/>
      <c r="H122" s="17"/>
      <c r="I122" s="55"/>
      <c r="J122" s="55"/>
    </row>
    <row r="123" spans="2:10" ht="18.75" x14ac:dyDescent="0.3">
      <c r="B123" s="24" t="s">
        <v>110</v>
      </c>
      <c r="C123" s="16">
        <v>1479</v>
      </c>
      <c r="D123" s="7">
        <v>3334</v>
      </c>
      <c r="E123" s="8">
        <v>427405</v>
      </c>
      <c r="F123" s="27">
        <f t="shared" ref="F123:F132" si="24">E123/C123</f>
        <v>288.98242055442864</v>
      </c>
      <c r="G123" s="17"/>
      <c r="H123" s="17"/>
      <c r="I123" s="55"/>
      <c r="J123" s="55"/>
    </row>
    <row r="124" spans="2:10" ht="18.75" x14ac:dyDescent="0.3">
      <c r="B124" s="26" t="s">
        <v>111</v>
      </c>
      <c r="C124" s="9">
        <v>4735</v>
      </c>
      <c r="D124" s="7">
        <v>9747</v>
      </c>
      <c r="E124" s="9">
        <v>1254244</v>
      </c>
      <c r="F124" s="27">
        <f t="shared" si="24"/>
        <v>264.88785638859554</v>
      </c>
      <c r="G124" s="17"/>
      <c r="H124" s="17"/>
      <c r="I124" s="55"/>
      <c r="J124" s="55"/>
    </row>
    <row r="125" spans="2:10" ht="18.75" x14ac:dyDescent="0.3">
      <c r="B125" s="26" t="s">
        <v>112</v>
      </c>
      <c r="C125" s="9">
        <v>1648</v>
      </c>
      <c r="D125" s="7">
        <v>3467</v>
      </c>
      <c r="E125" s="9">
        <v>441984</v>
      </c>
      <c r="F125" s="27">
        <f t="shared" si="24"/>
        <v>268.19417475728153</v>
      </c>
      <c r="G125" s="17"/>
      <c r="H125" s="17"/>
      <c r="I125" s="55"/>
      <c r="J125" s="55"/>
    </row>
    <row r="126" spans="2:10" ht="18.75" x14ac:dyDescent="0.3">
      <c r="B126" s="26" t="s">
        <v>113</v>
      </c>
      <c r="C126" s="9">
        <v>4754</v>
      </c>
      <c r="D126" s="7">
        <v>9493</v>
      </c>
      <c r="E126" s="9">
        <v>1231260</v>
      </c>
      <c r="F126" s="27">
        <f t="shared" si="24"/>
        <v>258.99453092132939</v>
      </c>
      <c r="G126" s="17"/>
      <c r="H126" s="17"/>
      <c r="I126" s="55"/>
      <c r="J126" s="55"/>
    </row>
    <row r="127" spans="2:10" ht="18.75" x14ac:dyDescent="0.3">
      <c r="B127" s="26" t="s">
        <v>114</v>
      </c>
      <c r="C127" s="9">
        <v>7502</v>
      </c>
      <c r="D127" s="7">
        <v>12992</v>
      </c>
      <c r="E127" s="9">
        <v>1753550</v>
      </c>
      <c r="F127" s="27">
        <f t="shared" si="24"/>
        <v>233.74433484404159</v>
      </c>
      <c r="G127" s="17"/>
      <c r="H127" s="17"/>
      <c r="I127" s="55"/>
      <c r="J127" s="55"/>
    </row>
    <row r="128" spans="2:10" ht="18.75" x14ac:dyDescent="0.3">
      <c r="B128" s="26" t="s">
        <v>115</v>
      </c>
      <c r="C128" s="9">
        <v>10518</v>
      </c>
      <c r="D128" s="7">
        <v>23047</v>
      </c>
      <c r="E128" s="9">
        <v>2985121</v>
      </c>
      <c r="F128" s="27">
        <f t="shared" si="24"/>
        <v>283.81070545731126</v>
      </c>
      <c r="G128" s="17"/>
      <c r="H128" s="17"/>
      <c r="I128" s="55"/>
      <c r="J128" s="55"/>
    </row>
    <row r="129" spans="2:10" ht="18.75" x14ac:dyDescent="0.3">
      <c r="B129" s="26" t="s">
        <v>116</v>
      </c>
      <c r="C129" s="9">
        <v>9319</v>
      </c>
      <c r="D129" s="7">
        <v>19469</v>
      </c>
      <c r="E129" s="9">
        <v>2517060</v>
      </c>
      <c r="F129" s="27">
        <f t="shared" si="24"/>
        <v>270.09979611546305</v>
      </c>
      <c r="G129" s="17"/>
      <c r="H129" s="17"/>
      <c r="I129" s="55"/>
      <c r="J129" s="55"/>
    </row>
    <row r="130" spans="2:10" ht="18.75" x14ac:dyDescent="0.3">
      <c r="B130" s="26" t="s">
        <v>117</v>
      </c>
      <c r="C130" s="9">
        <v>7084</v>
      </c>
      <c r="D130" s="7">
        <v>15688</v>
      </c>
      <c r="E130" s="9">
        <v>2029483</v>
      </c>
      <c r="F130" s="27">
        <f t="shared" si="24"/>
        <v>286.48828345567478</v>
      </c>
      <c r="G130" s="17"/>
      <c r="H130" s="17"/>
      <c r="I130" s="55"/>
      <c r="J130" s="55"/>
    </row>
    <row r="131" spans="2:10" ht="18.75" x14ac:dyDescent="0.3">
      <c r="B131" s="47" t="s">
        <v>118</v>
      </c>
      <c r="C131" s="9">
        <v>8119</v>
      </c>
      <c r="D131" s="7">
        <v>17057</v>
      </c>
      <c r="E131" s="9">
        <v>2251142</v>
      </c>
      <c r="F131" s="27">
        <f t="shared" si="24"/>
        <v>277.26838280576425</v>
      </c>
      <c r="G131" s="17"/>
      <c r="H131" s="17"/>
      <c r="I131" s="55"/>
      <c r="J131" s="55"/>
    </row>
    <row r="132" spans="2:10" ht="19.5" thickBot="1" x14ac:dyDescent="0.35">
      <c r="B132" s="47" t="s">
        <v>119</v>
      </c>
      <c r="C132" s="56">
        <v>5714</v>
      </c>
      <c r="D132" s="7">
        <v>9928</v>
      </c>
      <c r="E132" s="9">
        <v>1293717</v>
      </c>
      <c r="F132" s="27">
        <f t="shared" si="24"/>
        <v>226.4117955897795</v>
      </c>
      <c r="G132" s="17"/>
      <c r="H132" s="17"/>
      <c r="I132" s="55"/>
      <c r="J132" s="55"/>
    </row>
    <row r="133" spans="2:10" ht="19.5" thickBot="1" x14ac:dyDescent="0.35">
      <c r="B133" s="29" t="s">
        <v>49</v>
      </c>
      <c r="C133" s="40">
        <f>SUM(C123:C132)</f>
        <v>60872</v>
      </c>
      <c r="D133" s="40">
        <f t="shared" ref="D133:E133" si="25">SUM(D123:D132)</f>
        <v>124222</v>
      </c>
      <c r="E133" s="40">
        <f t="shared" si="25"/>
        <v>16184966</v>
      </c>
      <c r="F133" s="31">
        <f t="shared" ref="F133" si="26">E133/C133</f>
        <v>265.88523459061639</v>
      </c>
      <c r="G133" s="17"/>
      <c r="H133" s="17"/>
      <c r="I133" s="55"/>
      <c r="J133" s="55"/>
    </row>
    <row r="134" spans="2:10" ht="19.5" thickBot="1" x14ac:dyDescent="0.35">
      <c r="B134" s="44"/>
      <c r="C134" s="45"/>
      <c r="D134" s="45"/>
      <c r="E134" s="45"/>
      <c r="F134" s="46"/>
      <c r="G134" s="17"/>
      <c r="H134" s="17"/>
      <c r="I134" s="55"/>
      <c r="J134" s="55"/>
    </row>
    <row r="135" spans="2:10" ht="19.5" thickBot="1" x14ac:dyDescent="0.35">
      <c r="B135" s="52" t="s">
        <v>120</v>
      </c>
      <c r="C135" s="50">
        <f>SUM(C133+C120+C103+C91+C78+C69+C58+C48+C32+C16)</f>
        <v>635259</v>
      </c>
      <c r="D135" s="50">
        <f>SUM(D133+D120+D103+D91+D78+D69+D58+D48+D32+D16)</f>
        <v>1341743</v>
      </c>
      <c r="E135" s="50">
        <f>SUM(E133+E120+E103+E91+E78+E69+E58+E48+E32+E16)</f>
        <v>171600097</v>
      </c>
      <c r="F135" s="43">
        <f t="shared" ref="F135" si="27">E135/C135</f>
        <v>270.12619577211814</v>
      </c>
      <c r="G135" s="17"/>
      <c r="H135" s="17"/>
      <c r="I135" s="55"/>
      <c r="J135" s="55"/>
    </row>
    <row r="136" spans="2:10" ht="18.75" x14ac:dyDescent="0.3">
      <c r="B136" s="51"/>
      <c r="C136" s="17"/>
      <c r="D136" s="17"/>
      <c r="E136" s="17"/>
      <c r="F136" s="17"/>
      <c r="G136" s="17"/>
      <c r="H136" s="17"/>
      <c r="I136" s="53"/>
      <c r="J136" s="53"/>
    </row>
    <row r="137" spans="2:10" ht="18.75" x14ac:dyDescent="0.3">
      <c r="B137" s="51"/>
      <c r="C137" s="17"/>
      <c r="D137" s="17"/>
      <c r="E137" s="17"/>
      <c r="F137" s="17"/>
      <c r="G137" s="17"/>
      <c r="H137" s="17"/>
      <c r="I137" s="53"/>
      <c r="J137" s="53"/>
    </row>
    <row r="138" spans="2:10" ht="18.75" x14ac:dyDescent="0.3">
      <c r="B138" s="51"/>
      <c r="C138" s="17"/>
      <c r="D138" s="17"/>
      <c r="E138" s="17"/>
      <c r="F138" s="17"/>
      <c r="G138" s="17"/>
      <c r="H138" s="17"/>
      <c r="I138" s="53"/>
      <c r="J138" s="53"/>
    </row>
    <row r="139" spans="2:10" ht="18.75" x14ac:dyDescent="0.3">
      <c r="B139" s="51"/>
      <c r="C139" s="17"/>
      <c r="D139" s="17"/>
      <c r="E139" s="17"/>
      <c r="F139" s="17"/>
      <c r="G139" s="17"/>
      <c r="H139" s="17"/>
      <c r="I139" s="53"/>
      <c r="J139" s="53"/>
    </row>
    <row r="140" spans="2:10" ht="18.75" x14ac:dyDescent="0.3">
      <c r="B140" s="51"/>
      <c r="C140" s="17"/>
      <c r="D140" s="17"/>
      <c r="E140" s="17"/>
      <c r="F140" s="17"/>
      <c r="G140" s="17"/>
      <c r="H140" s="17"/>
      <c r="I140" s="53"/>
      <c r="J140" s="53"/>
    </row>
    <row r="141" spans="2:10" ht="18.75" x14ac:dyDescent="0.3">
      <c r="B141" s="51"/>
      <c r="C141" s="17"/>
      <c r="D141" s="17"/>
      <c r="E141" s="17"/>
      <c r="F141" s="17"/>
      <c r="G141" s="17"/>
      <c r="H141" s="17"/>
      <c r="I141" s="53"/>
      <c r="J141" s="53"/>
    </row>
  </sheetData>
  <mergeCells count="6">
    <mergeCell ref="I6:J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40"/>
  <sheetViews>
    <sheetView topLeftCell="B121" workbookViewId="0">
      <selection activeCell="N135" sqref="N135"/>
    </sheetView>
  </sheetViews>
  <sheetFormatPr defaultRowHeight="15" x14ac:dyDescent="0.25"/>
  <cols>
    <col min="1" max="1" width="9.140625" style="1"/>
    <col min="2" max="2" width="18.7109375" style="1" bestFit="1" customWidth="1"/>
    <col min="3" max="3" width="10.5703125" style="1" bestFit="1" customWidth="1"/>
    <col min="4" max="4" width="12.7109375" style="1" bestFit="1" customWidth="1"/>
    <col min="5" max="5" width="15.7109375" style="1" bestFit="1" customWidth="1"/>
    <col min="6" max="6" width="15.85546875" style="1" customWidth="1"/>
    <col min="7" max="8" width="9.140625" style="1"/>
    <col min="9" max="9" width="14.5703125" style="65" bestFit="1" customWidth="1"/>
    <col min="10" max="10" width="15.28515625" style="65" bestFit="1" customWidth="1"/>
    <col min="11" max="16384" width="9.140625" style="1"/>
  </cols>
  <sheetData>
    <row r="1" spans="2:10" ht="18.75" x14ac:dyDescent="0.3">
      <c r="B1" s="162" t="s">
        <v>0</v>
      </c>
      <c r="C1" s="162"/>
      <c r="D1" s="162"/>
      <c r="E1" s="162"/>
      <c r="F1" s="162"/>
      <c r="G1" s="17"/>
      <c r="H1" s="17"/>
      <c r="I1" s="61"/>
      <c r="J1" s="61"/>
    </row>
    <row r="2" spans="2:10" ht="18.75" x14ac:dyDescent="0.3">
      <c r="B2" s="162" t="s">
        <v>1</v>
      </c>
      <c r="C2" s="162"/>
      <c r="D2" s="162"/>
      <c r="E2" s="162"/>
      <c r="F2" s="162"/>
      <c r="G2" s="17"/>
      <c r="H2" s="17"/>
      <c r="I2" s="61"/>
      <c r="J2" s="61"/>
    </row>
    <row r="3" spans="2:10" ht="18.75" x14ac:dyDescent="0.3">
      <c r="B3" s="163" t="s">
        <v>2</v>
      </c>
      <c r="C3" s="163"/>
      <c r="D3" s="163"/>
      <c r="E3" s="163"/>
      <c r="F3" s="163"/>
      <c r="G3" s="17"/>
      <c r="H3" s="17"/>
      <c r="I3" s="61"/>
      <c r="J3" s="61"/>
    </row>
    <row r="4" spans="2:10" ht="18.75" x14ac:dyDescent="0.3">
      <c r="B4" s="162" t="s">
        <v>127</v>
      </c>
      <c r="C4" s="162"/>
      <c r="D4" s="162"/>
      <c r="E4" s="162"/>
      <c r="F4" s="162"/>
      <c r="G4" s="17"/>
      <c r="H4" s="17"/>
      <c r="I4" s="61"/>
      <c r="J4" s="61"/>
    </row>
    <row r="5" spans="2:10" ht="19.5" thickBot="1" x14ac:dyDescent="0.35">
      <c r="B5" s="164"/>
      <c r="C5" s="164"/>
      <c r="D5" s="164"/>
      <c r="E5" s="164"/>
      <c r="F5" s="164"/>
      <c r="G5" s="17"/>
      <c r="H5" s="17"/>
      <c r="I5" s="61"/>
      <c r="J5" s="61"/>
    </row>
    <row r="6" spans="2:10" ht="57" thickBot="1" x14ac:dyDescent="0.35">
      <c r="B6" s="18"/>
      <c r="C6" s="19" t="s">
        <v>3</v>
      </c>
      <c r="D6" s="20" t="s">
        <v>4</v>
      </c>
      <c r="E6" s="20" t="s">
        <v>5</v>
      </c>
      <c r="F6" s="20" t="s">
        <v>6</v>
      </c>
      <c r="G6" s="17"/>
      <c r="H6" s="17"/>
      <c r="I6" s="165" t="s">
        <v>7</v>
      </c>
      <c r="J6" s="166"/>
    </row>
    <row r="7" spans="2:10" ht="19.5" thickBot="1" x14ac:dyDescent="0.35">
      <c r="B7" s="21" t="s">
        <v>8</v>
      </c>
      <c r="C7" s="22"/>
      <c r="D7" s="22"/>
      <c r="E7" s="22"/>
      <c r="F7" s="23"/>
      <c r="G7" s="17"/>
      <c r="H7" s="17"/>
      <c r="I7" s="62" t="s">
        <v>10</v>
      </c>
      <c r="J7" s="62" t="s">
        <v>9</v>
      </c>
    </row>
    <row r="8" spans="2:10" ht="18.75" x14ac:dyDescent="0.3">
      <c r="B8" s="24" t="s">
        <v>11</v>
      </c>
      <c r="C8" s="15">
        <v>7305</v>
      </c>
      <c r="D8" s="13">
        <f>I8+J8</f>
        <v>16321</v>
      </c>
      <c r="E8" s="14">
        <v>1606062</v>
      </c>
      <c r="F8" s="25">
        <f>E8/C8</f>
        <v>219.85790554414785</v>
      </c>
      <c r="G8" s="17"/>
      <c r="H8" s="17"/>
      <c r="I8" s="63">
        <v>8965</v>
      </c>
      <c r="J8" s="63">
        <v>7356</v>
      </c>
    </row>
    <row r="9" spans="2:10" ht="18.75" x14ac:dyDescent="0.3">
      <c r="B9" s="26" t="s">
        <v>12</v>
      </c>
      <c r="C9" s="3">
        <v>5710</v>
      </c>
      <c r="D9" s="13">
        <f t="shared" ref="D9:D15" si="0">I9+J9</f>
        <v>11824</v>
      </c>
      <c r="E9" s="3">
        <v>1200132</v>
      </c>
      <c r="F9" s="25">
        <f t="shared" ref="F9:F16" si="1">E9/C9</f>
        <v>210.18073555166376</v>
      </c>
      <c r="G9" s="17"/>
      <c r="H9" s="17"/>
      <c r="I9" s="63">
        <v>6548</v>
      </c>
      <c r="J9" s="63">
        <v>5276</v>
      </c>
    </row>
    <row r="10" spans="2:10" ht="18.75" x14ac:dyDescent="0.3">
      <c r="B10" s="26" t="s">
        <v>13</v>
      </c>
      <c r="C10" s="3">
        <v>6180</v>
      </c>
      <c r="D10" s="13">
        <f t="shared" si="0"/>
        <v>12344</v>
      </c>
      <c r="E10" s="13">
        <v>1258476</v>
      </c>
      <c r="F10" s="25">
        <f t="shared" si="1"/>
        <v>203.63689320388349</v>
      </c>
      <c r="G10" s="17"/>
      <c r="H10" s="17"/>
      <c r="I10" s="63">
        <v>6904</v>
      </c>
      <c r="J10" s="63">
        <v>5440</v>
      </c>
    </row>
    <row r="11" spans="2:10" ht="18.75" x14ac:dyDescent="0.3">
      <c r="B11" s="26" t="s">
        <v>14</v>
      </c>
      <c r="C11" s="3">
        <v>7958</v>
      </c>
      <c r="D11" s="13">
        <f t="shared" si="0"/>
        <v>16801</v>
      </c>
      <c r="E11" s="3">
        <v>1674745</v>
      </c>
      <c r="F11" s="25">
        <f t="shared" si="1"/>
        <v>210.44797687861271</v>
      </c>
      <c r="G11" s="17"/>
      <c r="H11" s="17"/>
      <c r="I11" s="63">
        <v>9224</v>
      </c>
      <c r="J11" s="63">
        <v>7577</v>
      </c>
    </row>
    <row r="12" spans="2:10" ht="18.75" x14ac:dyDescent="0.3">
      <c r="B12" s="26" t="s">
        <v>15</v>
      </c>
      <c r="C12" s="3">
        <v>2007</v>
      </c>
      <c r="D12" s="13">
        <f t="shared" si="0"/>
        <v>4503</v>
      </c>
      <c r="E12" s="3">
        <v>447550</v>
      </c>
      <c r="F12" s="25">
        <f t="shared" si="1"/>
        <v>222.99451918285999</v>
      </c>
      <c r="G12" s="17"/>
      <c r="H12" s="17"/>
      <c r="I12" s="63">
        <v>2342</v>
      </c>
      <c r="J12" s="63">
        <v>2161</v>
      </c>
    </row>
    <row r="13" spans="2:10" ht="18.75" x14ac:dyDescent="0.3">
      <c r="B13" s="26" t="s">
        <v>16</v>
      </c>
      <c r="C13" s="3">
        <v>8353</v>
      </c>
      <c r="D13" s="13">
        <f t="shared" si="0"/>
        <v>18356</v>
      </c>
      <c r="E13" s="3">
        <v>1836211</v>
      </c>
      <c r="F13" s="25">
        <f t="shared" si="1"/>
        <v>219.82652939063809</v>
      </c>
      <c r="G13" s="17"/>
      <c r="H13" s="17"/>
      <c r="I13" s="63">
        <v>9883</v>
      </c>
      <c r="J13" s="63">
        <v>8473</v>
      </c>
    </row>
    <row r="14" spans="2:10" ht="18.75" x14ac:dyDescent="0.3">
      <c r="B14" s="26" t="s">
        <v>17</v>
      </c>
      <c r="C14" s="3">
        <v>3031</v>
      </c>
      <c r="D14" s="13">
        <f t="shared" si="0"/>
        <v>6084</v>
      </c>
      <c r="E14" s="3">
        <v>613142</v>
      </c>
      <c r="F14" s="25">
        <f t="shared" si="1"/>
        <v>202.29033322335863</v>
      </c>
      <c r="G14" s="17"/>
      <c r="H14" s="17"/>
      <c r="I14" s="63">
        <v>3314</v>
      </c>
      <c r="J14" s="63">
        <v>2770</v>
      </c>
    </row>
    <row r="15" spans="2:10" ht="19.5" thickBot="1" x14ac:dyDescent="0.35">
      <c r="B15" s="28" t="s">
        <v>18</v>
      </c>
      <c r="C15" s="4">
        <v>9800</v>
      </c>
      <c r="D15" s="13">
        <f t="shared" si="0"/>
        <v>19938</v>
      </c>
      <c r="E15" s="11">
        <v>2027608</v>
      </c>
      <c r="F15" s="25">
        <f t="shared" si="1"/>
        <v>206.89877551020408</v>
      </c>
      <c r="G15" s="17"/>
      <c r="H15" s="17"/>
      <c r="I15" s="63">
        <v>10977</v>
      </c>
      <c r="J15" s="63">
        <v>8961</v>
      </c>
    </row>
    <row r="16" spans="2:10" ht="19.5" thickBot="1" x14ac:dyDescent="0.35">
      <c r="B16" s="29" t="s">
        <v>19</v>
      </c>
      <c r="C16" s="30">
        <v>50344</v>
      </c>
      <c r="D16" s="30">
        <f t="shared" ref="D16:E16" si="2">SUM(D8:D15)</f>
        <v>106171</v>
      </c>
      <c r="E16" s="30">
        <f t="shared" si="2"/>
        <v>10663926</v>
      </c>
      <c r="F16" s="31">
        <f t="shared" si="1"/>
        <v>211.82119021134594</v>
      </c>
      <c r="G16" s="17"/>
      <c r="H16" s="17"/>
      <c r="I16" s="63"/>
      <c r="J16" s="63"/>
    </row>
    <row r="17" spans="2:17" ht="19.5" thickBot="1" x14ac:dyDescent="0.35">
      <c r="B17" s="32"/>
      <c r="C17" s="33"/>
      <c r="D17" s="33"/>
      <c r="E17" s="33"/>
      <c r="F17" s="33"/>
      <c r="G17" s="2"/>
      <c r="H17" s="2"/>
      <c r="I17" s="63"/>
      <c r="J17" s="63"/>
      <c r="K17" s="2"/>
      <c r="L17" s="2"/>
      <c r="M17" s="2"/>
      <c r="N17" s="2"/>
      <c r="O17" s="2"/>
      <c r="P17" s="2"/>
      <c r="Q17" s="2"/>
    </row>
    <row r="18" spans="2:17" ht="19.5" thickBot="1" x14ac:dyDescent="0.35">
      <c r="B18" s="34" t="s">
        <v>20</v>
      </c>
      <c r="C18" s="35"/>
      <c r="D18" s="35"/>
      <c r="E18" s="35"/>
      <c r="F18" s="36"/>
      <c r="G18" s="2"/>
      <c r="H18" s="2"/>
      <c r="I18" s="63"/>
      <c r="J18" s="63"/>
      <c r="K18" s="2"/>
      <c r="L18" s="2"/>
      <c r="M18" s="2"/>
      <c r="N18" s="2"/>
      <c r="O18" s="2"/>
      <c r="P18" s="2"/>
      <c r="Q18" s="2"/>
    </row>
    <row r="19" spans="2:17" ht="18.75" x14ac:dyDescent="0.3">
      <c r="B19" s="37" t="s">
        <v>21</v>
      </c>
      <c r="C19" s="3">
        <v>14261</v>
      </c>
      <c r="D19" s="3">
        <f>I19+J19</f>
        <v>28214</v>
      </c>
      <c r="E19" s="6">
        <v>2882404</v>
      </c>
      <c r="F19" s="27">
        <f t="shared" ref="F19:F32" si="3">E19/C19</f>
        <v>202.11794404319474</v>
      </c>
      <c r="G19" s="38"/>
      <c r="H19" s="38"/>
      <c r="I19" s="63">
        <v>15688</v>
      </c>
      <c r="J19" s="63">
        <v>12526</v>
      </c>
      <c r="K19" s="38"/>
      <c r="L19" s="38"/>
      <c r="M19" s="38"/>
      <c r="N19" s="38"/>
      <c r="O19" s="38"/>
      <c r="P19" s="38"/>
      <c r="Q19" s="38"/>
    </row>
    <row r="20" spans="2:17" ht="18.75" x14ac:dyDescent="0.3">
      <c r="B20" s="59" t="s">
        <v>22</v>
      </c>
      <c r="C20" s="3">
        <v>6763</v>
      </c>
      <c r="D20" s="3">
        <f t="shared" ref="D20:D31" si="4">I20+J20</f>
        <v>12720</v>
      </c>
      <c r="E20" s="3">
        <v>1309658</v>
      </c>
      <c r="F20" s="27">
        <f t="shared" si="3"/>
        <v>193.65045098329145</v>
      </c>
      <c r="G20" s="38"/>
      <c r="H20" s="38"/>
      <c r="I20" s="63">
        <v>7257</v>
      </c>
      <c r="J20" s="63">
        <v>5463</v>
      </c>
      <c r="K20" s="38"/>
      <c r="L20" s="38"/>
      <c r="M20" s="38"/>
      <c r="N20" s="38"/>
      <c r="O20" s="38"/>
      <c r="P20" s="38"/>
      <c r="Q20" s="38"/>
    </row>
    <row r="21" spans="2:17" ht="18.75" x14ac:dyDescent="0.3">
      <c r="B21" s="58" t="s">
        <v>23</v>
      </c>
      <c r="C21" s="9">
        <v>5840</v>
      </c>
      <c r="D21" s="3">
        <f t="shared" si="4"/>
        <v>11851</v>
      </c>
      <c r="E21" s="9">
        <v>1194992</v>
      </c>
      <c r="F21" s="27">
        <f t="shared" si="3"/>
        <v>204.62191780821917</v>
      </c>
      <c r="G21" s="2"/>
      <c r="H21" s="2"/>
      <c r="I21" s="63">
        <v>6684</v>
      </c>
      <c r="J21" s="63">
        <v>5167</v>
      </c>
      <c r="K21" s="2"/>
      <c r="L21" s="2"/>
      <c r="M21" s="2"/>
      <c r="N21" s="2"/>
      <c r="O21" s="2"/>
      <c r="P21" s="2"/>
      <c r="Q21" s="2"/>
    </row>
    <row r="22" spans="2:17" ht="18.75" x14ac:dyDescent="0.3">
      <c r="B22" s="26" t="s">
        <v>24</v>
      </c>
      <c r="C22" s="9">
        <v>7461</v>
      </c>
      <c r="D22" s="3">
        <f t="shared" si="4"/>
        <v>15514</v>
      </c>
      <c r="E22" s="9">
        <v>1549171</v>
      </c>
      <c r="F22" s="27">
        <f t="shared" si="3"/>
        <v>207.63583969977216</v>
      </c>
      <c r="G22" s="2"/>
      <c r="H22" s="2"/>
      <c r="I22" s="63">
        <v>8511</v>
      </c>
      <c r="J22" s="63">
        <v>7003</v>
      </c>
      <c r="K22" s="2"/>
      <c r="L22" s="2"/>
      <c r="M22" s="2"/>
      <c r="N22" s="2"/>
      <c r="O22" s="2"/>
      <c r="P22" s="2"/>
      <c r="Q22" s="2"/>
    </row>
    <row r="23" spans="2:17" ht="18.75" x14ac:dyDescent="0.3">
      <c r="B23" s="26" t="s">
        <v>25</v>
      </c>
      <c r="C23" s="9">
        <v>4688</v>
      </c>
      <c r="D23" s="3">
        <f t="shared" si="4"/>
        <v>10300</v>
      </c>
      <c r="E23" s="9">
        <v>1022463</v>
      </c>
      <c r="F23" s="27">
        <f t="shared" si="3"/>
        <v>218.10217576791808</v>
      </c>
      <c r="G23" s="2"/>
      <c r="H23" s="2"/>
      <c r="I23" s="63">
        <v>5592</v>
      </c>
      <c r="J23" s="63">
        <v>4708</v>
      </c>
      <c r="K23" s="2"/>
      <c r="L23" s="2"/>
      <c r="M23" s="2"/>
      <c r="N23" s="2"/>
      <c r="O23" s="2"/>
      <c r="P23" s="2"/>
      <c r="Q23" s="2"/>
    </row>
    <row r="24" spans="2:17" ht="18.75" x14ac:dyDescent="0.3">
      <c r="B24" s="26" t="s">
        <v>26</v>
      </c>
      <c r="C24" s="9">
        <v>3101</v>
      </c>
      <c r="D24" s="3">
        <f t="shared" si="4"/>
        <v>6662</v>
      </c>
      <c r="E24" s="9">
        <v>669164</v>
      </c>
      <c r="F24" s="27">
        <f t="shared" si="3"/>
        <v>215.78974524346984</v>
      </c>
      <c r="G24" s="2"/>
      <c r="H24" s="2"/>
      <c r="I24" s="63">
        <v>3681</v>
      </c>
      <c r="J24" s="63">
        <v>2981</v>
      </c>
      <c r="K24" s="2"/>
      <c r="L24" s="2"/>
      <c r="M24" s="2"/>
      <c r="N24" s="2"/>
      <c r="O24" s="2"/>
      <c r="P24" s="2"/>
      <c r="Q24" s="2"/>
    </row>
    <row r="25" spans="2:17" ht="18.75" x14ac:dyDescent="0.3">
      <c r="B25" s="26" t="s">
        <v>27</v>
      </c>
      <c r="C25" s="9">
        <v>8219</v>
      </c>
      <c r="D25" s="3">
        <f t="shared" si="4"/>
        <v>17092</v>
      </c>
      <c r="E25" s="9">
        <v>1722216</v>
      </c>
      <c r="F25" s="27">
        <f t="shared" si="3"/>
        <v>209.54082005110109</v>
      </c>
      <c r="G25" s="2"/>
      <c r="H25" s="2"/>
      <c r="I25" s="63">
        <v>9407</v>
      </c>
      <c r="J25" s="63">
        <v>7685</v>
      </c>
      <c r="K25" s="2"/>
      <c r="L25" s="2"/>
      <c r="M25" s="2"/>
      <c r="N25" s="2"/>
      <c r="O25" s="2"/>
      <c r="P25" s="2"/>
      <c r="Q25" s="2"/>
    </row>
    <row r="26" spans="2:17" ht="18.75" x14ac:dyDescent="0.3">
      <c r="B26" s="26" t="s">
        <v>28</v>
      </c>
      <c r="C26" s="9">
        <v>7277</v>
      </c>
      <c r="D26" s="3">
        <f t="shared" si="4"/>
        <v>15874</v>
      </c>
      <c r="E26" s="9">
        <v>1597599</v>
      </c>
      <c r="F26" s="27">
        <f t="shared" si="3"/>
        <v>219.54088223168887</v>
      </c>
      <c r="G26" s="2"/>
      <c r="H26" s="2"/>
      <c r="I26" s="63">
        <v>8348</v>
      </c>
      <c r="J26" s="63">
        <v>7526</v>
      </c>
      <c r="K26" s="2"/>
      <c r="L26" s="2"/>
      <c r="M26" s="2"/>
      <c r="N26" s="2"/>
      <c r="O26" s="2"/>
      <c r="P26" s="2"/>
      <c r="Q26" s="2"/>
    </row>
    <row r="27" spans="2:17" ht="18.75" x14ac:dyDescent="0.3">
      <c r="B27" s="26" t="s">
        <v>29</v>
      </c>
      <c r="C27" s="9">
        <v>9515</v>
      </c>
      <c r="D27" s="3">
        <f t="shared" si="4"/>
        <v>19231</v>
      </c>
      <c r="E27" s="9">
        <v>1939288</v>
      </c>
      <c r="F27" s="27">
        <f t="shared" si="3"/>
        <v>203.81376773515501</v>
      </c>
      <c r="G27" s="2"/>
      <c r="H27" s="2"/>
      <c r="I27" s="63">
        <v>11009</v>
      </c>
      <c r="J27" s="63">
        <v>8222</v>
      </c>
      <c r="K27" s="2"/>
      <c r="L27" s="2"/>
      <c r="M27" s="2"/>
      <c r="N27" s="2"/>
      <c r="O27" s="2"/>
      <c r="P27" s="2"/>
      <c r="Q27" s="2"/>
    </row>
    <row r="28" spans="2:17" ht="18.75" x14ac:dyDescent="0.3">
      <c r="B28" s="26" t="s">
        <v>30</v>
      </c>
      <c r="C28" s="9">
        <v>6501</v>
      </c>
      <c r="D28" s="3">
        <f t="shared" si="4"/>
        <v>15048</v>
      </c>
      <c r="E28" s="9">
        <v>1484165</v>
      </c>
      <c r="F28" s="27">
        <f t="shared" si="3"/>
        <v>228.29795416089831</v>
      </c>
      <c r="G28" s="2"/>
      <c r="H28" s="2"/>
      <c r="I28" s="63">
        <v>8168</v>
      </c>
      <c r="J28" s="63">
        <v>6880</v>
      </c>
      <c r="K28" s="2"/>
      <c r="L28" s="2"/>
      <c r="M28" s="2"/>
      <c r="N28" s="2"/>
      <c r="O28" s="2"/>
      <c r="P28" s="2"/>
      <c r="Q28" s="2"/>
    </row>
    <row r="29" spans="2:17" ht="18.75" x14ac:dyDescent="0.3">
      <c r="B29" s="26" t="s">
        <v>31</v>
      </c>
      <c r="C29" s="9">
        <v>5486</v>
      </c>
      <c r="D29" s="3">
        <f t="shared" si="4"/>
        <v>11936</v>
      </c>
      <c r="E29" s="9">
        <v>1187711</v>
      </c>
      <c r="F29" s="27">
        <f t="shared" si="3"/>
        <v>216.49854174261756</v>
      </c>
      <c r="G29" s="2"/>
      <c r="H29" s="2"/>
      <c r="I29" s="63">
        <v>6509</v>
      </c>
      <c r="J29" s="63">
        <v>5427</v>
      </c>
      <c r="K29" s="2"/>
      <c r="L29" s="2"/>
      <c r="M29" s="2"/>
      <c r="N29" s="2"/>
      <c r="O29" s="2"/>
      <c r="P29" s="2"/>
      <c r="Q29" s="2"/>
    </row>
    <row r="30" spans="2:17" ht="18.75" x14ac:dyDescent="0.3">
      <c r="B30" s="39" t="s">
        <v>32</v>
      </c>
      <c r="C30" s="8">
        <v>5396</v>
      </c>
      <c r="D30" s="3">
        <f t="shared" si="4"/>
        <v>11999</v>
      </c>
      <c r="E30" s="8">
        <v>1212623</v>
      </c>
      <c r="F30" s="27">
        <f t="shared" si="3"/>
        <v>224.72627872498146</v>
      </c>
      <c r="G30" s="2"/>
      <c r="H30" s="2"/>
      <c r="I30" s="63">
        <v>6369</v>
      </c>
      <c r="J30" s="63">
        <v>5630</v>
      </c>
      <c r="K30" s="2"/>
      <c r="L30" s="2"/>
      <c r="M30" s="2"/>
      <c r="N30" s="2"/>
      <c r="O30" s="2"/>
      <c r="P30" s="2"/>
      <c r="Q30" s="2"/>
    </row>
    <row r="31" spans="2:17" ht="19.5" thickBot="1" x14ac:dyDescent="0.35">
      <c r="B31" s="39" t="s">
        <v>33</v>
      </c>
      <c r="C31" s="56">
        <v>1896</v>
      </c>
      <c r="D31" s="3">
        <f t="shared" si="4"/>
        <v>4097</v>
      </c>
      <c r="E31" s="57">
        <v>416479</v>
      </c>
      <c r="F31" s="27">
        <f t="shared" si="3"/>
        <v>219.66191983122363</v>
      </c>
      <c r="G31" s="2"/>
      <c r="H31" s="2"/>
      <c r="I31" s="63">
        <v>2138</v>
      </c>
      <c r="J31" s="63">
        <v>1959</v>
      </c>
      <c r="K31" s="2"/>
      <c r="L31" s="2"/>
      <c r="M31" s="2"/>
      <c r="N31" s="2"/>
      <c r="O31" s="2"/>
      <c r="P31" s="2"/>
      <c r="Q31" s="2"/>
    </row>
    <row r="32" spans="2:17" ht="19.5" thickBot="1" x14ac:dyDescent="0.35">
      <c r="B32" s="29" t="s">
        <v>34</v>
      </c>
      <c r="C32" s="40">
        <v>86404</v>
      </c>
      <c r="D32" s="40">
        <f t="shared" ref="D32:E32" si="5">SUM(D19:D31)</f>
        <v>180538</v>
      </c>
      <c r="E32" s="40">
        <f t="shared" si="5"/>
        <v>18187933</v>
      </c>
      <c r="F32" s="31">
        <f t="shared" si="3"/>
        <v>210.49873848432944</v>
      </c>
      <c r="G32" s="2"/>
      <c r="H32" s="2"/>
      <c r="I32" s="63"/>
      <c r="J32" s="63"/>
      <c r="K32" s="2"/>
      <c r="L32" s="2"/>
      <c r="M32" s="2"/>
      <c r="N32" s="2"/>
      <c r="O32" s="2"/>
      <c r="P32" s="2"/>
      <c r="Q32" s="2"/>
    </row>
    <row r="33" spans="2:10" ht="19.5" thickBot="1" x14ac:dyDescent="0.35">
      <c r="B33" s="32"/>
      <c r="C33" s="41"/>
      <c r="D33" s="41"/>
      <c r="E33" s="41"/>
      <c r="F33" s="33"/>
      <c r="G33" s="17"/>
      <c r="H33" s="17"/>
      <c r="I33" s="63"/>
      <c r="J33" s="63"/>
    </row>
    <row r="34" spans="2:10" ht="19.5" thickBot="1" x14ac:dyDescent="0.35">
      <c r="B34" s="21" t="s">
        <v>35</v>
      </c>
      <c r="C34" s="42"/>
      <c r="D34" s="42"/>
      <c r="E34" s="42"/>
      <c r="F34" s="43"/>
      <c r="G34" s="17"/>
      <c r="H34" s="17"/>
      <c r="I34" s="63"/>
      <c r="J34" s="63"/>
    </row>
    <row r="35" spans="2:10" ht="18.75" x14ac:dyDescent="0.3">
      <c r="B35" s="24" t="s">
        <v>36</v>
      </c>
      <c r="C35" s="16">
        <v>8507</v>
      </c>
      <c r="D35" s="7">
        <f>I35+J35</f>
        <v>18159</v>
      </c>
      <c r="E35" s="8">
        <v>1805819</v>
      </c>
      <c r="F35" s="27">
        <f t="shared" ref="F35:F48" si="6">E35/C35</f>
        <v>212.27447984013165</v>
      </c>
      <c r="G35" s="17"/>
      <c r="H35" s="17"/>
      <c r="I35" s="63">
        <v>10869</v>
      </c>
      <c r="J35" s="63">
        <v>7290</v>
      </c>
    </row>
    <row r="36" spans="2:10" ht="18.75" x14ac:dyDescent="0.3">
      <c r="B36" s="26" t="s">
        <v>37</v>
      </c>
      <c r="C36" s="9">
        <v>8547</v>
      </c>
      <c r="D36" s="7">
        <f t="shared" ref="D36:D47" si="7">I36+J36</f>
        <v>17354</v>
      </c>
      <c r="E36" s="9">
        <v>1729260</v>
      </c>
      <c r="F36" s="27">
        <f t="shared" si="6"/>
        <v>202.32362232362232</v>
      </c>
      <c r="G36" s="17"/>
      <c r="H36" s="17"/>
      <c r="I36" s="63">
        <v>10512</v>
      </c>
      <c r="J36" s="63">
        <v>6842</v>
      </c>
    </row>
    <row r="37" spans="2:10" ht="18.75" x14ac:dyDescent="0.3">
      <c r="B37" s="26" t="s">
        <v>38</v>
      </c>
      <c r="C37" s="9">
        <v>9830</v>
      </c>
      <c r="D37" s="7">
        <f t="shared" si="7"/>
        <v>20602</v>
      </c>
      <c r="E37" s="9">
        <v>2026645</v>
      </c>
      <c r="F37" s="27">
        <f t="shared" si="6"/>
        <v>206.16937945066124</v>
      </c>
      <c r="G37" s="17"/>
      <c r="H37" s="17"/>
      <c r="I37" s="63">
        <v>12269</v>
      </c>
      <c r="J37" s="63">
        <v>8333</v>
      </c>
    </row>
    <row r="38" spans="2:10" ht="18.75" x14ac:dyDescent="0.3">
      <c r="B38" s="26" t="s">
        <v>39</v>
      </c>
      <c r="C38" s="9">
        <v>4958</v>
      </c>
      <c r="D38" s="7">
        <f t="shared" si="7"/>
        <v>10571</v>
      </c>
      <c r="E38" s="9">
        <v>1074471</v>
      </c>
      <c r="F38" s="27">
        <f t="shared" si="6"/>
        <v>216.71460266236386</v>
      </c>
      <c r="G38" s="17"/>
      <c r="H38" s="17"/>
      <c r="I38" s="63">
        <v>6304</v>
      </c>
      <c r="J38" s="63">
        <v>4267</v>
      </c>
    </row>
    <row r="39" spans="2:10" ht="18.75" x14ac:dyDescent="0.3">
      <c r="B39" s="26" t="s">
        <v>40</v>
      </c>
      <c r="C39" s="9">
        <v>7724</v>
      </c>
      <c r="D39" s="7">
        <f t="shared" si="7"/>
        <v>16868</v>
      </c>
      <c r="E39" s="9">
        <v>1684326</v>
      </c>
      <c r="F39" s="27">
        <f t="shared" si="6"/>
        <v>218.0639564992232</v>
      </c>
      <c r="G39" s="17"/>
      <c r="H39" s="17"/>
      <c r="I39" s="63">
        <v>9223</v>
      </c>
      <c r="J39" s="63">
        <v>7645</v>
      </c>
    </row>
    <row r="40" spans="2:10" ht="18.75" x14ac:dyDescent="0.3">
      <c r="B40" s="26" t="s">
        <v>41</v>
      </c>
      <c r="C40" s="9">
        <v>5586</v>
      </c>
      <c r="D40" s="7">
        <f t="shared" si="7"/>
        <v>11590</v>
      </c>
      <c r="E40" s="9">
        <v>1145022</v>
      </c>
      <c r="F40" s="27">
        <f t="shared" si="6"/>
        <v>204.98066595059078</v>
      </c>
      <c r="G40" s="17"/>
      <c r="H40" s="17"/>
      <c r="I40" s="63">
        <v>6730</v>
      </c>
      <c r="J40" s="63">
        <v>4860</v>
      </c>
    </row>
    <row r="41" spans="2:10" ht="18.75" x14ac:dyDescent="0.3">
      <c r="B41" s="26" t="s">
        <v>42</v>
      </c>
      <c r="C41" s="9">
        <v>6758</v>
      </c>
      <c r="D41" s="7">
        <f t="shared" si="7"/>
        <v>14870</v>
      </c>
      <c r="E41" s="9">
        <v>1462606</v>
      </c>
      <c r="F41" s="27">
        <f t="shared" si="6"/>
        <v>216.42586564072209</v>
      </c>
      <c r="G41" s="17"/>
      <c r="H41" s="17"/>
      <c r="I41" s="63">
        <v>8010</v>
      </c>
      <c r="J41" s="63">
        <v>6860</v>
      </c>
    </row>
    <row r="42" spans="2:10" ht="18.75" x14ac:dyDescent="0.3">
      <c r="B42" s="26" t="s">
        <v>43</v>
      </c>
      <c r="C42" s="9">
        <v>9751</v>
      </c>
      <c r="D42" s="7">
        <f t="shared" si="7"/>
        <v>21742</v>
      </c>
      <c r="E42" s="9">
        <v>2155879</v>
      </c>
      <c r="F42" s="27">
        <f t="shared" si="6"/>
        <v>221.09311865449698</v>
      </c>
      <c r="G42" s="17"/>
      <c r="H42" s="17"/>
      <c r="I42" s="63">
        <v>12462</v>
      </c>
      <c r="J42" s="63">
        <v>9280</v>
      </c>
    </row>
    <row r="43" spans="2:10" ht="18.75" x14ac:dyDescent="0.3">
      <c r="B43" s="26" t="s">
        <v>44</v>
      </c>
      <c r="C43" s="9">
        <v>6536</v>
      </c>
      <c r="D43" s="7">
        <f t="shared" si="7"/>
        <v>14037</v>
      </c>
      <c r="E43" s="9">
        <v>1387651</v>
      </c>
      <c r="F43" s="27">
        <f t="shared" si="6"/>
        <v>212.30890452876378</v>
      </c>
      <c r="G43" s="17"/>
      <c r="H43" s="17"/>
      <c r="I43" s="63">
        <v>8226</v>
      </c>
      <c r="J43" s="63">
        <v>5811</v>
      </c>
    </row>
    <row r="44" spans="2:10" ht="18.75" x14ac:dyDescent="0.3">
      <c r="B44" s="26" t="s">
        <v>45</v>
      </c>
      <c r="C44" s="9">
        <v>5305</v>
      </c>
      <c r="D44" s="7">
        <f t="shared" si="7"/>
        <v>10925</v>
      </c>
      <c r="E44" s="9">
        <v>1071702</v>
      </c>
      <c r="F44" s="27">
        <f t="shared" si="6"/>
        <v>202.01734213006597</v>
      </c>
      <c r="G44" s="17"/>
      <c r="H44" s="17"/>
      <c r="I44" s="63">
        <v>6648</v>
      </c>
      <c r="J44" s="63">
        <v>4277</v>
      </c>
    </row>
    <row r="45" spans="2:10" ht="18.75" x14ac:dyDescent="0.3">
      <c r="B45" s="26" t="s">
        <v>46</v>
      </c>
      <c r="C45" s="9">
        <v>7056</v>
      </c>
      <c r="D45" s="7">
        <f t="shared" si="7"/>
        <v>15304</v>
      </c>
      <c r="E45" s="9">
        <v>1528156</v>
      </c>
      <c r="F45" s="27">
        <f t="shared" si="6"/>
        <v>216.57539682539684</v>
      </c>
      <c r="G45" s="17"/>
      <c r="H45" s="17"/>
      <c r="I45" s="63">
        <v>8791</v>
      </c>
      <c r="J45" s="63">
        <v>6513</v>
      </c>
    </row>
    <row r="46" spans="2:10" ht="18.75" x14ac:dyDescent="0.3">
      <c r="B46" s="39" t="s">
        <v>47</v>
      </c>
      <c r="C46" s="9">
        <v>6324</v>
      </c>
      <c r="D46" s="7">
        <f t="shared" si="7"/>
        <v>13230</v>
      </c>
      <c r="E46" s="12">
        <v>1321584</v>
      </c>
      <c r="F46" s="27">
        <f t="shared" si="6"/>
        <v>208.97912713472485</v>
      </c>
      <c r="G46" s="17"/>
      <c r="H46" s="17"/>
      <c r="I46" s="63">
        <v>7522</v>
      </c>
      <c r="J46" s="63">
        <v>5708</v>
      </c>
    </row>
    <row r="47" spans="2:10" ht="19.5" thickBot="1" x14ac:dyDescent="0.35">
      <c r="B47" s="39" t="s">
        <v>48</v>
      </c>
      <c r="C47" s="56">
        <v>4849</v>
      </c>
      <c r="D47" s="7">
        <f t="shared" si="7"/>
        <v>10048</v>
      </c>
      <c r="E47" s="12">
        <v>995870</v>
      </c>
      <c r="F47" s="27">
        <f t="shared" si="6"/>
        <v>205.37636626108477</v>
      </c>
      <c r="G47" s="17"/>
      <c r="H47" s="17"/>
      <c r="I47" s="63">
        <v>5832</v>
      </c>
      <c r="J47" s="63">
        <v>4216</v>
      </c>
    </row>
    <row r="48" spans="2:10" ht="19.5" thickBot="1" x14ac:dyDescent="0.35">
      <c r="B48" s="29" t="s">
        <v>49</v>
      </c>
      <c r="C48" s="40">
        <v>91731</v>
      </c>
      <c r="D48" s="40">
        <f t="shared" ref="D48:E48" si="8">SUM(D35:D47)</f>
        <v>195300</v>
      </c>
      <c r="E48" s="40">
        <f t="shared" si="8"/>
        <v>19388991</v>
      </c>
      <c r="F48" s="31">
        <f t="shared" si="6"/>
        <v>211.36792360270792</v>
      </c>
      <c r="G48" s="17"/>
      <c r="H48" s="17"/>
      <c r="I48" s="63"/>
      <c r="J48" s="63"/>
    </row>
    <row r="49" spans="2:10" ht="19.5" thickBot="1" x14ac:dyDescent="0.35">
      <c r="B49" s="44"/>
      <c r="C49" s="45"/>
      <c r="D49" s="45"/>
      <c r="E49" s="45"/>
      <c r="F49" s="46"/>
      <c r="G49" s="17"/>
      <c r="H49" s="17"/>
      <c r="I49" s="63"/>
      <c r="J49" s="63"/>
    </row>
    <row r="50" spans="2:10" ht="19.5" thickBot="1" x14ac:dyDescent="0.35">
      <c r="B50" s="21" t="s">
        <v>50</v>
      </c>
      <c r="C50" s="42"/>
      <c r="D50" s="42"/>
      <c r="E50" s="42"/>
      <c r="F50" s="43"/>
      <c r="G50" s="17"/>
      <c r="H50" s="17"/>
      <c r="I50" s="63"/>
      <c r="J50" s="63"/>
    </row>
    <row r="51" spans="2:10" ht="18.75" x14ac:dyDescent="0.3">
      <c r="B51" s="24" t="s">
        <v>51</v>
      </c>
      <c r="C51" s="16">
        <v>5145</v>
      </c>
      <c r="D51" s="7">
        <f>I51+J51</f>
        <v>10842</v>
      </c>
      <c r="E51" s="8">
        <v>1083423</v>
      </c>
      <c r="F51" s="27">
        <f t="shared" ref="F51:F58" si="9">E51/C51</f>
        <v>210.57784256559768</v>
      </c>
      <c r="G51" s="17"/>
      <c r="H51" s="17"/>
      <c r="I51" s="63">
        <v>6263</v>
      </c>
      <c r="J51" s="63">
        <v>4579</v>
      </c>
    </row>
    <row r="52" spans="2:10" ht="18.75" x14ac:dyDescent="0.3">
      <c r="B52" s="26" t="s">
        <v>52</v>
      </c>
      <c r="C52" s="9">
        <v>7767</v>
      </c>
      <c r="D52" s="7">
        <f t="shared" ref="D52:D57" si="10">I52+J52</f>
        <v>17337</v>
      </c>
      <c r="E52" s="9">
        <v>1742190</v>
      </c>
      <c r="F52" s="27">
        <f t="shared" si="9"/>
        <v>224.30668211664735</v>
      </c>
      <c r="G52" s="17"/>
      <c r="H52" s="17"/>
      <c r="I52" s="63">
        <v>9426</v>
      </c>
      <c r="J52" s="63">
        <v>7911</v>
      </c>
    </row>
    <row r="53" spans="2:10" ht="18.75" x14ac:dyDescent="0.3">
      <c r="B53" s="26" t="s">
        <v>53</v>
      </c>
      <c r="C53" s="9">
        <v>20793</v>
      </c>
      <c r="D53" s="7">
        <f t="shared" si="10"/>
        <v>42463</v>
      </c>
      <c r="E53" s="9">
        <v>4224737</v>
      </c>
      <c r="F53" s="27">
        <f t="shared" si="9"/>
        <v>203.18073390083202</v>
      </c>
      <c r="G53" s="17"/>
      <c r="H53" s="17"/>
      <c r="I53" s="63">
        <v>25173</v>
      </c>
      <c r="J53" s="63">
        <v>17290</v>
      </c>
    </row>
    <row r="54" spans="2:10" ht="18.75" x14ac:dyDescent="0.3">
      <c r="B54" s="26" t="s">
        <v>54</v>
      </c>
      <c r="C54" s="9">
        <v>6737</v>
      </c>
      <c r="D54" s="7">
        <f t="shared" si="10"/>
        <v>14507</v>
      </c>
      <c r="E54" s="9">
        <v>1426157</v>
      </c>
      <c r="F54" s="27">
        <f t="shared" si="9"/>
        <v>211.690218198011</v>
      </c>
      <c r="G54" s="17"/>
      <c r="H54" s="17"/>
      <c r="I54" s="63">
        <v>8208</v>
      </c>
      <c r="J54" s="63">
        <v>6299</v>
      </c>
    </row>
    <row r="55" spans="2:10" ht="18.75" x14ac:dyDescent="0.3">
      <c r="B55" s="26" t="s">
        <v>55</v>
      </c>
      <c r="C55" s="9">
        <v>5263</v>
      </c>
      <c r="D55" s="7">
        <f t="shared" si="10"/>
        <v>10852</v>
      </c>
      <c r="E55" s="9">
        <v>1106356</v>
      </c>
      <c r="F55" s="27">
        <f t="shared" si="9"/>
        <v>210.21394641839254</v>
      </c>
      <c r="G55" s="17"/>
      <c r="H55" s="17"/>
      <c r="I55" s="63">
        <v>5882</v>
      </c>
      <c r="J55" s="63">
        <v>4970</v>
      </c>
    </row>
    <row r="56" spans="2:10" ht="18.75" x14ac:dyDescent="0.3">
      <c r="B56" s="26" t="s">
        <v>56</v>
      </c>
      <c r="C56" s="9">
        <v>5280</v>
      </c>
      <c r="D56" s="7">
        <f t="shared" si="10"/>
        <v>10914</v>
      </c>
      <c r="E56" s="9">
        <v>1083134</v>
      </c>
      <c r="F56" s="27">
        <f t="shared" si="9"/>
        <v>205.13901515151514</v>
      </c>
      <c r="G56" s="17"/>
      <c r="H56" s="17"/>
      <c r="I56" s="63">
        <v>6194</v>
      </c>
      <c r="J56" s="63">
        <v>4720</v>
      </c>
    </row>
    <row r="57" spans="2:10" ht="19.5" thickBot="1" x14ac:dyDescent="0.35">
      <c r="B57" s="26" t="s">
        <v>57</v>
      </c>
      <c r="C57" s="9">
        <v>7480</v>
      </c>
      <c r="D57" s="7">
        <f t="shared" si="10"/>
        <v>15341</v>
      </c>
      <c r="E57" s="9">
        <v>1527242</v>
      </c>
      <c r="F57" s="27">
        <f t="shared" si="9"/>
        <v>204.17673796791445</v>
      </c>
      <c r="G57" s="17"/>
      <c r="H57" s="17"/>
      <c r="I57" s="63">
        <v>8481</v>
      </c>
      <c r="J57" s="63">
        <v>6860</v>
      </c>
    </row>
    <row r="58" spans="2:10" ht="19.5" thickBot="1" x14ac:dyDescent="0.35">
      <c r="B58" s="29" t="s">
        <v>49</v>
      </c>
      <c r="C58" s="40">
        <v>58465</v>
      </c>
      <c r="D58" s="40">
        <f t="shared" ref="D58:E58" si="11">SUM(D51:D57)</f>
        <v>122256</v>
      </c>
      <c r="E58" s="40">
        <f t="shared" si="11"/>
        <v>12193239</v>
      </c>
      <c r="F58" s="31">
        <f t="shared" si="9"/>
        <v>208.55621311896007</v>
      </c>
      <c r="G58" s="17"/>
      <c r="H58" s="17"/>
      <c r="I58" s="63"/>
      <c r="J58" s="63"/>
    </row>
    <row r="59" spans="2:10" ht="19.5" thickBot="1" x14ac:dyDescent="0.35">
      <c r="B59" s="44"/>
      <c r="C59" s="45"/>
      <c r="D59" s="45"/>
      <c r="E59" s="45"/>
      <c r="F59" s="46"/>
      <c r="G59" s="17"/>
      <c r="H59" s="17"/>
      <c r="I59" s="63"/>
      <c r="J59" s="63"/>
    </row>
    <row r="60" spans="2:10" ht="19.5" thickBot="1" x14ac:dyDescent="0.35">
      <c r="B60" s="21" t="s">
        <v>58</v>
      </c>
      <c r="C60" s="42"/>
      <c r="D60" s="42"/>
      <c r="E60" s="42"/>
      <c r="F60" s="43"/>
      <c r="G60" s="17"/>
      <c r="H60" s="17"/>
      <c r="I60" s="63"/>
      <c r="J60" s="63"/>
    </row>
    <row r="61" spans="2:10" ht="18.75" x14ac:dyDescent="0.3">
      <c r="B61" s="24" t="s">
        <v>59</v>
      </c>
      <c r="C61" s="16">
        <v>8372</v>
      </c>
      <c r="D61" s="7">
        <f>I61+J61</f>
        <v>17954</v>
      </c>
      <c r="E61" s="8">
        <v>1777824</v>
      </c>
      <c r="F61" s="27">
        <f t="shared" ref="F61:F68" si="12">E61/C61</f>
        <v>212.35355948399427</v>
      </c>
      <c r="G61" s="17"/>
      <c r="H61" s="17"/>
      <c r="I61" s="63">
        <v>10414</v>
      </c>
      <c r="J61" s="63">
        <v>7540</v>
      </c>
    </row>
    <row r="62" spans="2:10" ht="18.75" x14ac:dyDescent="0.3">
      <c r="B62" s="26" t="s">
        <v>60</v>
      </c>
      <c r="C62" s="9">
        <v>9156</v>
      </c>
      <c r="D62" s="7">
        <f t="shared" ref="D62:D67" si="13">I62+J62</f>
        <v>19232</v>
      </c>
      <c r="E62" s="9">
        <v>1911075</v>
      </c>
      <c r="F62" s="27">
        <f t="shared" si="12"/>
        <v>208.72378768020971</v>
      </c>
      <c r="G62" s="17"/>
      <c r="H62" s="17"/>
      <c r="I62" s="63">
        <v>11513</v>
      </c>
      <c r="J62" s="63">
        <v>7719</v>
      </c>
    </row>
    <row r="63" spans="2:10" ht="18.75" x14ac:dyDescent="0.3">
      <c r="B63" s="26" t="s">
        <v>61</v>
      </c>
      <c r="C63" s="9">
        <v>10943</v>
      </c>
      <c r="D63" s="7">
        <f t="shared" si="13"/>
        <v>22314</v>
      </c>
      <c r="E63" s="9">
        <v>2214407</v>
      </c>
      <c r="F63" s="27">
        <f t="shared" si="12"/>
        <v>202.3583112492004</v>
      </c>
      <c r="G63" s="17"/>
      <c r="H63" s="17"/>
      <c r="I63" s="63">
        <v>13904</v>
      </c>
      <c r="J63" s="63">
        <v>8410</v>
      </c>
    </row>
    <row r="64" spans="2:10" ht="18.75" x14ac:dyDescent="0.3">
      <c r="B64" s="26" t="s">
        <v>62</v>
      </c>
      <c r="C64" s="9">
        <v>5007</v>
      </c>
      <c r="D64" s="7">
        <f t="shared" si="13"/>
        <v>11309</v>
      </c>
      <c r="E64" s="9">
        <v>1131479</v>
      </c>
      <c r="F64" s="27">
        <f t="shared" si="12"/>
        <v>225.97942879968045</v>
      </c>
      <c r="G64" s="17"/>
      <c r="H64" s="17"/>
      <c r="I64" s="63">
        <v>6635</v>
      </c>
      <c r="J64" s="63">
        <v>4674</v>
      </c>
    </row>
    <row r="65" spans="2:10" ht="18.75" x14ac:dyDescent="0.3">
      <c r="B65" s="26" t="s">
        <v>63</v>
      </c>
      <c r="C65" s="9">
        <v>3771</v>
      </c>
      <c r="D65" s="7">
        <f t="shared" si="13"/>
        <v>7917</v>
      </c>
      <c r="E65" s="9">
        <v>785187</v>
      </c>
      <c r="F65" s="27">
        <f t="shared" si="12"/>
        <v>208.21718377088305</v>
      </c>
      <c r="G65" s="17"/>
      <c r="H65" s="17"/>
      <c r="I65" s="63">
        <v>4523</v>
      </c>
      <c r="J65" s="63">
        <v>3394</v>
      </c>
    </row>
    <row r="66" spans="2:10" ht="18.75" x14ac:dyDescent="0.3">
      <c r="B66" s="26" t="s">
        <v>64</v>
      </c>
      <c r="C66" s="9">
        <v>9607</v>
      </c>
      <c r="D66" s="7">
        <f t="shared" si="13"/>
        <v>20370</v>
      </c>
      <c r="E66" s="9">
        <v>2016431</v>
      </c>
      <c r="F66" s="27">
        <f t="shared" si="12"/>
        <v>209.89184969293223</v>
      </c>
      <c r="G66" s="17"/>
      <c r="H66" s="17"/>
      <c r="I66" s="63">
        <v>11749</v>
      </c>
      <c r="J66" s="63">
        <v>8621</v>
      </c>
    </row>
    <row r="67" spans="2:10" ht="19.5" thickBot="1" x14ac:dyDescent="0.35">
      <c r="B67" s="26" t="s">
        <v>66</v>
      </c>
      <c r="C67" s="9">
        <v>8951</v>
      </c>
      <c r="D67" s="7">
        <f t="shared" si="13"/>
        <v>18390</v>
      </c>
      <c r="E67" s="9">
        <v>1841417</v>
      </c>
      <c r="F67" s="27">
        <f t="shared" si="12"/>
        <v>205.72193051055748</v>
      </c>
      <c r="G67" s="17"/>
      <c r="H67" s="17"/>
      <c r="I67" s="63">
        <v>10739</v>
      </c>
      <c r="J67" s="63">
        <v>7651</v>
      </c>
    </row>
    <row r="68" spans="2:10" ht="19.5" thickBot="1" x14ac:dyDescent="0.35">
      <c r="B68" s="29" t="s">
        <v>49</v>
      </c>
      <c r="C68" s="40">
        <v>55807</v>
      </c>
      <c r="D68" s="40">
        <f>SUM(D61:D67)</f>
        <v>117486</v>
      </c>
      <c r="E68" s="40">
        <f>SUM(E61:E67)</f>
        <v>11677820</v>
      </c>
      <c r="F68" s="31">
        <f t="shared" si="12"/>
        <v>209.25367785403265</v>
      </c>
      <c r="G68" s="17"/>
      <c r="H68" s="17"/>
      <c r="I68" s="63"/>
      <c r="J68" s="63"/>
    </row>
    <row r="69" spans="2:10" ht="19.5" thickBot="1" x14ac:dyDescent="0.35">
      <c r="B69" s="44"/>
      <c r="C69" s="45"/>
      <c r="D69" s="45"/>
      <c r="E69" s="45"/>
      <c r="F69" s="46"/>
      <c r="G69" s="17"/>
      <c r="H69" s="17"/>
      <c r="I69" s="63"/>
      <c r="J69" s="63"/>
    </row>
    <row r="70" spans="2:10" ht="19.5" thickBot="1" x14ac:dyDescent="0.35">
      <c r="B70" s="21" t="s">
        <v>67</v>
      </c>
      <c r="C70" s="42"/>
      <c r="D70" s="42"/>
      <c r="E70" s="42"/>
      <c r="F70" s="43"/>
      <c r="G70" s="17"/>
      <c r="H70" s="17"/>
      <c r="I70" s="63"/>
      <c r="J70" s="63"/>
    </row>
    <row r="71" spans="2:10" ht="18.75" x14ac:dyDescent="0.3">
      <c r="B71" s="24" t="s">
        <v>68</v>
      </c>
      <c r="C71" s="16">
        <v>3925</v>
      </c>
      <c r="D71" s="7">
        <f>I71+J71</f>
        <v>8516</v>
      </c>
      <c r="E71" s="8">
        <v>843317</v>
      </c>
      <c r="F71" s="27">
        <f t="shared" ref="F71:F77" si="14">E71/C71</f>
        <v>214.85783439490447</v>
      </c>
      <c r="G71" s="17"/>
      <c r="H71" s="17"/>
      <c r="I71" s="63">
        <v>4803</v>
      </c>
      <c r="J71" s="63">
        <v>3713</v>
      </c>
    </row>
    <row r="72" spans="2:10" ht="18.75" x14ac:dyDescent="0.3">
      <c r="B72" s="26" t="s">
        <v>69</v>
      </c>
      <c r="C72" s="9">
        <v>6768</v>
      </c>
      <c r="D72" s="7">
        <f t="shared" ref="D72:D76" si="15">I72+J72</f>
        <v>13309</v>
      </c>
      <c r="E72" s="9">
        <v>1316456</v>
      </c>
      <c r="F72" s="27">
        <f t="shared" si="14"/>
        <v>194.51182033096927</v>
      </c>
      <c r="G72" s="17"/>
      <c r="H72" s="17"/>
      <c r="I72" s="63">
        <v>7550</v>
      </c>
      <c r="J72" s="63">
        <v>5759</v>
      </c>
    </row>
    <row r="73" spans="2:10" ht="18.75" x14ac:dyDescent="0.3">
      <c r="B73" s="26" t="s">
        <v>67</v>
      </c>
      <c r="C73" s="9">
        <v>7942</v>
      </c>
      <c r="D73" s="7">
        <f t="shared" si="15"/>
        <v>16873</v>
      </c>
      <c r="E73" s="9">
        <v>1668701</v>
      </c>
      <c r="F73" s="27">
        <f t="shared" si="14"/>
        <v>210.11092923696802</v>
      </c>
      <c r="G73" s="17"/>
      <c r="H73" s="17"/>
      <c r="I73" s="63">
        <v>9515</v>
      </c>
      <c r="J73" s="63">
        <v>7358</v>
      </c>
    </row>
    <row r="74" spans="2:10" ht="18.75" x14ac:dyDescent="0.3">
      <c r="B74" s="26" t="s">
        <v>70</v>
      </c>
      <c r="C74" s="9">
        <v>4152</v>
      </c>
      <c r="D74" s="7">
        <f t="shared" si="15"/>
        <v>8619</v>
      </c>
      <c r="E74" s="9">
        <v>854623</v>
      </c>
      <c r="F74" s="27">
        <f t="shared" si="14"/>
        <v>205.83405587668594</v>
      </c>
      <c r="G74" s="17"/>
      <c r="H74" s="17"/>
      <c r="I74" s="63">
        <v>4623</v>
      </c>
      <c r="J74" s="63">
        <v>3996</v>
      </c>
    </row>
    <row r="75" spans="2:10" ht="18.75" x14ac:dyDescent="0.3">
      <c r="B75" s="26" t="s">
        <v>71</v>
      </c>
      <c r="C75" s="9">
        <v>6040</v>
      </c>
      <c r="D75" s="7">
        <f t="shared" si="15"/>
        <v>12734</v>
      </c>
      <c r="E75" s="9">
        <v>1260026</v>
      </c>
      <c r="F75" s="27">
        <f t="shared" si="14"/>
        <v>208.61357615894039</v>
      </c>
      <c r="G75" s="17"/>
      <c r="H75" s="17"/>
      <c r="I75" s="63">
        <v>7164</v>
      </c>
      <c r="J75" s="63">
        <v>5570</v>
      </c>
    </row>
    <row r="76" spans="2:10" ht="19.5" thickBot="1" x14ac:dyDescent="0.35">
      <c r="B76" s="28" t="s">
        <v>72</v>
      </c>
      <c r="C76" s="10">
        <v>3890</v>
      </c>
      <c r="D76" s="7">
        <f t="shared" si="15"/>
        <v>8554</v>
      </c>
      <c r="E76" s="10">
        <v>835559</v>
      </c>
      <c r="F76" s="27">
        <f t="shared" si="14"/>
        <v>214.79665809768639</v>
      </c>
      <c r="G76" s="17"/>
      <c r="H76" s="17"/>
      <c r="I76" s="63">
        <v>4775</v>
      </c>
      <c r="J76" s="63">
        <v>3779</v>
      </c>
    </row>
    <row r="77" spans="2:10" ht="19.5" thickBot="1" x14ac:dyDescent="0.35">
      <c r="B77" s="29" t="s">
        <v>49</v>
      </c>
      <c r="C77" s="40">
        <v>32717</v>
      </c>
      <c r="D77" s="40">
        <f t="shared" ref="D77:E77" si="16">SUM(D71:D76)</f>
        <v>68605</v>
      </c>
      <c r="E77" s="40">
        <f t="shared" si="16"/>
        <v>6778682</v>
      </c>
      <c r="F77" s="31">
        <f t="shared" si="14"/>
        <v>207.19142953204755</v>
      </c>
      <c r="G77" s="17"/>
      <c r="H77" s="17"/>
      <c r="I77" s="63"/>
      <c r="J77" s="63"/>
    </row>
    <row r="78" spans="2:10" ht="19.5" thickBot="1" x14ac:dyDescent="0.35">
      <c r="B78" s="44"/>
      <c r="C78" s="45"/>
      <c r="D78" s="45"/>
      <c r="E78" s="45"/>
      <c r="F78" s="46"/>
      <c r="G78" s="17"/>
      <c r="H78" s="17"/>
      <c r="I78" s="63"/>
      <c r="J78" s="63"/>
    </row>
    <row r="79" spans="2:10" ht="19.5" thickBot="1" x14ac:dyDescent="0.35">
      <c r="B79" s="21" t="s">
        <v>73</v>
      </c>
      <c r="C79" s="42"/>
      <c r="D79" s="42"/>
      <c r="E79" s="42"/>
      <c r="F79" s="43"/>
      <c r="G79" s="17"/>
      <c r="H79" s="17"/>
      <c r="I79" s="63"/>
      <c r="J79" s="63"/>
    </row>
    <row r="80" spans="2:10" ht="18.75" x14ac:dyDescent="0.3">
      <c r="B80" s="24" t="s">
        <v>74</v>
      </c>
      <c r="C80" s="16">
        <v>2312</v>
      </c>
      <c r="D80" s="7">
        <f>I80+J80</f>
        <v>4720</v>
      </c>
      <c r="E80" s="8">
        <v>465496</v>
      </c>
      <c r="F80" s="27">
        <f t="shared" ref="F80:F90" si="17">E80/C80</f>
        <v>201.33910034602076</v>
      </c>
      <c r="G80" s="17"/>
      <c r="H80" s="17"/>
      <c r="I80" s="63">
        <v>2730</v>
      </c>
      <c r="J80" s="63">
        <v>1990</v>
      </c>
    </row>
    <row r="81" spans="2:10" ht="18.75" x14ac:dyDescent="0.3">
      <c r="B81" s="26" t="s">
        <v>75</v>
      </c>
      <c r="C81" s="9">
        <v>240</v>
      </c>
      <c r="D81" s="7">
        <f t="shared" ref="D81:D89" si="18">I81+J81</f>
        <v>537</v>
      </c>
      <c r="E81" s="9">
        <v>50049</v>
      </c>
      <c r="F81" s="27">
        <f t="shared" si="17"/>
        <v>208.53749999999999</v>
      </c>
      <c r="G81" s="17"/>
      <c r="H81" s="17"/>
      <c r="I81" s="63">
        <v>273</v>
      </c>
      <c r="J81" s="63">
        <v>264</v>
      </c>
    </row>
    <row r="82" spans="2:10" ht="18.75" x14ac:dyDescent="0.3">
      <c r="B82" s="26" t="s">
        <v>76</v>
      </c>
      <c r="C82" s="9">
        <v>6497</v>
      </c>
      <c r="D82" s="7">
        <f t="shared" si="18"/>
        <v>13434</v>
      </c>
      <c r="E82" s="9">
        <v>1345258</v>
      </c>
      <c r="F82" s="27">
        <f t="shared" si="17"/>
        <v>207.05833461597661</v>
      </c>
      <c r="G82" s="17"/>
      <c r="H82" s="17"/>
      <c r="I82" s="63">
        <v>7946</v>
      </c>
      <c r="J82" s="63">
        <v>5488</v>
      </c>
    </row>
    <row r="83" spans="2:10" ht="18.75" x14ac:dyDescent="0.3">
      <c r="B83" s="26" t="s">
        <v>73</v>
      </c>
      <c r="C83" s="9">
        <v>11002</v>
      </c>
      <c r="D83" s="7">
        <f t="shared" si="18"/>
        <v>21830</v>
      </c>
      <c r="E83" s="9">
        <v>2191375</v>
      </c>
      <c r="F83" s="27">
        <f t="shared" si="17"/>
        <v>199.17969460098163</v>
      </c>
      <c r="G83" s="17"/>
      <c r="H83" s="17"/>
      <c r="I83" s="63">
        <v>12749</v>
      </c>
      <c r="J83" s="63">
        <v>9081</v>
      </c>
    </row>
    <row r="84" spans="2:10" ht="18.75" x14ac:dyDescent="0.3">
      <c r="B84" s="26" t="s">
        <v>77</v>
      </c>
      <c r="C84" s="9">
        <v>7930</v>
      </c>
      <c r="D84" s="7">
        <f t="shared" si="18"/>
        <v>16715</v>
      </c>
      <c r="E84" s="9">
        <v>1681382</v>
      </c>
      <c r="F84" s="27">
        <f t="shared" si="17"/>
        <v>212.02799495586382</v>
      </c>
      <c r="G84" s="17"/>
      <c r="H84" s="17"/>
      <c r="I84" s="63">
        <v>9509</v>
      </c>
      <c r="J84" s="63">
        <v>7206</v>
      </c>
    </row>
    <row r="85" spans="2:10" ht="18.75" x14ac:dyDescent="0.3">
      <c r="B85" s="26" t="s">
        <v>78</v>
      </c>
      <c r="C85" s="9">
        <v>6921</v>
      </c>
      <c r="D85" s="7">
        <f t="shared" si="18"/>
        <v>14185</v>
      </c>
      <c r="E85" s="9">
        <v>1430295</v>
      </c>
      <c r="F85" s="27">
        <f t="shared" si="17"/>
        <v>206.66016471608148</v>
      </c>
      <c r="G85" s="17"/>
      <c r="H85" s="17"/>
      <c r="I85" s="63">
        <v>8051</v>
      </c>
      <c r="J85" s="63">
        <v>6134</v>
      </c>
    </row>
    <row r="86" spans="2:10" ht="18.75" x14ac:dyDescent="0.3">
      <c r="B86" s="26" t="s">
        <v>79</v>
      </c>
      <c r="C86" s="9">
        <v>2841</v>
      </c>
      <c r="D86" s="7">
        <f t="shared" si="18"/>
        <v>5872</v>
      </c>
      <c r="E86" s="9">
        <v>583516</v>
      </c>
      <c r="F86" s="27">
        <f t="shared" si="17"/>
        <v>205.39105948609645</v>
      </c>
      <c r="G86" s="17"/>
      <c r="H86" s="17"/>
      <c r="I86" s="63">
        <v>3163</v>
      </c>
      <c r="J86" s="63">
        <v>2709</v>
      </c>
    </row>
    <row r="87" spans="2:10" ht="18.75" x14ac:dyDescent="0.3">
      <c r="B87" s="26" t="s">
        <v>80</v>
      </c>
      <c r="C87" s="9">
        <v>5252</v>
      </c>
      <c r="D87" s="7">
        <f t="shared" si="18"/>
        <v>11090</v>
      </c>
      <c r="E87" s="9">
        <v>1110150</v>
      </c>
      <c r="F87" s="27">
        <f t="shared" si="17"/>
        <v>211.37661843107387</v>
      </c>
      <c r="G87" s="17"/>
      <c r="H87" s="17"/>
      <c r="I87" s="63">
        <v>6271</v>
      </c>
      <c r="J87" s="63">
        <v>4819</v>
      </c>
    </row>
    <row r="88" spans="2:10" ht="18.75" x14ac:dyDescent="0.3">
      <c r="B88" s="26" t="s">
        <v>81</v>
      </c>
      <c r="C88" s="9">
        <v>2026</v>
      </c>
      <c r="D88" s="7">
        <f t="shared" si="18"/>
        <v>4070</v>
      </c>
      <c r="E88" s="9">
        <v>411605</v>
      </c>
      <c r="F88" s="27">
        <f t="shared" si="17"/>
        <v>203.16140177690031</v>
      </c>
      <c r="G88" s="17"/>
      <c r="H88" s="17"/>
      <c r="I88" s="63">
        <v>2216</v>
      </c>
      <c r="J88" s="63">
        <v>1854</v>
      </c>
    </row>
    <row r="89" spans="2:10" ht="19.5" thickBot="1" x14ac:dyDescent="0.35">
      <c r="B89" s="28" t="s">
        <v>82</v>
      </c>
      <c r="C89" s="10">
        <v>9033</v>
      </c>
      <c r="D89" s="7">
        <f t="shared" si="18"/>
        <v>18279</v>
      </c>
      <c r="E89" s="10">
        <v>1825202</v>
      </c>
      <c r="F89" s="27">
        <f t="shared" si="17"/>
        <v>202.0593379829514</v>
      </c>
      <c r="G89" s="17"/>
      <c r="H89" s="17"/>
      <c r="I89" s="63">
        <v>10075</v>
      </c>
      <c r="J89" s="63">
        <v>8204</v>
      </c>
    </row>
    <row r="90" spans="2:10" ht="19.5" thickBot="1" x14ac:dyDescent="0.35">
      <c r="B90" s="29" t="s">
        <v>49</v>
      </c>
      <c r="C90" s="40">
        <v>54054</v>
      </c>
      <c r="D90" s="40">
        <f t="shared" ref="D90:E90" si="19">SUM(D80:D89)</f>
        <v>110732</v>
      </c>
      <c r="E90" s="40">
        <f t="shared" si="19"/>
        <v>11094328</v>
      </c>
      <c r="F90" s="31">
        <f t="shared" si="17"/>
        <v>205.24527324527324</v>
      </c>
      <c r="G90" s="17"/>
      <c r="H90" s="17"/>
      <c r="I90" s="63"/>
      <c r="J90" s="63"/>
    </row>
    <row r="91" spans="2:10" ht="19.5" thickBot="1" x14ac:dyDescent="0.35">
      <c r="B91" s="44"/>
      <c r="C91" s="45"/>
      <c r="D91" s="45"/>
      <c r="E91" s="45"/>
      <c r="F91" s="46"/>
      <c r="G91" s="17"/>
      <c r="H91" s="17"/>
      <c r="I91" s="63"/>
      <c r="J91" s="63"/>
    </row>
    <row r="92" spans="2:10" ht="19.5" thickBot="1" x14ac:dyDescent="0.35">
      <c r="B92" s="21" t="s">
        <v>83</v>
      </c>
      <c r="C92" s="42"/>
      <c r="D92" s="42"/>
      <c r="E92" s="42"/>
      <c r="F92" s="43"/>
      <c r="G92" s="17"/>
      <c r="H92" s="17"/>
      <c r="I92" s="63"/>
      <c r="J92" s="63"/>
    </row>
    <row r="93" spans="2:10" ht="18.75" x14ac:dyDescent="0.3">
      <c r="B93" s="24" t="s">
        <v>84</v>
      </c>
      <c r="C93" s="16">
        <v>5479</v>
      </c>
      <c r="D93" s="7">
        <f>I93+J93</f>
        <v>11305</v>
      </c>
      <c r="E93" s="8">
        <v>1120507</v>
      </c>
      <c r="F93" s="27">
        <f t="shared" ref="F93:F101" si="20">E93/C93</f>
        <v>204.50939952546085</v>
      </c>
      <c r="G93" s="17"/>
      <c r="H93" s="17"/>
      <c r="I93" s="63">
        <v>6118</v>
      </c>
      <c r="J93" s="63">
        <v>5187</v>
      </c>
    </row>
    <row r="94" spans="2:10" ht="18.75" x14ac:dyDescent="0.3">
      <c r="B94" s="26" t="s">
        <v>85</v>
      </c>
      <c r="C94" s="9">
        <v>7489</v>
      </c>
      <c r="D94" s="7">
        <f t="shared" ref="D94:D101" si="21">I94+J94</f>
        <v>15801</v>
      </c>
      <c r="E94" s="9">
        <v>1580712</v>
      </c>
      <c r="F94" s="27">
        <f t="shared" si="20"/>
        <v>211.07117105087463</v>
      </c>
      <c r="G94" s="17"/>
      <c r="H94" s="17"/>
      <c r="I94" s="63">
        <v>8996</v>
      </c>
      <c r="J94" s="63">
        <v>6805</v>
      </c>
    </row>
    <row r="95" spans="2:10" ht="18.75" x14ac:dyDescent="0.3">
      <c r="B95" s="26" t="s">
        <v>86</v>
      </c>
      <c r="C95" s="9">
        <v>4028</v>
      </c>
      <c r="D95" s="7">
        <f t="shared" si="21"/>
        <v>8638</v>
      </c>
      <c r="E95" s="9">
        <v>863055</v>
      </c>
      <c r="F95" s="27">
        <f t="shared" si="20"/>
        <v>214.26390268123137</v>
      </c>
      <c r="G95" s="17"/>
      <c r="H95" s="17"/>
      <c r="I95" s="63">
        <v>4816</v>
      </c>
      <c r="J95" s="63">
        <v>3822</v>
      </c>
    </row>
    <row r="96" spans="2:10" ht="18.75" x14ac:dyDescent="0.3">
      <c r="B96" s="26" t="s">
        <v>87</v>
      </c>
      <c r="C96" s="9">
        <v>2560</v>
      </c>
      <c r="D96" s="7">
        <f t="shared" si="21"/>
        <v>4896</v>
      </c>
      <c r="E96" s="9">
        <v>489388</v>
      </c>
      <c r="F96" s="27">
        <f t="shared" si="20"/>
        <v>191.16718750000001</v>
      </c>
      <c r="G96" s="17"/>
      <c r="H96" s="17"/>
      <c r="I96" s="63">
        <v>2839</v>
      </c>
      <c r="J96" s="63">
        <v>2057</v>
      </c>
    </row>
    <row r="97" spans="2:10" ht="18.75" x14ac:dyDescent="0.3">
      <c r="B97" s="26" t="s">
        <v>88</v>
      </c>
      <c r="C97" s="9">
        <v>4992</v>
      </c>
      <c r="D97" s="7">
        <f t="shared" si="21"/>
        <v>10718</v>
      </c>
      <c r="E97" s="9">
        <v>1074859</v>
      </c>
      <c r="F97" s="27">
        <f t="shared" si="20"/>
        <v>215.31630608974359</v>
      </c>
      <c r="G97" s="17"/>
      <c r="H97" s="17"/>
      <c r="I97" s="63">
        <v>5865</v>
      </c>
      <c r="J97" s="63">
        <v>4853</v>
      </c>
    </row>
    <row r="98" spans="2:10" ht="18.75" x14ac:dyDescent="0.3">
      <c r="B98" s="26" t="s">
        <v>89</v>
      </c>
      <c r="C98" s="9">
        <v>1140</v>
      </c>
      <c r="D98" s="7">
        <f t="shared" si="21"/>
        <v>2710</v>
      </c>
      <c r="E98" s="9">
        <v>269865</v>
      </c>
      <c r="F98" s="27">
        <f t="shared" si="20"/>
        <v>236.72368421052633</v>
      </c>
      <c r="G98" s="17"/>
      <c r="H98" s="17"/>
      <c r="I98" s="63">
        <v>1402</v>
      </c>
      <c r="J98" s="63">
        <v>1308</v>
      </c>
    </row>
    <row r="99" spans="2:10" ht="18.75" x14ac:dyDescent="0.3">
      <c r="B99" s="26" t="s">
        <v>90</v>
      </c>
      <c r="C99" s="9">
        <v>15141</v>
      </c>
      <c r="D99" s="7">
        <f t="shared" si="21"/>
        <v>30134</v>
      </c>
      <c r="E99" s="9">
        <v>3064698</v>
      </c>
      <c r="F99" s="27">
        <f t="shared" si="20"/>
        <v>202.41054091539527</v>
      </c>
      <c r="G99" s="17"/>
      <c r="H99" s="17"/>
      <c r="I99" s="63">
        <v>17477</v>
      </c>
      <c r="J99" s="63">
        <v>12657</v>
      </c>
    </row>
    <row r="100" spans="2:10" ht="18.75" x14ac:dyDescent="0.3">
      <c r="B100" s="47" t="s">
        <v>92</v>
      </c>
      <c r="C100" s="9">
        <v>4222</v>
      </c>
      <c r="D100" s="7">
        <f t="shared" si="21"/>
        <v>9096</v>
      </c>
      <c r="E100" s="9">
        <v>897017</v>
      </c>
      <c r="F100" s="27">
        <f t="shared" si="20"/>
        <v>212.46257697773567</v>
      </c>
      <c r="G100" s="17"/>
      <c r="H100" s="17"/>
      <c r="I100" s="63">
        <v>4992</v>
      </c>
      <c r="J100" s="63">
        <v>4104</v>
      </c>
    </row>
    <row r="101" spans="2:10" ht="19.5" thickBot="1" x14ac:dyDescent="0.35">
      <c r="B101" s="26" t="s">
        <v>93</v>
      </c>
      <c r="C101" s="10">
        <v>6310</v>
      </c>
      <c r="D101" s="7">
        <f t="shared" si="21"/>
        <v>13193</v>
      </c>
      <c r="E101" s="9">
        <v>1312124</v>
      </c>
      <c r="F101" s="27">
        <f t="shared" si="20"/>
        <v>207.94358161648177</v>
      </c>
      <c r="G101" s="17"/>
      <c r="H101" s="17"/>
      <c r="I101" s="63">
        <v>7331</v>
      </c>
      <c r="J101" s="63">
        <v>5862</v>
      </c>
    </row>
    <row r="102" spans="2:10" ht="19.5" thickBot="1" x14ac:dyDescent="0.35">
      <c r="B102" s="29" t="s">
        <v>49</v>
      </c>
      <c r="C102" s="40">
        <v>51361</v>
      </c>
      <c r="D102" s="40">
        <f t="shared" ref="D102:E102" si="22">SUM(D93:D101)</f>
        <v>106491</v>
      </c>
      <c r="E102" s="40">
        <f t="shared" si="22"/>
        <v>10672225</v>
      </c>
      <c r="F102" s="31">
        <f t="shared" ref="F102" si="23">E102/C102</f>
        <v>207.78849710870116</v>
      </c>
      <c r="G102" s="17"/>
      <c r="H102" s="17"/>
      <c r="I102" s="63"/>
      <c r="J102" s="63"/>
    </row>
    <row r="103" spans="2:10" ht="19.5" thickBot="1" x14ac:dyDescent="0.35">
      <c r="B103" s="44"/>
      <c r="C103" s="45"/>
      <c r="D103" s="45"/>
      <c r="E103" s="45"/>
      <c r="F103" s="46"/>
      <c r="G103" s="17"/>
      <c r="H103" s="17"/>
      <c r="I103" s="63"/>
      <c r="J103" s="63"/>
    </row>
    <row r="104" spans="2:10" ht="19.5" thickBot="1" x14ac:dyDescent="0.35">
      <c r="B104" s="34" t="s">
        <v>94</v>
      </c>
      <c r="C104" s="42"/>
      <c r="D104" s="42"/>
      <c r="E104" s="42"/>
      <c r="F104" s="43"/>
      <c r="G104" s="17"/>
      <c r="H104" s="17"/>
      <c r="I104" s="63"/>
      <c r="J104" s="63"/>
    </row>
    <row r="105" spans="2:10" ht="18.75" x14ac:dyDescent="0.3">
      <c r="B105" s="48" t="s">
        <v>95</v>
      </c>
      <c r="C105" s="60">
        <v>3850</v>
      </c>
      <c r="D105" s="7">
        <f>I105+J105</f>
        <v>9161</v>
      </c>
      <c r="E105" s="8">
        <v>917809</v>
      </c>
      <c r="F105" s="27">
        <f t="shared" ref="F105:F118" si="24">E105/C105</f>
        <v>238.39194805194805</v>
      </c>
      <c r="G105" s="17"/>
      <c r="H105" s="17"/>
      <c r="I105" s="63">
        <v>4900</v>
      </c>
      <c r="J105" s="63">
        <v>4261</v>
      </c>
    </row>
    <row r="106" spans="2:10" ht="18.75" x14ac:dyDescent="0.3">
      <c r="B106" s="49" t="s">
        <v>96</v>
      </c>
      <c r="C106" s="9">
        <v>5510</v>
      </c>
      <c r="D106" s="7">
        <f t="shared" ref="D106:D118" si="25">I106+J106</f>
        <v>11251</v>
      </c>
      <c r="E106" s="8">
        <v>1121588</v>
      </c>
      <c r="F106" s="27">
        <f t="shared" si="24"/>
        <v>203.55499092558983</v>
      </c>
      <c r="G106" s="17"/>
      <c r="H106" s="17"/>
      <c r="I106" s="63">
        <v>6251</v>
      </c>
      <c r="J106" s="63">
        <v>5000</v>
      </c>
    </row>
    <row r="107" spans="2:10" ht="18.75" x14ac:dyDescent="0.3">
      <c r="B107" s="49" t="s">
        <v>97</v>
      </c>
      <c r="C107" s="9">
        <v>854</v>
      </c>
      <c r="D107" s="7">
        <f t="shared" si="25"/>
        <v>1948</v>
      </c>
      <c r="E107" s="9">
        <v>201380</v>
      </c>
      <c r="F107" s="27">
        <f t="shared" si="24"/>
        <v>235.80796252927399</v>
      </c>
      <c r="G107" s="17"/>
      <c r="H107" s="17"/>
      <c r="I107" s="63">
        <v>970</v>
      </c>
      <c r="J107" s="63">
        <v>978</v>
      </c>
    </row>
    <row r="108" spans="2:10" ht="18.75" x14ac:dyDescent="0.3">
      <c r="B108" s="49" t="s">
        <v>98</v>
      </c>
      <c r="C108" s="9">
        <v>7456</v>
      </c>
      <c r="D108" s="7">
        <f t="shared" si="25"/>
        <v>16082</v>
      </c>
      <c r="E108" s="9">
        <v>1598229</v>
      </c>
      <c r="F108" s="27">
        <f t="shared" si="24"/>
        <v>214.35474785407726</v>
      </c>
      <c r="G108" s="17"/>
      <c r="H108" s="17"/>
      <c r="I108" s="63">
        <v>8917</v>
      </c>
      <c r="J108" s="63">
        <v>7165</v>
      </c>
    </row>
    <row r="109" spans="2:10" ht="18.75" x14ac:dyDescent="0.3">
      <c r="B109" s="26" t="s">
        <v>99</v>
      </c>
      <c r="C109" s="9">
        <v>4572</v>
      </c>
      <c r="D109" s="7">
        <f t="shared" si="25"/>
        <v>10103</v>
      </c>
      <c r="E109" s="9">
        <v>1009240</v>
      </c>
      <c r="F109" s="27">
        <f t="shared" si="24"/>
        <v>220.74365704286964</v>
      </c>
      <c r="G109" s="17"/>
      <c r="H109" s="17"/>
      <c r="I109" s="63">
        <v>5585</v>
      </c>
      <c r="J109" s="63">
        <v>4518</v>
      </c>
    </row>
    <row r="110" spans="2:10" ht="18.75" x14ac:dyDescent="0.3">
      <c r="B110" s="26" t="s">
        <v>100</v>
      </c>
      <c r="C110" s="9">
        <v>3692</v>
      </c>
      <c r="D110" s="7">
        <f t="shared" si="25"/>
        <v>8790</v>
      </c>
      <c r="E110" s="9">
        <v>880042</v>
      </c>
      <c r="F110" s="27">
        <f t="shared" si="24"/>
        <v>238.36457204767063</v>
      </c>
      <c r="G110" s="17"/>
      <c r="H110" s="17"/>
      <c r="I110" s="63">
        <v>4546</v>
      </c>
      <c r="J110" s="63">
        <v>4244</v>
      </c>
    </row>
    <row r="111" spans="2:10" ht="18.75" x14ac:dyDescent="0.3">
      <c r="B111" s="26" t="s">
        <v>101</v>
      </c>
      <c r="C111" s="9">
        <v>8575</v>
      </c>
      <c r="D111" s="7">
        <f t="shared" si="25"/>
        <v>19483</v>
      </c>
      <c r="E111" s="9">
        <v>1919663</v>
      </c>
      <c r="F111" s="27">
        <f t="shared" si="24"/>
        <v>223.86740524781342</v>
      </c>
      <c r="G111" s="17"/>
      <c r="H111" s="17"/>
      <c r="I111" s="63">
        <v>10965</v>
      </c>
      <c r="J111" s="63">
        <v>8518</v>
      </c>
    </row>
    <row r="112" spans="2:10" ht="18.75" x14ac:dyDescent="0.3">
      <c r="B112" s="26" t="s">
        <v>102</v>
      </c>
      <c r="C112" s="9">
        <v>5700</v>
      </c>
      <c r="D112" s="7">
        <f t="shared" si="25"/>
        <v>13099</v>
      </c>
      <c r="E112" s="9">
        <v>1302649</v>
      </c>
      <c r="F112" s="27">
        <f t="shared" si="24"/>
        <v>228.53491228070175</v>
      </c>
      <c r="G112" s="17"/>
      <c r="H112" s="17"/>
      <c r="I112" s="63">
        <v>6812</v>
      </c>
      <c r="J112" s="63">
        <v>6287</v>
      </c>
    </row>
    <row r="113" spans="2:10" ht="18.75" x14ac:dyDescent="0.3">
      <c r="B113" s="26" t="s">
        <v>103</v>
      </c>
      <c r="C113" s="9">
        <v>4930</v>
      </c>
      <c r="D113" s="7">
        <f t="shared" si="25"/>
        <v>11708</v>
      </c>
      <c r="E113" s="9">
        <v>1148636</v>
      </c>
      <c r="F113" s="27">
        <f t="shared" si="24"/>
        <v>232.98904665314402</v>
      </c>
      <c r="G113" s="17"/>
      <c r="H113" s="17"/>
      <c r="I113" s="63">
        <v>6376</v>
      </c>
      <c r="J113" s="63">
        <v>5332</v>
      </c>
    </row>
    <row r="114" spans="2:10" ht="18.75" x14ac:dyDescent="0.3">
      <c r="B114" s="26" t="s">
        <v>104</v>
      </c>
      <c r="C114" s="9">
        <v>7097</v>
      </c>
      <c r="D114" s="7">
        <f t="shared" si="25"/>
        <v>14396</v>
      </c>
      <c r="E114" s="9">
        <v>1446094</v>
      </c>
      <c r="F114" s="27">
        <f t="shared" si="24"/>
        <v>203.76130759475834</v>
      </c>
      <c r="G114" s="17"/>
      <c r="H114" s="17"/>
      <c r="I114" s="63">
        <v>8513</v>
      </c>
      <c r="J114" s="63">
        <v>5883</v>
      </c>
    </row>
    <row r="115" spans="2:10" ht="18.75" x14ac:dyDescent="0.3">
      <c r="B115" s="26" t="s">
        <v>105</v>
      </c>
      <c r="C115" s="9">
        <v>8280</v>
      </c>
      <c r="D115" s="7">
        <f t="shared" si="25"/>
        <v>19261</v>
      </c>
      <c r="E115" s="9">
        <v>1911749</v>
      </c>
      <c r="F115" s="27">
        <f t="shared" si="24"/>
        <v>230.88756038647344</v>
      </c>
      <c r="G115" s="17"/>
      <c r="H115" s="17"/>
      <c r="I115" s="63">
        <v>11039</v>
      </c>
      <c r="J115" s="63">
        <v>8222</v>
      </c>
    </row>
    <row r="116" spans="2:10" ht="18.75" x14ac:dyDescent="0.3">
      <c r="B116" s="26" t="s">
        <v>106</v>
      </c>
      <c r="C116" s="9">
        <v>15821</v>
      </c>
      <c r="D116" s="7">
        <f t="shared" si="25"/>
        <v>34791</v>
      </c>
      <c r="E116" s="9">
        <v>3510945</v>
      </c>
      <c r="F116" s="27">
        <f t="shared" si="24"/>
        <v>221.91675621010049</v>
      </c>
      <c r="G116" s="17"/>
      <c r="H116" s="17"/>
      <c r="I116" s="63">
        <v>19974</v>
      </c>
      <c r="J116" s="63">
        <v>14817</v>
      </c>
    </row>
    <row r="117" spans="2:10" ht="18.75" x14ac:dyDescent="0.3">
      <c r="B117" s="26" t="s">
        <v>107</v>
      </c>
      <c r="C117" s="9">
        <v>5284</v>
      </c>
      <c r="D117" s="7">
        <f t="shared" si="25"/>
        <v>12216</v>
      </c>
      <c r="E117" s="9">
        <v>1212343</v>
      </c>
      <c r="F117" s="27">
        <f t="shared" si="24"/>
        <v>229.43660105980317</v>
      </c>
      <c r="G117" s="17"/>
      <c r="H117" s="17"/>
      <c r="I117" s="63">
        <v>6581</v>
      </c>
      <c r="J117" s="63">
        <v>5635</v>
      </c>
    </row>
    <row r="118" spans="2:10" ht="19.5" thickBot="1" x14ac:dyDescent="0.35">
      <c r="B118" s="26" t="s">
        <v>108</v>
      </c>
      <c r="C118" s="10">
        <v>8137</v>
      </c>
      <c r="D118" s="7">
        <f t="shared" si="25"/>
        <v>17488</v>
      </c>
      <c r="E118" s="9">
        <v>1739221</v>
      </c>
      <c r="F118" s="27">
        <f t="shared" si="24"/>
        <v>213.74228831264594</v>
      </c>
      <c r="G118" s="17"/>
      <c r="H118" s="17"/>
      <c r="I118" s="63">
        <v>9672</v>
      </c>
      <c r="J118" s="63">
        <v>7816</v>
      </c>
    </row>
    <row r="119" spans="2:10" ht="19.5" thickBot="1" x14ac:dyDescent="0.35">
      <c r="B119" s="29" t="s">
        <v>49</v>
      </c>
      <c r="C119" s="40">
        <v>89758</v>
      </c>
      <c r="D119" s="40">
        <f t="shared" ref="D119:E119" si="26">SUM(D105:D118)</f>
        <v>199777</v>
      </c>
      <c r="E119" s="40">
        <f t="shared" si="26"/>
        <v>19919588</v>
      </c>
      <c r="F119" s="31">
        <f t="shared" ref="F119" si="27">E119/C119</f>
        <v>221.92548853584083</v>
      </c>
      <c r="G119" s="17"/>
      <c r="H119" s="17"/>
      <c r="I119" s="63"/>
      <c r="J119" s="63"/>
    </row>
    <row r="120" spans="2:10" ht="19.5" thickBot="1" x14ac:dyDescent="0.35">
      <c r="B120" s="44"/>
      <c r="C120" s="45"/>
      <c r="D120" s="45"/>
      <c r="E120" s="45"/>
      <c r="F120" s="46"/>
      <c r="G120" s="17"/>
      <c r="H120" s="17"/>
      <c r="I120" s="63"/>
      <c r="J120" s="63"/>
    </row>
    <row r="121" spans="2:10" ht="19.5" thickBot="1" x14ac:dyDescent="0.35">
      <c r="B121" s="21" t="s">
        <v>109</v>
      </c>
      <c r="C121" s="42"/>
      <c r="D121" s="42"/>
      <c r="E121" s="42"/>
      <c r="F121" s="43"/>
      <c r="G121" s="17"/>
      <c r="H121" s="17"/>
      <c r="I121" s="63"/>
      <c r="J121" s="63"/>
    </row>
    <row r="122" spans="2:10" ht="18.75" x14ac:dyDescent="0.3">
      <c r="B122" s="24" t="s">
        <v>110</v>
      </c>
      <c r="C122" s="16">
        <v>1463</v>
      </c>
      <c r="D122" s="7">
        <f>I122+J122</f>
        <v>3272</v>
      </c>
      <c r="E122" s="8">
        <v>331102</v>
      </c>
      <c r="F122" s="27">
        <f t="shared" ref="F122:F131" si="28">E122/C122</f>
        <v>226.31715652768284</v>
      </c>
      <c r="G122" s="17"/>
      <c r="H122" s="17"/>
      <c r="I122" s="63">
        <v>1951</v>
      </c>
      <c r="J122" s="63">
        <v>1321</v>
      </c>
    </row>
    <row r="123" spans="2:10" ht="18.75" x14ac:dyDescent="0.3">
      <c r="B123" s="26" t="s">
        <v>111</v>
      </c>
      <c r="C123" s="9">
        <v>4738</v>
      </c>
      <c r="D123" s="7">
        <f t="shared" ref="D123:D131" si="29">I123+J123</f>
        <v>9774</v>
      </c>
      <c r="E123" s="9">
        <v>980384</v>
      </c>
      <c r="F123" s="27">
        <f t="shared" si="28"/>
        <v>206.91937526382441</v>
      </c>
      <c r="G123" s="17"/>
      <c r="H123" s="17"/>
      <c r="I123" s="63">
        <v>5882</v>
      </c>
      <c r="J123" s="63">
        <v>3892</v>
      </c>
    </row>
    <row r="124" spans="2:10" ht="18.75" x14ac:dyDescent="0.3">
      <c r="B124" s="26" t="s">
        <v>112</v>
      </c>
      <c r="C124" s="9">
        <v>1611</v>
      </c>
      <c r="D124" s="7">
        <f t="shared" si="29"/>
        <v>3398</v>
      </c>
      <c r="E124" s="9">
        <v>340025</v>
      </c>
      <c r="F124" s="27">
        <f t="shared" si="28"/>
        <v>211.06455617628802</v>
      </c>
      <c r="G124" s="17"/>
      <c r="H124" s="17"/>
      <c r="I124" s="63">
        <v>1947</v>
      </c>
      <c r="J124" s="63">
        <v>1451</v>
      </c>
    </row>
    <row r="125" spans="2:10" ht="18.75" x14ac:dyDescent="0.3">
      <c r="B125" s="26" t="s">
        <v>113</v>
      </c>
      <c r="C125" s="9">
        <v>4695</v>
      </c>
      <c r="D125" s="7">
        <f t="shared" si="29"/>
        <v>9393</v>
      </c>
      <c r="E125" s="9">
        <v>950750</v>
      </c>
      <c r="F125" s="27">
        <f t="shared" si="28"/>
        <v>202.50266240681577</v>
      </c>
      <c r="G125" s="17"/>
      <c r="H125" s="17"/>
      <c r="I125" s="63">
        <v>5263</v>
      </c>
      <c r="J125" s="63">
        <v>4130</v>
      </c>
    </row>
    <row r="126" spans="2:10" ht="18.75" x14ac:dyDescent="0.3">
      <c r="B126" s="26" t="s">
        <v>114</v>
      </c>
      <c r="C126" s="9">
        <v>7307</v>
      </c>
      <c r="D126" s="7">
        <f t="shared" si="29"/>
        <v>13029</v>
      </c>
      <c r="E126" s="9">
        <v>1327589</v>
      </c>
      <c r="F126" s="27">
        <f t="shared" si="28"/>
        <v>181.68728616395236</v>
      </c>
      <c r="G126" s="17"/>
      <c r="H126" s="17"/>
      <c r="I126" s="63">
        <v>7746</v>
      </c>
      <c r="J126" s="63">
        <v>5283</v>
      </c>
    </row>
    <row r="127" spans="2:10" ht="18.75" x14ac:dyDescent="0.3">
      <c r="B127" s="26" t="s">
        <v>115</v>
      </c>
      <c r="C127" s="9">
        <v>10292</v>
      </c>
      <c r="D127" s="7">
        <f t="shared" si="29"/>
        <v>22726</v>
      </c>
      <c r="E127" s="9">
        <v>2287174</v>
      </c>
      <c r="F127" s="27">
        <f t="shared" si="28"/>
        <v>222.22833268558102</v>
      </c>
      <c r="G127" s="17"/>
      <c r="H127" s="17"/>
      <c r="I127" s="63">
        <v>13802</v>
      </c>
      <c r="J127" s="63">
        <v>8924</v>
      </c>
    </row>
    <row r="128" spans="2:10" ht="18.75" x14ac:dyDescent="0.3">
      <c r="B128" s="26" t="s">
        <v>116</v>
      </c>
      <c r="C128" s="9">
        <v>9072</v>
      </c>
      <c r="D128" s="7">
        <f t="shared" si="29"/>
        <v>19298</v>
      </c>
      <c r="E128" s="9">
        <v>1915122</v>
      </c>
      <c r="F128" s="27">
        <f t="shared" si="28"/>
        <v>211.10251322751321</v>
      </c>
      <c r="G128" s="17"/>
      <c r="H128" s="17"/>
      <c r="I128" s="63">
        <v>11982</v>
      </c>
      <c r="J128" s="63">
        <v>7316</v>
      </c>
    </row>
    <row r="129" spans="2:10" ht="18.75" x14ac:dyDescent="0.3">
      <c r="B129" s="26" t="s">
        <v>117</v>
      </c>
      <c r="C129" s="9">
        <v>7030</v>
      </c>
      <c r="D129" s="7">
        <f t="shared" si="29"/>
        <v>15612</v>
      </c>
      <c r="E129" s="9">
        <v>1574926</v>
      </c>
      <c r="F129" s="27">
        <f t="shared" si="28"/>
        <v>224.02930298719772</v>
      </c>
      <c r="G129" s="17"/>
      <c r="H129" s="17"/>
      <c r="I129" s="63">
        <v>9568</v>
      </c>
      <c r="J129" s="63">
        <v>6044</v>
      </c>
    </row>
    <row r="130" spans="2:10" ht="18.75" x14ac:dyDescent="0.3">
      <c r="B130" s="47" t="s">
        <v>118</v>
      </c>
      <c r="C130" s="9">
        <v>7861</v>
      </c>
      <c r="D130" s="7">
        <f t="shared" si="29"/>
        <v>16921</v>
      </c>
      <c r="E130" s="9">
        <v>1701213</v>
      </c>
      <c r="F130" s="27">
        <f t="shared" si="28"/>
        <v>216.41177967179749</v>
      </c>
      <c r="G130" s="17"/>
      <c r="H130" s="17"/>
      <c r="I130" s="63">
        <v>10475</v>
      </c>
      <c r="J130" s="63">
        <v>6446</v>
      </c>
    </row>
    <row r="131" spans="2:10" ht="19.5" thickBot="1" x14ac:dyDescent="0.35">
      <c r="B131" s="47" t="s">
        <v>119</v>
      </c>
      <c r="C131" s="56">
        <v>5555</v>
      </c>
      <c r="D131" s="7">
        <f t="shared" si="29"/>
        <v>9719</v>
      </c>
      <c r="E131" s="9">
        <v>982742</v>
      </c>
      <c r="F131" s="27">
        <f t="shared" si="28"/>
        <v>176.9112511251125</v>
      </c>
      <c r="G131" s="17"/>
      <c r="H131" s="17"/>
      <c r="I131" s="63">
        <v>5776</v>
      </c>
      <c r="J131" s="63">
        <v>3943</v>
      </c>
    </row>
    <row r="132" spans="2:10" ht="19.5" thickBot="1" x14ac:dyDescent="0.35">
      <c r="B132" s="29" t="s">
        <v>49</v>
      </c>
      <c r="C132" s="40">
        <v>59624</v>
      </c>
      <c r="D132" s="40">
        <f t="shared" ref="D132:E132" si="30">SUM(D122:D131)</f>
        <v>123142</v>
      </c>
      <c r="E132" s="40">
        <f t="shared" si="30"/>
        <v>12391027</v>
      </c>
      <c r="F132" s="31">
        <f t="shared" ref="F132" si="31">E132/C132</f>
        <v>207.81945189856432</v>
      </c>
      <c r="G132" s="17"/>
      <c r="H132" s="17"/>
      <c r="I132" s="63"/>
      <c r="J132" s="63"/>
    </row>
    <row r="133" spans="2:10" ht="19.5" thickBot="1" x14ac:dyDescent="0.35">
      <c r="B133" s="44"/>
      <c r="C133" s="45"/>
      <c r="D133" s="45"/>
      <c r="E133" s="45"/>
      <c r="F133" s="46"/>
      <c r="G133" s="17"/>
      <c r="H133" s="17"/>
      <c r="I133" s="63"/>
      <c r="J133" s="63"/>
    </row>
    <row r="134" spans="2:10" ht="19.5" thickBot="1" x14ac:dyDescent="0.35">
      <c r="B134" s="52" t="s">
        <v>120</v>
      </c>
      <c r="C134" s="50">
        <f>SUM(C132+C119+C102+C90+C77+C68+C58+C48+C32+C16)</f>
        <v>630265</v>
      </c>
      <c r="D134" s="50">
        <f>SUM(D132+D119+D102+D90+D77+D68+D58+D48+D32+D16)</f>
        <v>1330498</v>
      </c>
      <c r="E134" s="50">
        <f>SUM(E132+E119+E102+E90+E77+E68+E58+E48+E32+E16)</f>
        <v>132967759</v>
      </c>
      <c r="F134" s="43">
        <f t="shared" ref="F134" si="32">E134/C134</f>
        <v>210.97119306958183</v>
      </c>
      <c r="G134" s="17"/>
      <c r="H134" s="17"/>
      <c r="I134" s="63"/>
      <c r="J134" s="63"/>
    </row>
    <row r="135" spans="2:10" ht="18.75" x14ac:dyDescent="0.3">
      <c r="B135" s="51"/>
      <c r="C135" s="17"/>
      <c r="D135" s="17"/>
      <c r="E135" s="17"/>
      <c r="F135" s="17"/>
      <c r="G135" s="17"/>
      <c r="H135" s="17"/>
      <c r="I135" s="64"/>
      <c r="J135" s="64"/>
    </row>
    <row r="136" spans="2:10" ht="18.75" x14ac:dyDescent="0.3">
      <c r="B136" s="51"/>
      <c r="C136" s="17"/>
      <c r="D136" s="17"/>
      <c r="E136" s="17"/>
      <c r="F136" s="17"/>
      <c r="G136" s="17"/>
      <c r="H136" s="17"/>
      <c r="I136" s="64"/>
      <c r="J136" s="64"/>
    </row>
    <row r="137" spans="2:10" ht="18.75" x14ac:dyDescent="0.3">
      <c r="B137" s="51"/>
      <c r="C137" s="17"/>
      <c r="D137" s="17"/>
      <c r="E137" s="17"/>
      <c r="F137" s="17"/>
      <c r="G137" s="17"/>
      <c r="H137" s="17"/>
      <c r="I137" s="64"/>
      <c r="J137" s="64"/>
    </row>
    <row r="138" spans="2:10" ht="18.75" x14ac:dyDescent="0.3">
      <c r="B138" s="51"/>
      <c r="C138" s="17"/>
      <c r="D138" s="17"/>
      <c r="E138" s="17"/>
      <c r="F138" s="17"/>
      <c r="G138" s="17"/>
      <c r="H138" s="17"/>
      <c r="I138" s="64"/>
      <c r="J138" s="64"/>
    </row>
    <row r="139" spans="2:10" ht="18.75" x14ac:dyDescent="0.3">
      <c r="B139" s="51"/>
      <c r="C139" s="17"/>
      <c r="D139" s="17"/>
      <c r="E139" s="17"/>
      <c r="F139" s="17"/>
      <c r="G139" s="17"/>
      <c r="H139" s="17"/>
      <c r="I139" s="64"/>
      <c r="J139" s="64"/>
    </row>
    <row r="140" spans="2:10" ht="18.75" x14ac:dyDescent="0.3">
      <c r="B140" s="51"/>
      <c r="C140" s="17"/>
      <c r="D140" s="17"/>
      <c r="E140" s="17"/>
      <c r="F140" s="17"/>
      <c r="G140" s="17"/>
      <c r="H140" s="17"/>
      <c r="I140" s="64"/>
      <c r="J140" s="64"/>
    </row>
  </sheetData>
  <mergeCells count="6">
    <mergeCell ref="I6:J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40"/>
  <sheetViews>
    <sheetView workbookViewId="0">
      <pane xSplit="2" ySplit="7" topLeftCell="C30" activePane="bottomRight" state="frozen"/>
      <selection pane="topRight" activeCell="C1" sqref="C1"/>
      <selection pane="bottomLeft" activeCell="A8" sqref="A8"/>
      <selection pane="bottomRight" activeCell="M101" sqref="M101"/>
    </sheetView>
  </sheetViews>
  <sheetFormatPr defaultRowHeight="15" x14ac:dyDescent="0.25"/>
  <cols>
    <col min="1" max="1" width="9.140625" style="1"/>
    <col min="2" max="2" width="18.7109375" style="1" bestFit="1" customWidth="1"/>
    <col min="3" max="3" width="10.5703125" style="1" bestFit="1" customWidth="1"/>
    <col min="4" max="4" width="12.7109375" style="1" bestFit="1" customWidth="1"/>
    <col min="5" max="5" width="15.7109375" style="1" bestFit="1" customWidth="1"/>
    <col min="6" max="6" width="15.85546875" style="1" customWidth="1"/>
    <col min="7" max="8" width="9.140625" style="1"/>
    <col min="9" max="9" width="13.5703125" style="1" bestFit="1" customWidth="1"/>
    <col min="10" max="10" width="12.7109375" style="1" bestFit="1" customWidth="1"/>
    <col min="11" max="16384" width="9.140625" style="1"/>
  </cols>
  <sheetData>
    <row r="1" spans="2:10" ht="18.75" x14ac:dyDescent="0.3">
      <c r="B1" s="162" t="s">
        <v>0</v>
      </c>
      <c r="C1" s="162"/>
      <c r="D1" s="162"/>
      <c r="E1" s="162"/>
      <c r="F1" s="162"/>
      <c r="G1" s="17"/>
      <c r="H1" s="17"/>
      <c r="I1" s="17"/>
      <c r="J1" s="17"/>
    </row>
    <row r="2" spans="2:10" ht="18.75" x14ac:dyDescent="0.3">
      <c r="B2" s="162" t="s">
        <v>1</v>
      </c>
      <c r="C2" s="162"/>
      <c r="D2" s="162"/>
      <c r="E2" s="162"/>
      <c r="F2" s="162"/>
      <c r="G2" s="17"/>
      <c r="H2" s="17"/>
      <c r="I2" s="17"/>
      <c r="J2" s="17"/>
    </row>
    <row r="3" spans="2:10" ht="18.75" x14ac:dyDescent="0.3">
      <c r="B3" s="163" t="s">
        <v>2</v>
      </c>
      <c r="C3" s="163"/>
      <c r="D3" s="163"/>
      <c r="E3" s="163"/>
      <c r="F3" s="163"/>
      <c r="G3" s="17"/>
      <c r="H3" s="17"/>
      <c r="I3" s="17"/>
      <c r="J3" s="17"/>
    </row>
    <row r="4" spans="2:10" ht="18.75" x14ac:dyDescent="0.3">
      <c r="B4" s="162" t="s">
        <v>126</v>
      </c>
      <c r="C4" s="162"/>
      <c r="D4" s="162"/>
      <c r="E4" s="162"/>
      <c r="F4" s="162"/>
      <c r="G4" s="17"/>
      <c r="H4" s="17"/>
      <c r="I4" s="17"/>
      <c r="J4" s="17"/>
    </row>
    <row r="5" spans="2:10" ht="19.5" thickBot="1" x14ac:dyDescent="0.35">
      <c r="B5" s="164"/>
      <c r="C5" s="164"/>
      <c r="D5" s="164"/>
      <c r="E5" s="164"/>
      <c r="F5" s="164"/>
      <c r="G5" s="17"/>
      <c r="H5" s="17"/>
      <c r="I5" s="17"/>
      <c r="J5" s="17"/>
    </row>
    <row r="6" spans="2:10" ht="57" thickBot="1" x14ac:dyDescent="0.35">
      <c r="B6" s="18"/>
      <c r="C6" s="19" t="s">
        <v>3</v>
      </c>
      <c r="D6" s="20" t="s">
        <v>4</v>
      </c>
      <c r="E6" s="20" t="s">
        <v>5</v>
      </c>
      <c r="F6" s="20" t="s">
        <v>6</v>
      </c>
      <c r="G6" s="17"/>
      <c r="H6" s="17"/>
      <c r="I6" s="160" t="s">
        <v>7</v>
      </c>
      <c r="J6" s="161"/>
    </row>
    <row r="7" spans="2:10" ht="19.5" thickBot="1" x14ac:dyDescent="0.35">
      <c r="B7" s="21" t="s">
        <v>8</v>
      </c>
      <c r="C7" s="22"/>
      <c r="D7" s="22"/>
      <c r="E7" s="22"/>
      <c r="F7" s="23"/>
      <c r="G7" s="17"/>
      <c r="H7" s="17"/>
      <c r="I7" s="54" t="s">
        <v>9</v>
      </c>
      <c r="J7" s="54" t="s">
        <v>10</v>
      </c>
    </row>
    <row r="8" spans="2:10" ht="18.75" x14ac:dyDescent="0.3">
      <c r="B8" s="24" t="s">
        <v>11</v>
      </c>
      <c r="C8" s="15">
        <v>7395</v>
      </c>
      <c r="D8" s="13">
        <v>16513</v>
      </c>
      <c r="E8" s="14">
        <v>1906124</v>
      </c>
      <c r="F8" s="25">
        <f>E8/C8</f>
        <v>257.75848546315081</v>
      </c>
      <c r="G8" s="17"/>
      <c r="H8" s="17"/>
      <c r="I8" s="55"/>
      <c r="J8" s="55"/>
    </row>
    <row r="9" spans="2:10" ht="18.75" x14ac:dyDescent="0.3">
      <c r="B9" s="26" t="s">
        <v>12</v>
      </c>
      <c r="C9" s="3">
        <v>5747</v>
      </c>
      <c r="D9" s="13">
        <v>11891</v>
      </c>
      <c r="E9" s="3">
        <v>1413778</v>
      </c>
      <c r="F9" s="25">
        <f t="shared" ref="F9:F16" si="0">E9/C9</f>
        <v>246.00278406124934</v>
      </c>
      <c r="G9" s="17"/>
      <c r="H9" s="17"/>
      <c r="I9" s="55"/>
      <c r="J9" s="55"/>
    </row>
    <row r="10" spans="2:10" ht="18.75" x14ac:dyDescent="0.3">
      <c r="B10" s="26" t="s">
        <v>13</v>
      </c>
      <c r="C10" s="3">
        <v>6271</v>
      </c>
      <c r="D10" s="13">
        <v>12512</v>
      </c>
      <c r="E10" s="3">
        <v>1498090</v>
      </c>
      <c r="F10" s="25">
        <f t="shared" si="0"/>
        <v>238.89172380800511</v>
      </c>
      <c r="G10" s="17"/>
      <c r="H10" s="17"/>
      <c r="I10" s="55"/>
      <c r="J10" s="55"/>
    </row>
    <row r="11" spans="2:10" ht="18.75" x14ac:dyDescent="0.3">
      <c r="B11" s="26" t="s">
        <v>14</v>
      </c>
      <c r="C11" s="3">
        <v>8062</v>
      </c>
      <c r="D11" s="13">
        <v>17024</v>
      </c>
      <c r="E11" s="3">
        <v>1983036</v>
      </c>
      <c r="F11" s="25">
        <f t="shared" si="0"/>
        <v>245.97320764078393</v>
      </c>
      <c r="G11" s="17"/>
      <c r="H11" s="17"/>
      <c r="I11" s="55"/>
      <c r="J11" s="55"/>
    </row>
    <row r="12" spans="2:10" ht="18.75" x14ac:dyDescent="0.3">
      <c r="B12" s="26" t="s">
        <v>15</v>
      </c>
      <c r="C12" s="3">
        <v>2020</v>
      </c>
      <c r="D12" s="13">
        <v>4522</v>
      </c>
      <c r="E12" s="3">
        <v>526112</v>
      </c>
      <c r="F12" s="25">
        <f t="shared" si="0"/>
        <v>260.45148514851485</v>
      </c>
      <c r="G12" s="17"/>
      <c r="H12" s="17"/>
      <c r="I12" s="55"/>
      <c r="J12" s="55"/>
    </row>
    <row r="13" spans="2:10" ht="18.75" x14ac:dyDescent="0.3">
      <c r="B13" s="26" t="s">
        <v>16</v>
      </c>
      <c r="C13" s="3">
        <v>8444</v>
      </c>
      <c r="D13" s="13">
        <v>18589</v>
      </c>
      <c r="E13" s="3">
        <v>2175708</v>
      </c>
      <c r="F13" s="25">
        <f t="shared" si="0"/>
        <v>257.66319279962102</v>
      </c>
      <c r="G13" s="17"/>
      <c r="H13" s="17"/>
      <c r="I13" s="55"/>
      <c r="J13" s="55"/>
    </row>
    <row r="14" spans="2:10" ht="18.75" x14ac:dyDescent="0.3">
      <c r="B14" s="26" t="s">
        <v>17</v>
      </c>
      <c r="C14" s="3">
        <v>3068</v>
      </c>
      <c r="D14" s="13">
        <v>6160</v>
      </c>
      <c r="E14" s="3">
        <v>724506</v>
      </c>
      <c r="F14" s="25">
        <f t="shared" si="0"/>
        <v>236.14928292046937</v>
      </c>
      <c r="G14" s="17"/>
      <c r="H14" s="17"/>
      <c r="I14" s="55"/>
      <c r="J14" s="55"/>
    </row>
    <row r="15" spans="2:10" ht="19.5" thickBot="1" x14ac:dyDescent="0.35">
      <c r="B15" s="28" t="s">
        <v>18</v>
      </c>
      <c r="C15" s="4">
        <v>9954</v>
      </c>
      <c r="D15" s="13">
        <v>20287</v>
      </c>
      <c r="E15" s="11">
        <v>2415403</v>
      </c>
      <c r="F15" s="25">
        <f t="shared" si="0"/>
        <v>242.65651999196302</v>
      </c>
      <c r="G15" s="17"/>
      <c r="H15" s="17"/>
      <c r="I15" s="55"/>
      <c r="J15" s="55"/>
    </row>
    <row r="16" spans="2:10" ht="19.5" thickBot="1" x14ac:dyDescent="0.35">
      <c r="B16" s="29" t="s">
        <v>19</v>
      </c>
      <c r="C16" s="30">
        <v>50344</v>
      </c>
      <c r="D16" s="30">
        <v>106193</v>
      </c>
      <c r="E16" s="30">
        <v>10664383</v>
      </c>
      <c r="F16" s="31">
        <f t="shared" si="0"/>
        <v>211.83026775782616</v>
      </c>
      <c r="G16" s="17"/>
      <c r="H16" s="17"/>
      <c r="I16" s="55"/>
      <c r="J16" s="55"/>
    </row>
    <row r="17" spans="2:17" ht="19.5" thickBot="1" x14ac:dyDescent="0.35">
      <c r="B17" s="32"/>
      <c r="C17" s="33"/>
      <c r="D17" s="33"/>
      <c r="E17" s="33"/>
      <c r="F17" s="33"/>
      <c r="G17" s="2"/>
      <c r="H17" s="2"/>
      <c r="I17" s="55"/>
      <c r="J17" s="55"/>
      <c r="K17" s="2"/>
      <c r="L17" s="2"/>
      <c r="M17" s="2"/>
      <c r="N17" s="2"/>
      <c r="O17" s="2"/>
      <c r="P17" s="2"/>
      <c r="Q17" s="2"/>
    </row>
    <row r="18" spans="2:17" ht="19.5" thickBot="1" x14ac:dyDescent="0.35">
      <c r="B18" s="34" t="s">
        <v>20</v>
      </c>
      <c r="C18" s="35"/>
      <c r="D18" s="35"/>
      <c r="E18" s="35"/>
      <c r="F18" s="36"/>
      <c r="G18" s="2"/>
      <c r="H18" s="2"/>
      <c r="I18" s="55"/>
      <c r="J18" s="55"/>
      <c r="K18" s="2"/>
      <c r="L18" s="2"/>
      <c r="M18" s="2"/>
      <c r="N18" s="2"/>
      <c r="O18" s="2"/>
      <c r="P18" s="2"/>
      <c r="Q18" s="2"/>
    </row>
    <row r="19" spans="2:17" ht="18.75" x14ac:dyDescent="0.3">
      <c r="B19" s="37" t="s">
        <v>21</v>
      </c>
      <c r="C19" s="3">
        <v>14373</v>
      </c>
      <c r="D19" s="3">
        <v>28435</v>
      </c>
      <c r="E19" s="6">
        <v>3400096</v>
      </c>
      <c r="F19" s="27">
        <f t="shared" ref="F19:F32" si="1">E19/C19</f>
        <v>236.56133027203785</v>
      </c>
      <c r="G19" s="38"/>
      <c r="H19" s="38"/>
      <c r="I19" s="55"/>
      <c r="J19" s="55"/>
      <c r="K19" s="38"/>
      <c r="L19" s="38"/>
      <c r="M19" s="38"/>
      <c r="N19" s="38"/>
      <c r="O19" s="38"/>
      <c r="P19" s="38"/>
      <c r="Q19" s="38"/>
    </row>
    <row r="20" spans="2:17" ht="18.75" x14ac:dyDescent="0.3">
      <c r="B20" s="59" t="s">
        <v>22</v>
      </c>
      <c r="C20" s="3">
        <v>6763</v>
      </c>
      <c r="D20" s="3">
        <v>12728</v>
      </c>
      <c r="E20" s="3">
        <v>1310495</v>
      </c>
      <c r="F20" s="27">
        <f t="shared" si="1"/>
        <v>193.77421262753217</v>
      </c>
      <c r="G20" s="38"/>
      <c r="H20" s="38"/>
      <c r="I20" s="55"/>
      <c r="J20" s="55"/>
      <c r="K20" s="38"/>
      <c r="L20" s="38"/>
      <c r="M20" s="38"/>
      <c r="N20" s="38"/>
      <c r="O20" s="38"/>
      <c r="P20" s="38"/>
      <c r="Q20" s="38"/>
    </row>
    <row r="21" spans="2:17" ht="18.75" x14ac:dyDescent="0.3">
      <c r="B21" s="58" t="s">
        <v>23</v>
      </c>
      <c r="C21" s="9">
        <v>5888</v>
      </c>
      <c r="D21" s="3">
        <v>11957</v>
      </c>
      <c r="E21" s="9">
        <v>1406992</v>
      </c>
      <c r="F21" s="27">
        <f t="shared" si="1"/>
        <v>238.95923913043478</v>
      </c>
      <c r="G21" s="2"/>
      <c r="H21" s="2"/>
      <c r="I21" s="55"/>
      <c r="J21" s="55"/>
      <c r="K21" s="2"/>
      <c r="L21" s="2"/>
      <c r="M21" s="2"/>
      <c r="N21" s="2"/>
      <c r="O21" s="2"/>
      <c r="P21" s="2"/>
      <c r="Q21" s="2"/>
    </row>
    <row r="22" spans="2:17" ht="18.75" x14ac:dyDescent="0.3">
      <c r="B22" s="26" t="s">
        <v>24</v>
      </c>
      <c r="C22" s="9">
        <v>7542</v>
      </c>
      <c r="D22" s="3">
        <v>15718</v>
      </c>
      <c r="E22" s="9">
        <v>1834848</v>
      </c>
      <c r="F22" s="27">
        <f t="shared" si="1"/>
        <v>243.28400954653938</v>
      </c>
      <c r="G22" s="2"/>
      <c r="H22" s="2"/>
      <c r="I22" s="55"/>
      <c r="J22" s="55"/>
      <c r="K22" s="2"/>
      <c r="L22" s="2"/>
      <c r="M22" s="2"/>
      <c r="N22" s="2"/>
      <c r="O22" s="2"/>
      <c r="P22" s="2"/>
      <c r="Q22" s="2"/>
    </row>
    <row r="23" spans="2:17" ht="18.75" x14ac:dyDescent="0.3">
      <c r="B23" s="26" t="s">
        <v>25</v>
      </c>
      <c r="C23" s="9">
        <v>4726</v>
      </c>
      <c r="D23" s="3">
        <v>10376</v>
      </c>
      <c r="E23" s="9">
        <v>1204738</v>
      </c>
      <c r="F23" s="27">
        <f t="shared" si="1"/>
        <v>254.91705459162083</v>
      </c>
      <c r="G23" s="2"/>
      <c r="H23" s="2"/>
      <c r="I23" s="55"/>
      <c r="J23" s="55"/>
      <c r="K23" s="2"/>
      <c r="L23" s="2"/>
      <c r="M23" s="2"/>
      <c r="N23" s="2"/>
      <c r="O23" s="2"/>
      <c r="P23" s="2"/>
      <c r="Q23" s="2"/>
    </row>
    <row r="24" spans="2:17" ht="18.75" x14ac:dyDescent="0.3">
      <c r="B24" s="26" t="s">
        <v>26</v>
      </c>
      <c r="C24" s="9">
        <v>3127</v>
      </c>
      <c r="D24" s="3">
        <v>6724</v>
      </c>
      <c r="E24" s="9">
        <v>790340</v>
      </c>
      <c r="F24" s="27">
        <f t="shared" si="1"/>
        <v>252.74704189318837</v>
      </c>
      <c r="G24" s="2"/>
      <c r="H24" s="2"/>
      <c r="I24" s="55"/>
      <c r="J24" s="55"/>
      <c r="K24" s="2"/>
      <c r="L24" s="2"/>
      <c r="M24" s="2"/>
      <c r="N24" s="2"/>
      <c r="O24" s="2"/>
      <c r="P24" s="2"/>
      <c r="Q24" s="2"/>
    </row>
    <row r="25" spans="2:17" ht="18.75" x14ac:dyDescent="0.3">
      <c r="B25" s="26" t="s">
        <v>27</v>
      </c>
      <c r="C25" s="9">
        <v>8270</v>
      </c>
      <c r="D25" s="3">
        <v>17214</v>
      </c>
      <c r="E25" s="9">
        <v>2028833</v>
      </c>
      <c r="F25" s="27">
        <f t="shared" si="1"/>
        <v>245.32442563482468</v>
      </c>
      <c r="G25" s="2"/>
      <c r="H25" s="2"/>
      <c r="I25" s="55"/>
      <c r="J25" s="55"/>
      <c r="K25" s="2"/>
      <c r="L25" s="2"/>
      <c r="M25" s="2"/>
      <c r="N25" s="2"/>
      <c r="O25" s="2"/>
      <c r="P25" s="2"/>
      <c r="Q25" s="2"/>
    </row>
    <row r="26" spans="2:17" ht="18.75" x14ac:dyDescent="0.3">
      <c r="B26" s="26" t="s">
        <v>28</v>
      </c>
      <c r="C26" s="9">
        <v>7318</v>
      </c>
      <c r="D26" s="3">
        <v>15968</v>
      </c>
      <c r="E26" s="9">
        <v>1876211</v>
      </c>
      <c r="F26" s="27">
        <f t="shared" si="1"/>
        <v>256.38302814976771</v>
      </c>
      <c r="G26" s="2"/>
      <c r="H26" s="2"/>
      <c r="I26" s="55"/>
      <c r="J26" s="55"/>
      <c r="K26" s="2"/>
      <c r="L26" s="2"/>
      <c r="M26" s="2"/>
      <c r="N26" s="2"/>
      <c r="O26" s="2"/>
      <c r="P26" s="2"/>
      <c r="Q26" s="2"/>
    </row>
    <row r="27" spans="2:17" ht="18.75" x14ac:dyDescent="0.3">
      <c r="B27" s="26" t="s">
        <v>29</v>
      </c>
      <c r="C27" s="9">
        <v>9603</v>
      </c>
      <c r="D27" s="3">
        <v>19455</v>
      </c>
      <c r="E27" s="9">
        <v>2288532</v>
      </c>
      <c r="F27" s="27">
        <f t="shared" si="1"/>
        <v>238.31427678850361</v>
      </c>
      <c r="G27" s="2"/>
      <c r="H27" s="2"/>
      <c r="I27" s="55"/>
      <c r="J27" s="55"/>
      <c r="K27" s="2"/>
      <c r="L27" s="2"/>
      <c r="M27" s="2"/>
      <c r="N27" s="2"/>
      <c r="O27" s="2"/>
      <c r="P27" s="2"/>
      <c r="Q27" s="2"/>
    </row>
    <row r="28" spans="2:17" ht="18.75" x14ac:dyDescent="0.3">
      <c r="B28" s="26" t="s">
        <v>30</v>
      </c>
      <c r="C28" s="9">
        <v>6539</v>
      </c>
      <c r="D28" s="3">
        <v>15143</v>
      </c>
      <c r="E28" s="9">
        <v>1744404</v>
      </c>
      <c r="F28" s="27">
        <f t="shared" si="1"/>
        <v>266.76923076923077</v>
      </c>
      <c r="G28" s="2"/>
      <c r="H28" s="2"/>
      <c r="I28" s="55"/>
      <c r="J28" s="55"/>
      <c r="K28" s="2"/>
      <c r="L28" s="2"/>
      <c r="M28" s="2"/>
      <c r="N28" s="2"/>
      <c r="O28" s="2"/>
      <c r="P28" s="2"/>
      <c r="Q28" s="2"/>
    </row>
    <row r="29" spans="2:17" ht="18.75" x14ac:dyDescent="0.3">
      <c r="B29" s="26" t="s">
        <v>31</v>
      </c>
      <c r="C29" s="9">
        <v>5524</v>
      </c>
      <c r="D29" s="3">
        <v>11998</v>
      </c>
      <c r="E29" s="9">
        <v>1397004</v>
      </c>
      <c r="F29" s="27">
        <f t="shared" si="1"/>
        <v>252.89717595944967</v>
      </c>
      <c r="G29" s="2"/>
      <c r="H29" s="2"/>
      <c r="I29" s="55"/>
      <c r="J29" s="55"/>
      <c r="K29" s="2"/>
      <c r="L29" s="2"/>
      <c r="M29" s="2"/>
      <c r="N29" s="2"/>
      <c r="O29" s="2"/>
      <c r="P29" s="2"/>
      <c r="Q29" s="2"/>
    </row>
    <row r="30" spans="2:17" ht="18.75" x14ac:dyDescent="0.3">
      <c r="B30" s="39" t="s">
        <v>32</v>
      </c>
      <c r="C30" s="8">
        <v>5438</v>
      </c>
      <c r="D30" s="13">
        <v>12101</v>
      </c>
      <c r="E30" s="8">
        <v>1426094</v>
      </c>
      <c r="F30" s="27">
        <f t="shared" si="1"/>
        <v>262.24604634056641</v>
      </c>
      <c r="G30" s="2"/>
      <c r="H30" s="2"/>
      <c r="I30" s="55"/>
      <c r="J30" s="55"/>
      <c r="K30" s="2"/>
      <c r="L30" s="2"/>
      <c r="M30" s="2"/>
      <c r="N30" s="2"/>
      <c r="O30" s="2"/>
      <c r="P30" s="2"/>
      <c r="Q30" s="2"/>
    </row>
    <row r="31" spans="2:17" ht="19.5" thickBot="1" x14ac:dyDescent="0.35">
      <c r="B31" s="39" t="s">
        <v>33</v>
      </c>
      <c r="C31" s="56">
        <v>1909</v>
      </c>
      <c r="D31" s="5">
        <v>488672</v>
      </c>
      <c r="E31" s="57">
        <v>4121</v>
      </c>
      <c r="F31" s="27">
        <f t="shared" si="1"/>
        <v>2.1587218438973284</v>
      </c>
      <c r="G31" s="2"/>
      <c r="H31" s="2"/>
      <c r="I31" s="55"/>
      <c r="J31" s="55"/>
      <c r="K31" s="2"/>
      <c r="L31" s="2"/>
      <c r="M31" s="2"/>
      <c r="N31" s="2"/>
      <c r="O31" s="2"/>
      <c r="P31" s="2"/>
      <c r="Q31" s="2"/>
    </row>
    <row r="32" spans="2:17" ht="19.5" thickBot="1" x14ac:dyDescent="0.35">
      <c r="B32" s="29" t="s">
        <v>34</v>
      </c>
      <c r="C32" s="40">
        <v>86404</v>
      </c>
      <c r="D32" s="40">
        <v>180629</v>
      </c>
      <c r="E32" s="40">
        <v>18190069</v>
      </c>
      <c r="F32" s="31">
        <f t="shared" si="1"/>
        <v>210.52345956205733</v>
      </c>
      <c r="G32" s="2"/>
      <c r="H32" s="2"/>
      <c r="I32" s="55"/>
      <c r="J32" s="55"/>
      <c r="K32" s="2"/>
      <c r="L32" s="2"/>
      <c r="M32" s="2"/>
      <c r="N32" s="2"/>
      <c r="O32" s="2"/>
      <c r="P32" s="2"/>
      <c r="Q32" s="2"/>
    </row>
    <row r="33" spans="2:10" ht="19.5" thickBot="1" x14ac:dyDescent="0.35">
      <c r="B33" s="32"/>
      <c r="C33" s="41"/>
      <c r="D33" s="41"/>
      <c r="E33" s="41"/>
      <c r="F33" s="33"/>
      <c r="G33" s="17"/>
      <c r="H33" s="17"/>
      <c r="I33" s="55"/>
      <c r="J33" s="55"/>
    </row>
    <row r="34" spans="2:10" ht="19.5" thickBot="1" x14ac:dyDescent="0.35">
      <c r="B34" s="21" t="s">
        <v>35</v>
      </c>
      <c r="C34" s="42"/>
      <c r="D34" s="42"/>
      <c r="E34" s="42"/>
      <c r="F34" s="43"/>
      <c r="G34" s="17"/>
      <c r="H34" s="17"/>
      <c r="I34" s="55"/>
      <c r="J34" s="55"/>
    </row>
    <row r="35" spans="2:10" ht="18.75" x14ac:dyDescent="0.3">
      <c r="B35" s="24" t="s">
        <v>36</v>
      </c>
      <c r="C35" s="16">
        <v>8616</v>
      </c>
      <c r="D35" s="7">
        <v>18373</v>
      </c>
      <c r="E35" s="8">
        <v>2153947</v>
      </c>
      <c r="F35" s="27">
        <f t="shared" ref="F35:F48" si="2">E35/C35</f>
        <v>249.99384865366758</v>
      </c>
      <c r="G35" s="17"/>
      <c r="H35" s="17"/>
      <c r="I35" s="55"/>
      <c r="J35" s="55"/>
    </row>
    <row r="36" spans="2:10" ht="18.75" x14ac:dyDescent="0.3">
      <c r="B36" s="26" t="s">
        <v>37</v>
      </c>
      <c r="C36" s="9">
        <v>8692</v>
      </c>
      <c r="D36" s="7">
        <v>17651</v>
      </c>
      <c r="E36" s="9">
        <v>2069367</v>
      </c>
      <c r="F36" s="27">
        <f t="shared" si="2"/>
        <v>238.07719742291764</v>
      </c>
      <c r="G36" s="17"/>
      <c r="H36" s="17"/>
      <c r="I36" s="55"/>
      <c r="J36" s="55"/>
    </row>
    <row r="37" spans="2:10" ht="18.75" x14ac:dyDescent="0.3">
      <c r="B37" s="26" t="s">
        <v>38</v>
      </c>
      <c r="C37" s="9">
        <v>10021</v>
      </c>
      <c r="D37" s="7">
        <v>20975</v>
      </c>
      <c r="E37" s="9">
        <v>2434222</v>
      </c>
      <c r="F37" s="27">
        <f t="shared" si="2"/>
        <v>242.91208462229318</v>
      </c>
      <c r="G37" s="17"/>
      <c r="H37" s="17"/>
      <c r="I37" s="55"/>
      <c r="J37" s="55"/>
    </row>
    <row r="38" spans="2:10" ht="18.75" x14ac:dyDescent="0.3">
      <c r="B38" s="26" t="s">
        <v>39</v>
      </c>
      <c r="C38" s="9">
        <v>5009</v>
      </c>
      <c r="D38" s="7">
        <v>10706</v>
      </c>
      <c r="E38" s="9">
        <v>1270075</v>
      </c>
      <c r="F38" s="27">
        <f t="shared" si="2"/>
        <v>253.55859452984629</v>
      </c>
      <c r="G38" s="17"/>
      <c r="H38" s="17"/>
      <c r="I38" s="55"/>
      <c r="J38" s="55"/>
    </row>
    <row r="39" spans="2:10" ht="18.75" x14ac:dyDescent="0.3">
      <c r="B39" s="26" t="s">
        <v>40</v>
      </c>
      <c r="C39" s="9">
        <v>7798</v>
      </c>
      <c r="D39" s="7">
        <v>17043</v>
      </c>
      <c r="E39" s="9">
        <v>1991165</v>
      </c>
      <c r="F39" s="27">
        <f t="shared" si="2"/>
        <v>255.3430366760708</v>
      </c>
      <c r="G39" s="17"/>
      <c r="H39" s="17"/>
      <c r="I39" s="55"/>
      <c r="J39" s="55"/>
    </row>
    <row r="40" spans="2:10" ht="18.75" x14ac:dyDescent="0.3">
      <c r="B40" s="26" t="s">
        <v>41</v>
      </c>
      <c r="C40" s="9">
        <v>5668</v>
      </c>
      <c r="D40" s="7">
        <v>11807</v>
      </c>
      <c r="E40" s="9">
        <v>1366898</v>
      </c>
      <c r="F40" s="27">
        <f t="shared" si="2"/>
        <v>241.16055045871559</v>
      </c>
      <c r="G40" s="17"/>
      <c r="H40" s="17"/>
      <c r="I40" s="55"/>
      <c r="J40" s="55"/>
    </row>
    <row r="41" spans="2:10" ht="18.75" x14ac:dyDescent="0.3">
      <c r="B41" s="26" t="s">
        <v>42</v>
      </c>
      <c r="C41" s="9">
        <v>6810</v>
      </c>
      <c r="D41" s="7">
        <v>14993</v>
      </c>
      <c r="E41" s="9">
        <v>1726049</v>
      </c>
      <c r="F41" s="27">
        <f t="shared" si="2"/>
        <v>253.45800293685755</v>
      </c>
      <c r="G41" s="17"/>
      <c r="H41" s="17"/>
      <c r="I41" s="55"/>
      <c r="J41" s="55"/>
    </row>
    <row r="42" spans="2:10" ht="18.75" x14ac:dyDescent="0.3">
      <c r="B42" s="26" t="s">
        <v>43</v>
      </c>
      <c r="C42" s="9">
        <v>9858</v>
      </c>
      <c r="D42" s="7">
        <v>22018</v>
      </c>
      <c r="E42" s="9">
        <v>2555070</v>
      </c>
      <c r="F42" s="27">
        <f t="shared" si="2"/>
        <v>259.18746195982959</v>
      </c>
      <c r="G42" s="17"/>
      <c r="H42" s="17"/>
      <c r="I42" s="55"/>
      <c r="J42" s="55"/>
    </row>
    <row r="43" spans="2:10" ht="18.75" x14ac:dyDescent="0.3">
      <c r="B43" s="26" t="s">
        <v>44</v>
      </c>
      <c r="C43" s="9">
        <v>6611</v>
      </c>
      <c r="D43" s="7">
        <v>14150</v>
      </c>
      <c r="E43" s="9">
        <v>1645134</v>
      </c>
      <c r="F43" s="27">
        <f t="shared" si="2"/>
        <v>248.84798063833006</v>
      </c>
      <c r="G43" s="17"/>
      <c r="H43" s="17"/>
      <c r="I43" s="55"/>
      <c r="J43" s="55"/>
    </row>
    <row r="44" spans="2:10" ht="18.75" x14ac:dyDescent="0.3">
      <c r="B44" s="26" t="s">
        <v>45</v>
      </c>
      <c r="C44" s="9">
        <v>5450</v>
      </c>
      <c r="D44" s="7">
        <v>11224</v>
      </c>
      <c r="E44" s="9">
        <v>1291680</v>
      </c>
      <c r="F44" s="27">
        <f t="shared" si="2"/>
        <v>237.00550458715597</v>
      </c>
      <c r="G44" s="17"/>
      <c r="H44" s="17"/>
      <c r="I44" s="55"/>
      <c r="J44" s="55"/>
    </row>
    <row r="45" spans="2:10" ht="18.75" x14ac:dyDescent="0.3">
      <c r="B45" s="26" t="s">
        <v>46</v>
      </c>
      <c r="C45" s="9">
        <v>7151</v>
      </c>
      <c r="D45" s="7">
        <v>15542</v>
      </c>
      <c r="E45" s="9">
        <v>1817766</v>
      </c>
      <c r="F45" s="27">
        <f t="shared" si="2"/>
        <v>254.19745490141239</v>
      </c>
      <c r="G45" s="17"/>
      <c r="H45" s="17"/>
      <c r="I45" s="55"/>
      <c r="J45" s="55"/>
    </row>
    <row r="46" spans="2:10" ht="18.75" x14ac:dyDescent="0.3">
      <c r="B46" s="39" t="s">
        <v>47</v>
      </c>
      <c r="C46" s="9">
        <v>6423</v>
      </c>
      <c r="D46" s="7">
        <v>13456</v>
      </c>
      <c r="E46" s="12">
        <v>1577559</v>
      </c>
      <c r="F46" s="27">
        <f t="shared" si="2"/>
        <v>245.61092947220925</v>
      </c>
      <c r="G46" s="17"/>
      <c r="H46" s="17"/>
      <c r="I46" s="55"/>
      <c r="J46" s="55"/>
    </row>
    <row r="47" spans="2:10" ht="19.5" thickBot="1" x14ac:dyDescent="0.35">
      <c r="B47" s="39" t="s">
        <v>48</v>
      </c>
      <c r="C47" s="56">
        <v>4935</v>
      </c>
      <c r="D47" s="7">
        <v>10233</v>
      </c>
      <c r="E47" s="12">
        <v>1190084</v>
      </c>
      <c r="F47" s="27">
        <f t="shared" si="2"/>
        <v>241.15177304964539</v>
      </c>
      <c r="G47" s="17"/>
      <c r="H47" s="17"/>
      <c r="I47" s="55"/>
      <c r="J47" s="55"/>
    </row>
    <row r="48" spans="2:10" ht="19.5" thickBot="1" x14ac:dyDescent="0.35">
      <c r="B48" s="29" t="s">
        <v>49</v>
      </c>
      <c r="C48" s="40">
        <v>91731</v>
      </c>
      <c r="D48" s="40">
        <v>195359</v>
      </c>
      <c r="E48" s="40">
        <v>19391213</v>
      </c>
      <c r="F48" s="31">
        <f t="shared" si="2"/>
        <v>211.39214660256619</v>
      </c>
      <c r="G48" s="17"/>
      <c r="H48" s="17"/>
      <c r="I48" s="55"/>
      <c r="J48" s="55"/>
    </row>
    <row r="49" spans="2:10" ht="19.5" thickBot="1" x14ac:dyDescent="0.35">
      <c r="B49" s="44"/>
      <c r="C49" s="45"/>
      <c r="D49" s="45"/>
      <c r="E49" s="45"/>
      <c r="F49" s="46"/>
      <c r="G49" s="17"/>
      <c r="H49" s="17"/>
      <c r="I49" s="55"/>
      <c r="J49" s="55"/>
    </row>
    <row r="50" spans="2:10" ht="19.5" thickBot="1" x14ac:dyDescent="0.35">
      <c r="B50" s="21" t="s">
        <v>50</v>
      </c>
      <c r="C50" s="42"/>
      <c r="D50" s="42"/>
      <c r="E50" s="42"/>
      <c r="F50" s="43"/>
      <c r="G50" s="17"/>
      <c r="H50" s="17"/>
      <c r="I50" s="55"/>
      <c r="J50" s="55"/>
    </row>
    <row r="51" spans="2:10" ht="18.75" x14ac:dyDescent="0.3">
      <c r="B51" s="24" t="s">
        <v>51</v>
      </c>
      <c r="C51" s="16">
        <v>5201</v>
      </c>
      <c r="D51" s="7">
        <v>10955</v>
      </c>
      <c r="E51" s="8">
        <v>1291310</v>
      </c>
      <c r="F51" s="27">
        <f t="shared" ref="F51:F58" si="3">E51/C51</f>
        <v>248.28109978850222</v>
      </c>
      <c r="G51" s="17"/>
      <c r="H51" s="17"/>
      <c r="I51" s="55"/>
      <c r="J51" s="55"/>
    </row>
    <row r="52" spans="2:10" ht="18.75" x14ac:dyDescent="0.3">
      <c r="B52" s="26" t="s">
        <v>52</v>
      </c>
      <c r="C52" s="9">
        <v>7826</v>
      </c>
      <c r="D52" s="7">
        <v>17473</v>
      </c>
      <c r="E52" s="9">
        <v>2053640</v>
      </c>
      <c r="F52" s="27">
        <f t="shared" si="3"/>
        <v>262.41247124968055</v>
      </c>
      <c r="G52" s="17"/>
      <c r="H52" s="17"/>
      <c r="I52" s="55"/>
      <c r="J52" s="55"/>
    </row>
    <row r="53" spans="2:10" ht="18.75" x14ac:dyDescent="0.3">
      <c r="B53" s="26" t="s">
        <v>53</v>
      </c>
      <c r="C53" s="9">
        <v>21015</v>
      </c>
      <c r="D53" s="7">
        <v>42871</v>
      </c>
      <c r="E53" s="9">
        <v>4997149</v>
      </c>
      <c r="F53" s="27">
        <f t="shared" si="3"/>
        <v>237.7896264572924</v>
      </c>
      <c r="G53" s="17"/>
      <c r="H53" s="17"/>
      <c r="I53" s="55"/>
      <c r="J53" s="55"/>
    </row>
    <row r="54" spans="2:10" ht="18.75" x14ac:dyDescent="0.3">
      <c r="B54" s="26" t="s">
        <v>54</v>
      </c>
      <c r="C54" s="9">
        <v>6835</v>
      </c>
      <c r="D54" s="7">
        <v>14727</v>
      </c>
      <c r="E54" s="9">
        <v>1693797</v>
      </c>
      <c r="F54" s="27">
        <f t="shared" si="3"/>
        <v>247.81228968544258</v>
      </c>
      <c r="G54" s="17"/>
      <c r="H54" s="17"/>
      <c r="I54" s="55"/>
      <c r="J54" s="55"/>
    </row>
    <row r="55" spans="2:10" ht="18.75" x14ac:dyDescent="0.3">
      <c r="B55" s="26" t="s">
        <v>55</v>
      </c>
      <c r="C55" s="9">
        <v>5301</v>
      </c>
      <c r="D55" s="7">
        <v>10921</v>
      </c>
      <c r="E55" s="9">
        <v>1301496</v>
      </c>
      <c r="F55" s="27">
        <f t="shared" si="3"/>
        <v>245.51895868704017</v>
      </c>
      <c r="G55" s="17"/>
      <c r="H55" s="17"/>
      <c r="I55" s="55"/>
      <c r="J55" s="55"/>
    </row>
    <row r="56" spans="2:10" ht="18.75" x14ac:dyDescent="0.3">
      <c r="B56" s="26" t="s">
        <v>56</v>
      </c>
      <c r="C56" s="9">
        <v>5365</v>
      </c>
      <c r="D56" s="7">
        <v>11099</v>
      </c>
      <c r="E56" s="9">
        <v>1287411</v>
      </c>
      <c r="F56" s="27">
        <f t="shared" si="3"/>
        <v>239.96477166821995</v>
      </c>
      <c r="G56" s="17"/>
      <c r="H56" s="17"/>
      <c r="I56" s="55"/>
      <c r="J56" s="55"/>
    </row>
    <row r="57" spans="2:10" ht="19.5" thickBot="1" x14ac:dyDescent="0.35">
      <c r="B57" s="26" t="s">
        <v>57</v>
      </c>
      <c r="C57" s="10">
        <v>7510</v>
      </c>
      <c r="D57" s="7">
        <v>15413</v>
      </c>
      <c r="E57" s="9">
        <v>1791283</v>
      </c>
      <c r="F57" s="27">
        <f t="shared" si="3"/>
        <v>238.51970705725699</v>
      </c>
      <c r="G57" s="17"/>
      <c r="H57" s="17"/>
      <c r="I57" s="55"/>
      <c r="J57" s="55"/>
    </row>
    <row r="58" spans="2:10" ht="19.5" thickBot="1" x14ac:dyDescent="0.35">
      <c r="B58" s="29" t="s">
        <v>49</v>
      </c>
      <c r="C58" s="40">
        <v>58465</v>
      </c>
      <c r="D58" s="40">
        <v>122323</v>
      </c>
      <c r="E58" s="40">
        <v>12194640</v>
      </c>
      <c r="F58" s="31">
        <f t="shared" si="3"/>
        <v>208.58017617377919</v>
      </c>
      <c r="G58" s="17"/>
      <c r="H58" s="17"/>
      <c r="I58" s="55"/>
      <c r="J58" s="55"/>
    </row>
    <row r="59" spans="2:10" ht="19.5" thickBot="1" x14ac:dyDescent="0.35">
      <c r="B59" s="44"/>
      <c r="C59" s="45"/>
      <c r="D59" s="45"/>
      <c r="E59" s="45"/>
      <c r="F59" s="46"/>
      <c r="G59" s="17"/>
      <c r="H59" s="17"/>
      <c r="I59" s="55"/>
      <c r="J59" s="55"/>
    </row>
    <row r="60" spans="2:10" ht="19.5" thickBot="1" x14ac:dyDescent="0.35">
      <c r="B60" s="21" t="s">
        <v>58</v>
      </c>
      <c r="C60" s="42"/>
      <c r="D60" s="42"/>
      <c r="E60" s="42"/>
      <c r="F60" s="43"/>
      <c r="G60" s="17"/>
      <c r="H60" s="17"/>
      <c r="I60" s="55"/>
      <c r="J60" s="55"/>
    </row>
    <row r="61" spans="2:10" ht="18.75" x14ac:dyDescent="0.3">
      <c r="B61" s="24" t="s">
        <v>59</v>
      </c>
      <c r="C61" s="16">
        <v>8512</v>
      </c>
      <c r="D61" s="7">
        <v>18269</v>
      </c>
      <c r="E61" s="8">
        <v>2125171</v>
      </c>
      <c r="F61" s="27">
        <f t="shared" ref="F61:F68" si="4">E61/C61</f>
        <v>249.66764567669173</v>
      </c>
      <c r="G61" s="17"/>
      <c r="H61" s="17"/>
      <c r="I61" s="55"/>
      <c r="J61" s="55"/>
    </row>
    <row r="62" spans="2:10" ht="18.75" x14ac:dyDescent="0.3">
      <c r="B62" s="26" t="s">
        <v>60</v>
      </c>
      <c r="C62" s="9">
        <v>9291</v>
      </c>
      <c r="D62" s="7">
        <v>19458</v>
      </c>
      <c r="E62" s="9">
        <v>2268061</v>
      </c>
      <c r="F62" s="27">
        <f t="shared" si="4"/>
        <v>244.11376601011733</v>
      </c>
      <c r="G62" s="17"/>
      <c r="H62" s="17"/>
      <c r="I62" s="55"/>
      <c r="J62" s="55"/>
    </row>
    <row r="63" spans="2:10" ht="18.75" x14ac:dyDescent="0.3">
      <c r="B63" s="26" t="s">
        <v>61</v>
      </c>
      <c r="C63" s="9">
        <v>11131</v>
      </c>
      <c r="D63" s="7">
        <v>22654</v>
      </c>
      <c r="E63" s="9">
        <v>2639220</v>
      </c>
      <c r="F63" s="27">
        <f t="shared" si="4"/>
        <v>237.10538136735244</v>
      </c>
      <c r="G63" s="17"/>
      <c r="H63" s="17"/>
      <c r="I63" s="55"/>
      <c r="J63" s="55"/>
    </row>
    <row r="64" spans="2:10" ht="18.75" x14ac:dyDescent="0.3">
      <c r="B64" s="26" t="s">
        <v>62</v>
      </c>
      <c r="C64" s="9">
        <v>5098</v>
      </c>
      <c r="D64" s="7">
        <v>11488</v>
      </c>
      <c r="E64" s="9">
        <v>1350487</v>
      </c>
      <c r="F64" s="27">
        <f t="shared" si="4"/>
        <v>264.90525696351511</v>
      </c>
      <c r="G64" s="17"/>
      <c r="H64" s="17"/>
      <c r="I64" s="55"/>
      <c r="J64" s="55"/>
    </row>
    <row r="65" spans="2:10" ht="18.75" x14ac:dyDescent="0.3">
      <c r="B65" s="26" t="s">
        <v>63</v>
      </c>
      <c r="C65" s="9">
        <v>3810</v>
      </c>
      <c r="D65" s="7">
        <v>7989</v>
      </c>
      <c r="E65" s="9">
        <v>925699</v>
      </c>
      <c r="F65" s="27">
        <f t="shared" si="4"/>
        <v>242.96561679790025</v>
      </c>
      <c r="G65" s="17"/>
      <c r="H65" s="17"/>
      <c r="I65" s="55"/>
      <c r="J65" s="55"/>
    </row>
    <row r="66" spans="2:10" ht="18.75" x14ac:dyDescent="0.3">
      <c r="B66" s="26" t="s">
        <v>64</v>
      </c>
      <c r="C66" s="9">
        <v>9659</v>
      </c>
      <c r="D66" s="7">
        <v>20463</v>
      </c>
      <c r="E66" s="9">
        <v>2371926</v>
      </c>
      <c r="F66" s="27">
        <f t="shared" si="4"/>
        <v>245.56641474272698</v>
      </c>
      <c r="G66" s="17"/>
      <c r="H66" s="17"/>
      <c r="I66" s="55"/>
      <c r="J66" s="55"/>
    </row>
    <row r="67" spans="2:10" ht="19.5" thickBot="1" x14ac:dyDescent="0.35">
      <c r="B67" s="26" t="s">
        <v>66</v>
      </c>
      <c r="C67" s="9">
        <v>9098</v>
      </c>
      <c r="D67" s="7">
        <v>18719</v>
      </c>
      <c r="E67" s="9">
        <v>2191865</v>
      </c>
      <c r="F67" s="27">
        <f t="shared" si="4"/>
        <v>240.9172345570455</v>
      </c>
      <c r="G67" s="17"/>
      <c r="H67" s="17"/>
      <c r="I67" s="55"/>
      <c r="J67" s="55"/>
    </row>
    <row r="68" spans="2:10" ht="19.5" thickBot="1" x14ac:dyDescent="0.35">
      <c r="B68" s="29" t="s">
        <v>49</v>
      </c>
      <c r="C68" s="40">
        <v>55807</v>
      </c>
      <c r="D68" s="40">
        <v>117545</v>
      </c>
      <c r="E68" s="40">
        <v>11679577</v>
      </c>
      <c r="F68" s="31">
        <f t="shared" si="4"/>
        <v>209.28516135968607</v>
      </c>
      <c r="G68" s="17"/>
      <c r="H68" s="17"/>
      <c r="I68" s="55"/>
      <c r="J68" s="55"/>
    </row>
    <row r="69" spans="2:10" ht="19.5" thickBot="1" x14ac:dyDescent="0.35">
      <c r="B69" s="44"/>
      <c r="C69" s="45"/>
      <c r="D69" s="45"/>
      <c r="E69" s="45"/>
      <c r="F69" s="46"/>
      <c r="G69" s="17"/>
      <c r="H69" s="17"/>
      <c r="I69" s="55"/>
      <c r="J69" s="55"/>
    </row>
    <row r="70" spans="2:10" ht="19.5" thickBot="1" x14ac:dyDescent="0.35">
      <c r="B70" s="21" t="s">
        <v>67</v>
      </c>
      <c r="C70" s="42"/>
      <c r="D70" s="42"/>
      <c r="E70" s="42"/>
      <c r="F70" s="43"/>
      <c r="G70" s="17"/>
      <c r="H70" s="17"/>
      <c r="I70" s="55"/>
      <c r="J70" s="55"/>
    </row>
    <row r="71" spans="2:10" ht="18.75" x14ac:dyDescent="0.3">
      <c r="B71" s="24" t="s">
        <v>68</v>
      </c>
      <c r="C71" s="16">
        <v>3969</v>
      </c>
      <c r="D71" s="7">
        <v>8599</v>
      </c>
      <c r="E71" s="8">
        <v>996149</v>
      </c>
      <c r="F71" s="27">
        <f t="shared" ref="F71:F77" si="5">E71/C71</f>
        <v>250.98236331569666</v>
      </c>
      <c r="G71" s="17"/>
      <c r="H71" s="17"/>
      <c r="I71" s="55"/>
      <c r="J71" s="55"/>
    </row>
    <row r="72" spans="2:10" ht="18.75" x14ac:dyDescent="0.3">
      <c r="B72" s="26" t="s">
        <v>69</v>
      </c>
      <c r="C72" s="9">
        <v>6838</v>
      </c>
      <c r="D72" s="7">
        <v>13425</v>
      </c>
      <c r="E72" s="9">
        <v>1549550</v>
      </c>
      <c r="F72" s="27">
        <f t="shared" si="5"/>
        <v>226.60865750219364</v>
      </c>
      <c r="G72" s="17"/>
      <c r="H72" s="17"/>
      <c r="I72" s="55"/>
      <c r="J72" s="55"/>
    </row>
    <row r="73" spans="2:10" ht="18.75" x14ac:dyDescent="0.3">
      <c r="B73" s="26" t="s">
        <v>67</v>
      </c>
      <c r="C73" s="9">
        <v>8025</v>
      </c>
      <c r="D73" s="7">
        <v>17000</v>
      </c>
      <c r="E73" s="9">
        <v>1966175</v>
      </c>
      <c r="F73" s="27">
        <f t="shared" si="5"/>
        <v>245.00623052959503</v>
      </c>
      <c r="G73" s="17"/>
      <c r="H73" s="17"/>
      <c r="I73" s="55"/>
      <c r="J73" s="55"/>
    </row>
    <row r="74" spans="2:10" ht="18.75" x14ac:dyDescent="0.3">
      <c r="B74" s="26" t="s">
        <v>70</v>
      </c>
      <c r="C74" s="9">
        <v>4188</v>
      </c>
      <c r="D74" s="7">
        <v>8700</v>
      </c>
      <c r="E74" s="9">
        <v>1008902</v>
      </c>
      <c r="F74" s="27">
        <f t="shared" si="5"/>
        <v>240.90305635148042</v>
      </c>
      <c r="G74" s="17"/>
      <c r="H74" s="17"/>
      <c r="I74" s="55"/>
      <c r="J74" s="55"/>
    </row>
    <row r="75" spans="2:10" ht="18.75" x14ac:dyDescent="0.3">
      <c r="B75" s="26" t="s">
        <v>71</v>
      </c>
      <c r="C75" s="9">
        <v>6105</v>
      </c>
      <c r="D75" s="7">
        <v>12866</v>
      </c>
      <c r="E75" s="9">
        <v>1487662</v>
      </c>
      <c r="F75" s="27">
        <f t="shared" si="5"/>
        <v>243.67927927927929</v>
      </c>
      <c r="G75" s="17"/>
      <c r="H75" s="17"/>
      <c r="I75" s="55"/>
      <c r="J75" s="55"/>
    </row>
    <row r="76" spans="2:10" ht="19.5" thickBot="1" x14ac:dyDescent="0.35">
      <c r="B76" s="28" t="s">
        <v>72</v>
      </c>
      <c r="C76" s="10">
        <v>3933</v>
      </c>
      <c r="D76" s="7">
        <v>8634</v>
      </c>
      <c r="E76" s="10">
        <v>982514</v>
      </c>
      <c r="F76" s="27">
        <f t="shared" si="5"/>
        <v>249.81286549707602</v>
      </c>
      <c r="G76" s="17"/>
      <c r="H76" s="17"/>
      <c r="I76" s="55"/>
      <c r="J76" s="55"/>
    </row>
    <row r="77" spans="2:10" ht="19.5" thickBot="1" x14ac:dyDescent="0.35">
      <c r="B77" s="29" t="s">
        <v>49</v>
      </c>
      <c r="C77" s="40">
        <v>32717</v>
      </c>
      <c r="D77" s="40">
        <v>68631</v>
      </c>
      <c r="E77" s="40">
        <v>6779146</v>
      </c>
      <c r="F77" s="31">
        <f t="shared" si="5"/>
        <v>207.20561176146958</v>
      </c>
      <c r="G77" s="17"/>
      <c r="H77" s="17"/>
      <c r="I77" s="55"/>
      <c r="J77" s="55"/>
    </row>
    <row r="78" spans="2:10" ht="19.5" thickBot="1" x14ac:dyDescent="0.35">
      <c r="B78" s="44"/>
      <c r="C78" s="45"/>
      <c r="D78" s="45"/>
      <c r="E78" s="45"/>
      <c r="F78" s="46"/>
      <c r="G78" s="17"/>
      <c r="H78" s="17"/>
      <c r="I78" s="55"/>
      <c r="J78" s="55"/>
    </row>
    <row r="79" spans="2:10" ht="19.5" thickBot="1" x14ac:dyDescent="0.35">
      <c r="B79" s="21" t="s">
        <v>73</v>
      </c>
      <c r="C79" s="42"/>
      <c r="D79" s="42"/>
      <c r="E79" s="42"/>
      <c r="F79" s="43"/>
      <c r="G79" s="17"/>
      <c r="H79" s="17"/>
      <c r="I79" s="55"/>
      <c r="J79" s="55"/>
    </row>
    <row r="80" spans="2:10" ht="18.75" x14ac:dyDescent="0.3">
      <c r="B80" s="24" t="s">
        <v>74</v>
      </c>
      <c r="C80" s="16">
        <v>2344</v>
      </c>
      <c r="D80" s="7">
        <v>4795</v>
      </c>
      <c r="E80" s="8">
        <v>553132</v>
      </c>
      <c r="F80" s="27">
        <f t="shared" ref="F80:F90" si="6">E80/C80</f>
        <v>235.97781569965869</v>
      </c>
      <c r="G80" s="17"/>
      <c r="H80" s="17"/>
      <c r="I80" s="55"/>
      <c r="J80" s="55"/>
    </row>
    <row r="81" spans="2:10" ht="18.75" x14ac:dyDescent="0.3">
      <c r="B81" s="26" t="s">
        <v>75</v>
      </c>
      <c r="C81" s="9">
        <v>245</v>
      </c>
      <c r="D81" s="7">
        <v>552</v>
      </c>
      <c r="E81" s="9">
        <v>60094</v>
      </c>
      <c r="F81" s="27">
        <f t="shared" si="6"/>
        <v>245.28163265306122</v>
      </c>
      <c r="G81" s="17"/>
      <c r="H81" s="17"/>
      <c r="I81" s="55"/>
      <c r="J81" s="55"/>
    </row>
    <row r="82" spans="2:10" ht="18.75" x14ac:dyDescent="0.3">
      <c r="B82" s="26" t="s">
        <v>76</v>
      </c>
      <c r="C82" s="9">
        <v>6588</v>
      </c>
      <c r="D82" s="7">
        <v>13643</v>
      </c>
      <c r="E82" s="9">
        <v>1602200</v>
      </c>
      <c r="F82" s="27">
        <f t="shared" si="6"/>
        <v>243.19975713418336</v>
      </c>
      <c r="G82" s="17"/>
      <c r="H82" s="17"/>
      <c r="I82" s="55"/>
      <c r="J82" s="55"/>
    </row>
    <row r="83" spans="2:10" ht="18.75" x14ac:dyDescent="0.3">
      <c r="B83" s="26" t="s">
        <v>73</v>
      </c>
      <c r="C83" s="9">
        <v>11093</v>
      </c>
      <c r="D83" s="7">
        <v>22006</v>
      </c>
      <c r="E83" s="9">
        <v>2583938</v>
      </c>
      <c r="F83" s="27">
        <f t="shared" si="6"/>
        <v>232.93410258721715</v>
      </c>
      <c r="G83" s="17"/>
      <c r="H83" s="17"/>
      <c r="I83" s="55"/>
      <c r="J83" s="55"/>
    </row>
    <row r="84" spans="2:10" ht="18.75" x14ac:dyDescent="0.3">
      <c r="B84" s="26" t="s">
        <v>77</v>
      </c>
      <c r="C84" s="9">
        <v>8004</v>
      </c>
      <c r="D84" s="7">
        <v>16859</v>
      </c>
      <c r="E84" s="9">
        <v>1984008</v>
      </c>
      <c r="F84" s="27">
        <f t="shared" si="6"/>
        <v>247.87706146926536</v>
      </c>
      <c r="G84" s="17"/>
      <c r="H84" s="17"/>
      <c r="I84" s="55"/>
      <c r="J84" s="55"/>
    </row>
    <row r="85" spans="2:10" ht="18.75" x14ac:dyDescent="0.3">
      <c r="B85" s="26" t="s">
        <v>78</v>
      </c>
      <c r="C85" s="9">
        <v>7052</v>
      </c>
      <c r="D85" s="7">
        <v>14453</v>
      </c>
      <c r="E85" s="9">
        <v>1705878</v>
      </c>
      <c r="F85" s="27">
        <f t="shared" si="6"/>
        <v>241.89988655700512</v>
      </c>
      <c r="G85" s="17"/>
      <c r="H85" s="17"/>
      <c r="I85" s="55"/>
      <c r="J85" s="55"/>
    </row>
    <row r="86" spans="2:10" ht="18.75" x14ac:dyDescent="0.3">
      <c r="B86" s="26" t="s">
        <v>79</v>
      </c>
      <c r="C86" s="9">
        <v>2858</v>
      </c>
      <c r="D86" s="7">
        <v>5905</v>
      </c>
      <c r="E86" s="9">
        <v>684059</v>
      </c>
      <c r="F86" s="27">
        <f t="shared" si="6"/>
        <v>239.34884534639608</v>
      </c>
      <c r="G86" s="17"/>
      <c r="H86" s="17"/>
      <c r="I86" s="55"/>
      <c r="J86" s="55"/>
    </row>
    <row r="87" spans="2:10" ht="18.75" x14ac:dyDescent="0.3">
      <c r="B87" s="26" t="s">
        <v>80</v>
      </c>
      <c r="C87" s="9">
        <v>5311</v>
      </c>
      <c r="D87" s="7">
        <v>11220</v>
      </c>
      <c r="E87" s="9">
        <v>1305557</v>
      </c>
      <c r="F87" s="27">
        <f t="shared" si="6"/>
        <v>245.82131425343627</v>
      </c>
      <c r="G87" s="17"/>
      <c r="H87" s="17"/>
      <c r="I87" s="55"/>
      <c r="J87" s="55"/>
    </row>
    <row r="88" spans="2:10" ht="18.75" x14ac:dyDescent="0.3">
      <c r="B88" s="26" t="s">
        <v>81</v>
      </c>
      <c r="C88" s="9">
        <v>2047</v>
      </c>
      <c r="D88" s="7">
        <v>4125</v>
      </c>
      <c r="E88" s="9">
        <v>487855</v>
      </c>
      <c r="F88" s="27">
        <f t="shared" si="6"/>
        <v>238.32681973619933</v>
      </c>
      <c r="G88" s="17"/>
      <c r="H88" s="17"/>
      <c r="I88" s="55"/>
      <c r="J88" s="55"/>
    </row>
    <row r="89" spans="2:10" ht="19.5" thickBot="1" x14ac:dyDescent="0.35">
      <c r="B89" s="28" t="s">
        <v>82</v>
      </c>
      <c r="C89" s="10">
        <v>9110</v>
      </c>
      <c r="D89" s="7">
        <v>18449</v>
      </c>
      <c r="E89" s="10">
        <v>2153213</v>
      </c>
      <c r="F89" s="27">
        <f t="shared" si="6"/>
        <v>236.35708013172339</v>
      </c>
      <c r="G89" s="17"/>
      <c r="H89" s="17"/>
      <c r="I89" s="55"/>
      <c r="J89" s="55"/>
    </row>
    <row r="90" spans="2:10" ht="19.5" thickBot="1" x14ac:dyDescent="0.35">
      <c r="B90" s="29" t="s">
        <v>49</v>
      </c>
      <c r="C90" s="40">
        <v>54054</v>
      </c>
      <c r="D90" s="40">
        <v>110779</v>
      </c>
      <c r="E90" s="40">
        <v>11094805</v>
      </c>
      <c r="F90" s="31">
        <f t="shared" si="6"/>
        <v>205.25409775409776</v>
      </c>
      <c r="G90" s="17"/>
      <c r="H90" s="17"/>
      <c r="I90" s="55"/>
      <c r="J90" s="55"/>
    </row>
    <row r="91" spans="2:10" ht="19.5" thickBot="1" x14ac:dyDescent="0.35">
      <c r="B91" s="44"/>
      <c r="C91" s="45"/>
      <c r="D91" s="45"/>
      <c r="E91" s="45"/>
      <c r="F91" s="46"/>
      <c r="G91" s="17"/>
      <c r="H91" s="17"/>
      <c r="I91" s="55"/>
      <c r="J91" s="55"/>
    </row>
    <row r="92" spans="2:10" ht="19.5" thickBot="1" x14ac:dyDescent="0.35">
      <c r="B92" s="21" t="s">
        <v>83</v>
      </c>
      <c r="C92" s="42"/>
      <c r="D92" s="42"/>
      <c r="E92" s="42"/>
      <c r="F92" s="43"/>
      <c r="G92" s="17"/>
      <c r="H92" s="17"/>
      <c r="I92" s="55"/>
      <c r="J92" s="55"/>
    </row>
    <row r="93" spans="2:10" ht="18.75" x14ac:dyDescent="0.3">
      <c r="B93" s="24" t="s">
        <v>84</v>
      </c>
      <c r="C93" s="16">
        <v>5535</v>
      </c>
      <c r="D93" s="7">
        <v>11414</v>
      </c>
      <c r="E93" s="8">
        <v>1321608</v>
      </c>
      <c r="F93" s="27">
        <f t="shared" ref="F93:F101" si="7">E93/C93</f>
        <v>238.77289972899729</v>
      </c>
      <c r="G93" s="17"/>
      <c r="H93" s="17"/>
      <c r="I93" s="55"/>
      <c r="J93" s="55"/>
    </row>
    <row r="94" spans="2:10" ht="18.75" x14ac:dyDescent="0.3">
      <c r="B94" s="26" t="s">
        <v>85</v>
      </c>
      <c r="C94" s="9">
        <v>7536</v>
      </c>
      <c r="D94" s="7">
        <v>15913</v>
      </c>
      <c r="E94" s="9">
        <v>1861593</v>
      </c>
      <c r="F94" s="27">
        <f t="shared" si="7"/>
        <v>247.02667197452229</v>
      </c>
      <c r="G94" s="17"/>
      <c r="H94" s="17"/>
      <c r="I94" s="55"/>
      <c r="J94" s="55"/>
    </row>
    <row r="95" spans="2:10" ht="18.75" x14ac:dyDescent="0.3">
      <c r="B95" s="26" t="s">
        <v>86</v>
      </c>
      <c r="C95" s="9">
        <v>4081</v>
      </c>
      <c r="D95" s="7">
        <v>8758</v>
      </c>
      <c r="E95" s="9">
        <v>1023382</v>
      </c>
      <c r="F95" s="27">
        <f t="shared" si="7"/>
        <v>250.7674589561382</v>
      </c>
      <c r="G95" s="17"/>
      <c r="H95" s="17"/>
      <c r="I95" s="55"/>
      <c r="J95" s="55"/>
    </row>
    <row r="96" spans="2:10" ht="18.75" x14ac:dyDescent="0.3">
      <c r="B96" s="26" t="s">
        <v>87</v>
      </c>
      <c r="C96" s="9">
        <v>2586</v>
      </c>
      <c r="D96" s="7">
        <v>578808</v>
      </c>
      <c r="E96" s="9">
        <v>4955</v>
      </c>
      <c r="F96" s="27">
        <f t="shared" si="7"/>
        <v>1.9160866202629543</v>
      </c>
      <c r="G96" s="17"/>
      <c r="H96" s="17"/>
      <c r="I96" s="55"/>
      <c r="J96" s="55"/>
    </row>
    <row r="97" spans="2:13" ht="18.75" x14ac:dyDescent="0.3">
      <c r="B97" s="26" t="s">
        <v>88</v>
      </c>
      <c r="C97" s="9">
        <v>5060</v>
      </c>
      <c r="D97" s="7">
        <v>10874</v>
      </c>
      <c r="E97" s="9">
        <v>1273893</v>
      </c>
      <c r="F97" s="27">
        <f t="shared" si="7"/>
        <v>251.75750988142292</v>
      </c>
      <c r="G97" s="17"/>
      <c r="H97" s="17"/>
      <c r="I97" s="55"/>
      <c r="J97" s="55"/>
    </row>
    <row r="98" spans="2:13" ht="18.75" x14ac:dyDescent="0.3">
      <c r="B98" s="26" t="s">
        <v>89</v>
      </c>
      <c r="C98" s="9">
        <v>1148</v>
      </c>
      <c r="D98" s="7">
        <v>318223</v>
      </c>
      <c r="E98" s="9">
        <v>2731</v>
      </c>
      <c r="F98" s="27">
        <f t="shared" si="7"/>
        <v>2.3789198606271778</v>
      </c>
      <c r="G98" s="17"/>
      <c r="H98" s="17"/>
      <c r="I98" s="55"/>
      <c r="J98" s="55"/>
    </row>
    <row r="99" spans="2:13" ht="18.75" x14ac:dyDescent="0.3">
      <c r="B99" s="26" t="s">
        <v>90</v>
      </c>
      <c r="C99" s="9">
        <v>15270</v>
      </c>
      <c r="D99" s="7">
        <v>30382</v>
      </c>
      <c r="E99" s="9">
        <v>3613916</v>
      </c>
      <c r="F99" s="27">
        <f t="shared" si="7"/>
        <v>236.66771447282252</v>
      </c>
      <c r="G99" s="17"/>
      <c r="H99" s="17"/>
      <c r="I99" s="55"/>
      <c r="J99" s="55"/>
    </row>
    <row r="100" spans="2:13" ht="18.75" x14ac:dyDescent="0.3">
      <c r="B100" s="47" t="s">
        <v>92</v>
      </c>
      <c r="C100" s="9">
        <v>4259</v>
      </c>
      <c r="D100" s="7">
        <v>9176</v>
      </c>
      <c r="E100" s="9">
        <v>1056235</v>
      </c>
      <c r="F100" s="27">
        <f t="shared" si="7"/>
        <v>248.00070439070205</v>
      </c>
      <c r="G100" s="17"/>
      <c r="H100" s="17"/>
      <c r="I100" s="55"/>
      <c r="J100" s="55"/>
    </row>
    <row r="101" spans="2:13" ht="19.5" thickBot="1" x14ac:dyDescent="0.35">
      <c r="B101" s="26" t="s">
        <v>93</v>
      </c>
      <c r="C101" s="10">
        <v>6394</v>
      </c>
      <c r="D101" s="7">
        <v>13361</v>
      </c>
      <c r="E101" s="9">
        <v>1554261</v>
      </c>
      <c r="F101" s="27">
        <f t="shared" si="7"/>
        <v>243.08116984673131</v>
      </c>
      <c r="G101" s="17"/>
      <c r="H101" s="17"/>
      <c r="I101" s="55"/>
      <c r="J101" s="55"/>
      <c r="M101" s="1">
        <v>13361</v>
      </c>
    </row>
    <row r="102" spans="2:13" ht="19.5" thickBot="1" x14ac:dyDescent="0.35">
      <c r="B102" s="29" t="s">
        <v>49</v>
      </c>
      <c r="C102" s="40">
        <v>51361</v>
      </c>
      <c r="D102" s="40">
        <v>106512</v>
      </c>
      <c r="E102" s="40">
        <v>10672485</v>
      </c>
      <c r="F102" s="31">
        <f t="shared" ref="F102" si="8">E102/C102</f>
        <v>207.7935593154339</v>
      </c>
      <c r="G102" s="17"/>
      <c r="H102" s="17"/>
      <c r="I102" s="55"/>
      <c r="J102" s="55"/>
    </row>
    <row r="103" spans="2:13" ht="19.5" thickBot="1" x14ac:dyDescent="0.35">
      <c r="B103" s="44"/>
      <c r="C103" s="45"/>
      <c r="D103" s="45"/>
      <c r="E103" s="45"/>
      <c r="F103" s="46"/>
      <c r="G103" s="17"/>
      <c r="H103" s="17"/>
      <c r="I103" s="55"/>
      <c r="J103" s="55"/>
    </row>
    <row r="104" spans="2:13" ht="19.5" thickBot="1" x14ac:dyDescent="0.35">
      <c r="B104" s="34" t="s">
        <v>94</v>
      </c>
      <c r="C104" s="42"/>
      <c r="D104" s="42"/>
      <c r="E104" s="42"/>
      <c r="F104" s="43"/>
      <c r="G104" s="17"/>
      <c r="H104" s="17"/>
      <c r="I104" s="55"/>
      <c r="J104" s="55"/>
    </row>
    <row r="105" spans="2:13" ht="18.75" x14ac:dyDescent="0.3">
      <c r="B105" s="48" t="s">
        <v>95</v>
      </c>
      <c r="C105" s="60">
        <v>3871</v>
      </c>
      <c r="D105" s="7">
        <v>9222</v>
      </c>
      <c r="E105" s="8">
        <v>1079931</v>
      </c>
      <c r="F105" s="27">
        <f t="shared" ref="F105:F118" si="9">E105/C105</f>
        <v>278.97985016791529</v>
      </c>
      <c r="G105" s="17"/>
      <c r="H105" s="17"/>
      <c r="I105" s="55"/>
      <c r="J105" s="55"/>
    </row>
    <row r="106" spans="2:13" ht="18.75" x14ac:dyDescent="0.3">
      <c r="B106" s="49" t="s">
        <v>96</v>
      </c>
      <c r="C106" s="9">
        <v>5570</v>
      </c>
      <c r="D106" s="7">
        <v>11361</v>
      </c>
      <c r="E106" s="8">
        <v>1326138</v>
      </c>
      <c r="F106" s="27">
        <f t="shared" si="9"/>
        <v>238.0858168761221</v>
      </c>
      <c r="G106" s="17"/>
      <c r="H106" s="17"/>
      <c r="I106" s="55"/>
      <c r="J106" s="55"/>
    </row>
    <row r="107" spans="2:13" ht="18.75" x14ac:dyDescent="0.3">
      <c r="B107" s="49" t="s">
        <v>97</v>
      </c>
      <c r="C107" s="9">
        <v>862</v>
      </c>
      <c r="D107" s="7">
        <v>1966</v>
      </c>
      <c r="E107" s="9">
        <v>237893</v>
      </c>
      <c r="F107" s="27">
        <f t="shared" si="9"/>
        <v>275.97795823665894</v>
      </c>
      <c r="G107" s="17"/>
      <c r="H107" s="17"/>
      <c r="I107" s="55"/>
      <c r="J107" s="55"/>
    </row>
    <row r="108" spans="2:13" ht="18.75" x14ac:dyDescent="0.3">
      <c r="B108" s="49" t="s">
        <v>98</v>
      </c>
      <c r="C108" s="9">
        <v>7500</v>
      </c>
      <c r="D108" s="7">
        <v>16170</v>
      </c>
      <c r="E108" s="9">
        <v>1880254</v>
      </c>
      <c r="F108" s="27">
        <f t="shared" si="9"/>
        <v>250.70053333333334</v>
      </c>
      <c r="G108" s="17"/>
      <c r="H108" s="17"/>
      <c r="I108" s="55"/>
      <c r="J108" s="55"/>
    </row>
    <row r="109" spans="2:13" ht="18.75" x14ac:dyDescent="0.3">
      <c r="B109" s="26" t="s">
        <v>99</v>
      </c>
      <c r="C109" s="9">
        <v>4610</v>
      </c>
      <c r="D109" s="7">
        <v>10180</v>
      </c>
      <c r="E109" s="9">
        <v>1190093</v>
      </c>
      <c r="F109" s="27">
        <f t="shared" si="9"/>
        <v>258.15466377440345</v>
      </c>
      <c r="G109" s="17"/>
      <c r="H109" s="17"/>
      <c r="I109" s="55"/>
      <c r="J109" s="55"/>
    </row>
    <row r="110" spans="2:13" ht="18.75" x14ac:dyDescent="0.3">
      <c r="B110" s="26" t="s">
        <v>100</v>
      </c>
      <c r="C110" s="9">
        <v>3725</v>
      </c>
      <c r="D110" s="7">
        <v>8865</v>
      </c>
      <c r="E110" s="9">
        <v>1036653</v>
      </c>
      <c r="F110" s="27">
        <f t="shared" si="9"/>
        <v>278.29610738255036</v>
      </c>
      <c r="G110" s="17"/>
      <c r="H110" s="17"/>
      <c r="I110" s="55"/>
      <c r="J110" s="55"/>
    </row>
    <row r="111" spans="2:13" ht="18.75" x14ac:dyDescent="0.3">
      <c r="B111" s="26" t="s">
        <v>101</v>
      </c>
      <c r="C111" s="9">
        <v>8663</v>
      </c>
      <c r="D111" s="7">
        <v>19667</v>
      </c>
      <c r="E111" s="9">
        <v>2265710</v>
      </c>
      <c r="F111" s="27">
        <f t="shared" si="9"/>
        <v>261.53872792335221</v>
      </c>
      <c r="G111" s="17"/>
      <c r="H111" s="17"/>
      <c r="I111" s="55"/>
      <c r="J111" s="55"/>
    </row>
    <row r="112" spans="2:13" ht="18.75" x14ac:dyDescent="0.3">
      <c r="B112" s="26" t="s">
        <v>102</v>
      </c>
      <c r="C112" s="9">
        <v>5750</v>
      </c>
      <c r="D112" s="7">
        <v>13208</v>
      </c>
      <c r="E112" s="9">
        <v>1533602</v>
      </c>
      <c r="F112" s="27">
        <f t="shared" si="9"/>
        <v>266.71339130434785</v>
      </c>
      <c r="G112" s="17"/>
      <c r="H112" s="17"/>
      <c r="I112" s="55"/>
      <c r="J112" s="55"/>
    </row>
    <row r="113" spans="2:10" ht="18.75" x14ac:dyDescent="0.3">
      <c r="B113" s="26" t="s">
        <v>103</v>
      </c>
      <c r="C113" s="9">
        <v>4967</v>
      </c>
      <c r="D113" s="7">
        <v>11790</v>
      </c>
      <c r="E113" s="9">
        <v>1352753</v>
      </c>
      <c r="F113" s="27">
        <f t="shared" si="9"/>
        <v>272.34809744312463</v>
      </c>
      <c r="G113" s="17"/>
      <c r="H113" s="17"/>
      <c r="I113" s="55"/>
      <c r="J113" s="55"/>
    </row>
    <row r="114" spans="2:10" ht="18.75" x14ac:dyDescent="0.3">
      <c r="B114" s="26" t="s">
        <v>104</v>
      </c>
      <c r="C114" s="9">
        <v>7180</v>
      </c>
      <c r="D114" s="7">
        <v>14559</v>
      </c>
      <c r="E114" s="9">
        <v>1711108</v>
      </c>
      <c r="F114" s="27">
        <f t="shared" si="9"/>
        <v>238.3158774373259</v>
      </c>
      <c r="G114" s="17"/>
      <c r="H114" s="17"/>
      <c r="I114" s="55"/>
      <c r="J114" s="55"/>
    </row>
    <row r="115" spans="2:10" ht="18.75" x14ac:dyDescent="0.3">
      <c r="B115" s="26" t="s">
        <v>105</v>
      </c>
      <c r="C115" s="9">
        <v>8359</v>
      </c>
      <c r="D115" s="7">
        <v>19423</v>
      </c>
      <c r="E115" s="9">
        <v>2261295</v>
      </c>
      <c r="F115" s="27">
        <f t="shared" si="9"/>
        <v>270.52219164971888</v>
      </c>
      <c r="G115" s="17"/>
      <c r="H115" s="17"/>
      <c r="I115" s="55"/>
      <c r="J115" s="55"/>
    </row>
    <row r="116" spans="2:10" ht="18.75" x14ac:dyDescent="0.3">
      <c r="B116" s="26" t="s">
        <v>106</v>
      </c>
      <c r="C116" s="9">
        <v>15937</v>
      </c>
      <c r="D116" s="7">
        <v>35022</v>
      </c>
      <c r="E116" s="9">
        <v>4140378</v>
      </c>
      <c r="F116" s="27">
        <f t="shared" si="9"/>
        <v>259.79657401016505</v>
      </c>
      <c r="G116" s="17"/>
      <c r="H116" s="17"/>
      <c r="I116" s="55"/>
      <c r="J116" s="55"/>
    </row>
    <row r="117" spans="2:10" ht="18.75" x14ac:dyDescent="0.3">
      <c r="B117" s="26" t="s">
        <v>107</v>
      </c>
      <c r="C117" s="9">
        <v>5327</v>
      </c>
      <c r="D117" s="7">
        <v>12308</v>
      </c>
      <c r="E117" s="9">
        <v>1430429</v>
      </c>
      <c r="F117" s="27">
        <f t="shared" si="9"/>
        <v>268.52431011826542</v>
      </c>
      <c r="G117" s="17"/>
      <c r="H117" s="17"/>
      <c r="I117" s="55"/>
      <c r="J117" s="55"/>
    </row>
    <row r="118" spans="2:10" ht="19.5" thickBot="1" x14ac:dyDescent="0.35">
      <c r="B118" s="26" t="s">
        <v>108</v>
      </c>
      <c r="C118" s="10">
        <v>8204</v>
      </c>
      <c r="D118" s="7">
        <v>17611</v>
      </c>
      <c r="E118" s="9">
        <v>2049748</v>
      </c>
      <c r="F118" s="27">
        <f t="shared" si="9"/>
        <v>249.84739151633349</v>
      </c>
      <c r="G118" s="17"/>
      <c r="H118" s="17"/>
      <c r="I118" s="55"/>
      <c r="J118" s="55"/>
    </row>
    <row r="119" spans="2:10" ht="19.5" thickBot="1" x14ac:dyDescent="0.35">
      <c r="B119" s="29" t="s">
        <v>49</v>
      </c>
      <c r="C119" s="40">
        <v>89758</v>
      </c>
      <c r="D119" s="40">
        <v>199860</v>
      </c>
      <c r="E119" s="40">
        <v>19920460</v>
      </c>
      <c r="F119" s="31">
        <f t="shared" ref="F119" si="10">E119/C119</f>
        <v>221.93520354731612</v>
      </c>
      <c r="G119" s="17"/>
      <c r="H119" s="17"/>
      <c r="I119" s="55"/>
      <c r="J119" s="55"/>
    </row>
    <row r="120" spans="2:10" ht="19.5" thickBot="1" x14ac:dyDescent="0.35">
      <c r="B120" s="44"/>
      <c r="C120" s="45"/>
      <c r="D120" s="45"/>
      <c r="E120" s="45"/>
      <c r="F120" s="46"/>
      <c r="G120" s="17"/>
      <c r="H120" s="17"/>
      <c r="I120" s="55"/>
      <c r="J120" s="55"/>
    </row>
    <row r="121" spans="2:10" ht="19.5" thickBot="1" x14ac:dyDescent="0.35">
      <c r="B121" s="21" t="s">
        <v>109</v>
      </c>
      <c r="C121" s="42"/>
      <c r="D121" s="42"/>
      <c r="E121" s="42"/>
      <c r="F121" s="43"/>
      <c r="G121" s="17"/>
      <c r="H121" s="17"/>
      <c r="I121" s="55"/>
      <c r="J121" s="55"/>
    </row>
    <row r="122" spans="2:10" ht="18.75" x14ac:dyDescent="0.3">
      <c r="B122" s="24" t="s">
        <v>110</v>
      </c>
      <c r="C122" s="16">
        <v>1477</v>
      </c>
      <c r="D122" s="7">
        <v>3298</v>
      </c>
      <c r="E122" s="8">
        <v>388995</v>
      </c>
      <c r="F122" s="27">
        <f t="shared" ref="F122:F131" si="11">E122/C122</f>
        <v>263.36831415030468</v>
      </c>
      <c r="G122" s="17"/>
      <c r="H122" s="17"/>
      <c r="I122" s="55"/>
      <c r="J122" s="55"/>
    </row>
    <row r="123" spans="2:10" ht="18.75" x14ac:dyDescent="0.3">
      <c r="B123" s="26" t="s">
        <v>111</v>
      </c>
      <c r="C123" s="9">
        <v>4801</v>
      </c>
      <c r="D123" s="7">
        <v>9884</v>
      </c>
      <c r="E123" s="9">
        <v>1162077</v>
      </c>
      <c r="F123" s="27">
        <f t="shared" si="11"/>
        <v>242.04894813580503</v>
      </c>
      <c r="G123" s="17"/>
      <c r="H123" s="17"/>
      <c r="I123" s="55"/>
      <c r="J123" s="55"/>
    </row>
    <row r="124" spans="2:10" ht="18.75" x14ac:dyDescent="0.3">
      <c r="B124" s="26" t="s">
        <v>112</v>
      </c>
      <c r="C124" s="9">
        <v>1644</v>
      </c>
      <c r="D124" s="7">
        <v>3447</v>
      </c>
      <c r="E124" s="9">
        <v>404114</v>
      </c>
      <c r="F124" s="27">
        <f t="shared" si="11"/>
        <v>245.81143552311437</v>
      </c>
      <c r="G124" s="17"/>
      <c r="H124" s="17"/>
      <c r="I124" s="55"/>
      <c r="J124" s="55"/>
    </row>
    <row r="125" spans="2:10" ht="18.75" x14ac:dyDescent="0.3">
      <c r="B125" s="26" t="s">
        <v>113</v>
      </c>
      <c r="C125" s="9">
        <v>4757</v>
      </c>
      <c r="D125" s="7">
        <v>9489</v>
      </c>
      <c r="E125" s="9">
        <v>1124143</v>
      </c>
      <c r="F125" s="27">
        <f t="shared" si="11"/>
        <v>236.31343283582089</v>
      </c>
      <c r="G125" s="17"/>
      <c r="H125" s="17"/>
      <c r="I125" s="55"/>
      <c r="J125" s="55"/>
    </row>
    <row r="126" spans="2:10" ht="18.75" x14ac:dyDescent="0.3">
      <c r="B126" s="26" t="s">
        <v>114</v>
      </c>
      <c r="C126" s="9">
        <v>7598</v>
      </c>
      <c r="D126" s="7">
        <v>13196</v>
      </c>
      <c r="E126" s="9">
        <v>1639169</v>
      </c>
      <c r="F126" s="27">
        <f t="shared" si="11"/>
        <v>215.73690444853909</v>
      </c>
      <c r="G126" s="17"/>
      <c r="H126" s="17"/>
      <c r="I126" s="55"/>
      <c r="J126" s="55"/>
    </row>
    <row r="127" spans="2:10" ht="18.75" x14ac:dyDescent="0.3">
      <c r="B127" s="26" t="s">
        <v>115</v>
      </c>
      <c r="C127" s="9">
        <v>10539</v>
      </c>
      <c r="D127" s="7">
        <v>23069</v>
      </c>
      <c r="E127" s="9">
        <v>2742623</v>
      </c>
      <c r="F127" s="27">
        <f t="shared" si="11"/>
        <v>260.2356011006737</v>
      </c>
      <c r="G127" s="17"/>
      <c r="H127" s="17"/>
      <c r="I127" s="55"/>
      <c r="J127" s="55"/>
    </row>
    <row r="128" spans="2:10" ht="18.75" x14ac:dyDescent="0.3">
      <c r="B128" s="26" t="s">
        <v>116</v>
      </c>
      <c r="C128" s="9">
        <v>9362</v>
      </c>
      <c r="D128" s="7">
        <v>19498</v>
      </c>
      <c r="E128" s="9">
        <v>2303599</v>
      </c>
      <c r="F128" s="27">
        <f t="shared" si="11"/>
        <v>246.05842768639181</v>
      </c>
      <c r="G128" s="17"/>
      <c r="H128" s="17"/>
      <c r="I128" s="55"/>
      <c r="J128" s="55"/>
    </row>
    <row r="129" spans="2:10" ht="18.75" x14ac:dyDescent="0.3">
      <c r="B129" s="26" t="s">
        <v>117</v>
      </c>
      <c r="C129" s="9">
        <v>7144</v>
      </c>
      <c r="D129" s="7">
        <v>15810</v>
      </c>
      <c r="E129" s="9">
        <v>1876605</v>
      </c>
      <c r="F129" s="27">
        <f t="shared" si="11"/>
        <v>262.68267077267637</v>
      </c>
      <c r="G129" s="17"/>
      <c r="H129" s="17"/>
      <c r="I129" s="55"/>
      <c r="J129" s="55"/>
    </row>
    <row r="130" spans="2:10" ht="18.75" x14ac:dyDescent="0.3">
      <c r="B130" s="47" t="s">
        <v>118</v>
      </c>
      <c r="C130" s="9">
        <v>8193</v>
      </c>
      <c r="D130" s="7">
        <v>17203</v>
      </c>
      <c r="E130" s="9">
        <v>2078626</v>
      </c>
      <c r="F130" s="27">
        <f t="shared" si="11"/>
        <v>253.70755523007446</v>
      </c>
      <c r="G130" s="17"/>
      <c r="H130" s="17"/>
      <c r="I130" s="55"/>
      <c r="J130" s="55"/>
    </row>
    <row r="131" spans="2:10" ht="19.5" thickBot="1" x14ac:dyDescent="0.35">
      <c r="B131" s="47" t="s">
        <v>119</v>
      </c>
      <c r="C131" s="56">
        <v>5696</v>
      </c>
      <c r="D131" s="7">
        <v>9853</v>
      </c>
      <c r="E131" s="9">
        <v>1178765</v>
      </c>
      <c r="F131" s="27">
        <f t="shared" si="11"/>
        <v>206.94610252808988</v>
      </c>
      <c r="G131" s="17"/>
      <c r="H131" s="17"/>
      <c r="I131" s="55"/>
      <c r="J131" s="55"/>
    </row>
    <row r="132" spans="2:10" ht="19.5" thickBot="1" x14ac:dyDescent="0.35">
      <c r="B132" s="29" t="s">
        <v>49</v>
      </c>
      <c r="C132" s="40">
        <v>59624</v>
      </c>
      <c r="D132" s="40">
        <v>123176</v>
      </c>
      <c r="E132" s="40">
        <v>12391697</v>
      </c>
      <c r="F132" s="31">
        <f t="shared" ref="F132" si="12">E132/C132</f>
        <v>207.83068898430162</v>
      </c>
      <c r="G132" s="17"/>
      <c r="H132" s="17"/>
      <c r="I132" s="55"/>
      <c r="J132" s="55"/>
    </row>
    <row r="133" spans="2:10" ht="19.5" thickBot="1" x14ac:dyDescent="0.35">
      <c r="B133" s="44"/>
      <c r="C133" s="45"/>
      <c r="D133" s="45"/>
      <c r="E133" s="45"/>
      <c r="F133" s="46"/>
      <c r="G133" s="17"/>
      <c r="H133" s="17"/>
      <c r="I133" s="55"/>
      <c r="J133" s="55"/>
    </row>
    <row r="134" spans="2:10" ht="19.5" thickBot="1" x14ac:dyDescent="0.35">
      <c r="B134" s="52" t="s">
        <v>120</v>
      </c>
      <c r="C134" s="50">
        <f>SUM(C132+C119+C102+C90+C77+C68+C58+C48+C32+C16)</f>
        <v>630265</v>
      </c>
      <c r="D134" s="50">
        <f>SUM(D132+D119+D102+D90+D77+D68+D58+D48+D32+D16)</f>
        <v>1331007</v>
      </c>
      <c r="E134" s="50">
        <f>SUM(E132+E119+E102+E90+E77+E68+E58+E48+E32+E16)</f>
        <v>132978475</v>
      </c>
      <c r="F134" s="43">
        <f t="shared" ref="F134" si="13">E134/C134</f>
        <v>210.98819544159997</v>
      </c>
      <c r="G134" s="17"/>
      <c r="H134" s="17"/>
      <c r="I134" s="55"/>
      <c r="J134" s="55"/>
    </row>
    <row r="135" spans="2:10" ht="18.75" x14ac:dyDescent="0.3">
      <c r="B135" s="51"/>
      <c r="C135" s="17"/>
      <c r="D135" s="17"/>
      <c r="E135" s="17"/>
      <c r="F135" s="17"/>
      <c r="G135" s="17"/>
      <c r="H135" s="17"/>
      <c r="I135" s="53"/>
      <c r="J135" s="53"/>
    </row>
    <row r="136" spans="2:10" ht="18.75" x14ac:dyDescent="0.3">
      <c r="B136" s="51"/>
      <c r="C136" s="17"/>
      <c r="D136" s="17"/>
      <c r="E136" s="17"/>
      <c r="F136" s="17"/>
      <c r="G136" s="17"/>
      <c r="H136" s="17"/>
      <c r="I136" s="53"/>
      <c r="J136" s="53"/>
    </row>
    <row r="137" spans="2:10" ht="18.75" x14ac:dyDescent="0.3">
      <c r="B137" s="51"/>
      <c r="C137" s="17"/>
      <c r="D137" s="17"/>
      <c r="E137" s="17"/>
      <c r="F137" s="17"/>
      <c r="G137" s="17"/>
      <c r="H137" s="17"/>
      <c r="I137" s="53"/>
      <c r="J137" s="53"/>
    </row>
    <row r="138" spans="2:10" ht="18.75" x14ac:dyDescent="0.3">
      <c r="B138" s="51"/>
      <c r="C138" s="17"/>
      <c r="D138" s="17"/>
      <c r="E138" s="17"/>
      <c r="F138" s="17"/>
      <c r="G138" s="17"/>
      <c r="H138" s="17"/>
      <c r="I138" s="53"/>
      <c r="J138" s="53"/>
    </row>
    <row r="139" spans="2:10" ht="18.75" x14ac:dyDescent="0.3">
      <c r="B139" s="51"/>
      <c r="C139" s="17"/>
      <c r="D139" s="17"/>
      <c r="E139" s="17"/>
      <c r="F139" s="17"/>
      <c r="G139" s="17"/>
      <c r="H139" s="17"/>
      <c r="I139" s="53"/>
      <c r="J139" s="53"/>
    </row>
    <row r="140" spans="2:10" ht="18.75" x14ac:dyDescent="0.3">
      <c r="B140" s="51"/>
      <c r="C140" s="17"/>
      <c r="D140" s="17"/>
      <c r="E140" s="17"/>
      <c r="F140" s="17"/>
      <c r="G140" s="17"/>
      <c r="H140" s="17"/>
      <c r="I140" s="53"/>
      <c r="J140" s="53"/>
    </row>
  </sheetData>
  <mergeCells count="6">
    <mergeCell ref="I6:J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40"/>
  <sheetViews>
    <sheetView topLeftCell="A116" workbookViewId="0">
      <selection activeCell="E137" sqref="E137"/>
    </sheetView>
  </sheetViews>
  <sheetFormatPr defaultRowHeight="15" x14ac:dyDescent="0.25"/>
  <cols>
    <col min="1" max="1" width="9.140625" style="1"/>
    <col min="2" max="2" width="18.7109375" style="1" bestFit="1" customWidth="1"/>
    <col min="3" max="3" width="10.5703125" style="1" bestFit="1" customWidth="1"/>
    <col min="4" max="4" width="12.7109375" style="1" bestFit="1" customWidth="1"/>
    <col min="5" max="5" width="15.7109375" style="1" bestFit="1" customWidth="1"/>
    <col min="6" max="6" width="15.85546875" style="1" customWidth="1"/>
    <col min="7" max="16384" width="9.140625" style="1"/>
  </cols>
  <sheetData>
    <row r="1" spans="2:10" ht="18.75" x14ac:dyDescent="0.3">
      <c r="B1" s="162" t="s">
        <v>0</v>
      </c>
      <c r="C1" s="162"/>
      <c r="D1" s="162"/>
      <c r="E1" s="162"/>
      <c r="F1" s="162"/>
      <c r="G1" s="17"/>
      <c r="H1" s="17"/>
      <c r="I1" s="17"/>
      <c r="J1" s="17"/>
    </row>
    <row r="2" spans="2:10" ht="18.75" x14ac:dyDescent="0.3">
      <c r="B2" s="162" t="s">
        <v>1</v>
      </c>
      <c r="C2" s="162"/>
      <c r="D2" s="162"/>
      <c r="E2" s="162"/>
      <c r="F2" s="162"/>
      <c r="G2" s="17"/>
      <c r="H2" s="17"/>
      <c r="I2" s="17"/>
      <c r="J2" s="17"/>
    </row>
    <row r="3" spans="2:10" ht="18.75" x14ac:dyDescent="0.3">
      <c r="B3" s="163" t="s">
        <v>2</v>
      </c>
      <c r="C3" s="163"/>
      <c r="D3" s="163"/>
      <c r="E3" s="163"/>
      <c r="F3" s="163"/>
      <c r="G3" s="17"/>
      <c r="H3" s="17"/>
      <c r="I3" s="17"/>
      <c r="J3" s="17"/>
    </row>
    <row r="4" spans="2:10" ht="18.75" x14ac:dyDescent="0.3">
      <c r="B4" s="162" t="s">
        <v>125</v>
      </c>
      <c r="C4" s="162"/>
      <c r="D4" s="162"/>
      <c r="E4" s="162"/>
      <c r="F4" s="162"/>
      <c r="G4" s="17"/>
      <c r="H4" s="17"/>
      <c r="I4" s="17"/>
      <c r="J4" s="17"/>
    </row>
    <row r="5" spans="2:10" ht="19.5" thickBot="1" x14ac:dyDescent="0.35">
      <c r="B5" s="164"/>
      <c r="C5" s="164"/>
      <c r="D5" s="164"/>
      <c r="E5" s="164"/>
      <c r="F5" s="164"/>
      <c r="G5" s="17"/>
      <c r="H5" s="17"/>
      <c r="I5" s="17"/>
      <c r="J5" s="17"/>
    </row>
    <row r="6" spans="2:10" ht="57" thickBot="1" x14ac:dyDescent="0.35">
      <c r="B6" s="18"/>
      <c r="C6" s="19" t="s">
        <v>3</v>
      </c>
      <c r="D6" s="20" t="s">
        <v>4</v>
      </c>
      <c r="E6" s="20" t="s">
        <v>5</v>
      </c>
      <c r="F6" s="20" t="s">
        <v>6</v>
      </c>
      <c r="G6" s="17"/>
      <c r="H6" s="17"/>
      <c r="I6" s="160" t="s">
        <v>7</v>
      </c>
      <c r="J6" s="161"/>
    </row>
    <row r="7" spans="2:10" ht="19.5" thickBot="1" x14ac:dyDescent="0.35">
      <c r="B7" s="21" t="s">
        <v>8</v>
      </c>
      <c r="C7" s="22"/>
      <c r="D7" s="22"/>
      <c r="E7" s="22"/>
      <c r="F7" s="23"/>
      <c r="G7" s="17"/>
      <c r="H7" s="17"/>
      <c r="I7" s="54" t="s">
        <v>9</v>
      </c>
      <c r="J7" s="54" t="s">
        <v>10</v>
      </c>
    </row>
    <row r="8" spans="2:10" ht="18.75" x14ac:dyDescent="0.3">
      <c r="B8" s="24" t="s">
        <v>11</v>
      </c>
      <c r="C8" s="15">
        <v>7425</v>
      </c>
      <c r="D8" s="13">
        <v>16565</v>
      </c>
      <c r="E8" s="14">
        <v>1918461</v>
      </c>
      <c r="F8" s="25">
        <f>E8/C8</f>
        <v>258.37858585858584</v>
      </c>
      <c r="G8" s="17"/>
      <c r="H8" s="17"/>
      <c r="I8" s="55"/>
      <c r="J8" s="55"/>
    </row>
    <row r="9" spans="2:10" ht="18.75" x14ac:dyDescent="0.3">
      <c r="B9" s="26" t="s">
        <v>12</v>
      </c>
      <c r="C9" s="3">
        <v>5779</v>
      </c>
      <c r="D9" s="13">
        <v>11929</v>
      </c>
      <c r="E9" s="3">
        <v>1422701</v>
      </c>
      <c r="F9" s="25">
        <f t="shared" ref="F9:F16" si="0">E9/C9</f>
        <v>246.18463401972659</v>
      </c>
      <c r="G9" s="17"/>
      <c r="H9" s="17"/>
      <c r="I9" s="55"/>
      <c r="J9" s="55"/>
    </row>
    <row r="10" spans="2:10" ht="18.75" x14ac:dyDescent="0.3">
      <c r="B10" s="26" t="s">
        <v>13</v>
      </c>
      <c r="C10" s="3">
        <v>6304</v>
      </c>
      <c r="D10" s="13">
        <v>12555</v>
      </c>
      <c r="E10" s="3">
        <v>1506819</v>
      </c>
      <c r="F10" s="25">
        <f t="shared" si="0"/>
        <v>239.02585659898477</v>
      </c>
      <c r="G10" s="17"/>
      <c r="H10" s="17"/>
      <c r="I10" s="55"/>
      <c r="J10" s="55"/>
    </row>
    <row r="11" spans="2:10" ht="18.75" x14ac:dyDescent="0.3">
      <c r="B11" s="26" t="s">
        <v>14</v>
      </c>
      <c r="C11" s="3">
        <v>8062</v>
      </c>
      <c r="D11" s="13">
        <v>16999</v>
      </c>
      <c r="E11" s="3">
        <v>1986689</v>
      </c>
      <c r="F11" s="25">
        <f t="shared" si="0"/>
        <v>246.4263210121558</v>
      </c>
      <c r="G11" s="17"/>
      <c r="H11" s="17"/>
      <c r="I11" s="55"/>
      <c r="J11" s="55"/>
    </row>
    <row r="12" spans="2:10" ht="18.75" x14ac:dyDescent="0.3">
      <c r="B12" s="26" t="s">
        <v>15</v>
      </c>
      <c r="C12" s="3">
        <v>2002</v>
      </c>
      <c r="D12" s="13">
        <v>4489</v>
      </c>
      <c r="E12" s="3">
        <v>523990</v>
      </c>
      <c r="F12" s="25">
        <f t="shared" si="0"/>
        <v>261.73326673326676</v>
      </c>
      <c r="G12" s="17"/>
      <c r="H12" s="17"/>
      <c r="I12" s="55"/>
      <c r="J12" s="55"/>
    </row>
    <row r="13" spans="2:10" ht="18.75" x14ac:dyDescent="0.3">
      <c r="B13" s="26" t="s">
        <v>16</v>
      </c>
      <c r="C13" s="3">
        <v>8518</v>
      </c>
      <c r="D13" s="13">
        <v>18751</v>
      </c>
      <c r="E13" s="3">
        <v>2200990</v>
      </c>
      <c r="F13" s="25">
        <f t="shared" si="0"/>
        <v>258.39281521483917</v>
      </c>
      <c r="G13" s="17"/>
      <c r="H13" s="17"/>
      <c r="I13" s="55"/>
      <c r="J13" s="55"/>
    </row>
    <row r="14" spans="2:10" ht="18.75" x14ac:dyDescent="0.3">
      <c r="B14" s="26" t="s">
        <v>17</v>
      </c>
      <c r="C14" s="3">
        <v>3098</v>
      </c>
      <c r="D14" s="13">
        <v>6202</v>
      </c>
      <c r="E14" s="3">
        <v>731771</v>
      </c>
      <c r="F14" s="25">
        <f t="shared" si="0"/>
        <v>236.20755326016786</v>
      </c>
      <c r="G14" s="17"/>
      <c r="H14" s="17"/>
      <c r="I14" s="55"/>
      <c r="J14" s="55"/>
    </row>
    <row r="15" spans="2:10" ht="19.5" thickBot="1" x14ac:dyDescent="0.35">
      <c r="B15" s="28" t="s">
        <v>18</v>
      </c>
      <c r="C15" s="4">
        <v>9914</v>
      </c>
      <c r="D15" s="13">
        <v>20151</v>
      </c>
      <c r="E15" s="11">
        <v>2406812</v>
      </c>
      <c r="F15" s="25">
        <f t="shared" si="0"/>
        <v>242.76901351623965</v>
      </c>
      <c r="G15" s="17"/>
      <c r="H15" s="17"/>
      <c r="I15" s="55"/>
      <c r="J15" s="55"/>
    </row>
    <row r="16" spans="2:10" ht="19.5" thickBot="1" x14ac:dyDescent="0.35">
      <c r="B16" s="29" t="s">
        <v>19</v>
      </c>
      <c r="C16" s="30">
        <f>SUM(C8:C15)</f>
        <v>51102</v>
      </c>
      <c r="D16" s="30">
        <f t="shared" ref="D16:E16" si="1">SUM(D8:D15)</f>
        <v>107641</v>
      </c>
      <c r="E16" s="30">
        <f t="shared" si="1"/>
        <v>12698233</v>
      </c>
      <c r="F16" s="31">
        <f t="shared" si="0"/>
        <v>248.48798481468435</v>
      </c>
      <c r="G16" s="17"/>
      <c r="H16" s="17"/>
      <c r="I16" s="55"/>
      <c r="J16" s="55"/>
    </row>
    <row r="17" spans="2:17" ht="19.5" thickBot="1" x14ac:dyDescent="0.35">
      <c r="B17" s="32"/>
      <c r="C17" s="33"/>
      <c r="D17" s="33"/>
      <c r="E17" s="33"/>
      <c r="F17" s="33"/>
      <c r="G17" s="2"/>
      <c r="H17" s="2"/>
      <c r="I17" s="55"/>
      <c r="J17" s="55"/>
      <c r="K17" s="2"/>
      <c r="L17" s="2"/>
      <c r="M17" s="2"/>
      <c r="N17" s="2"/>
      <c r="O17" s="2"/>
      <c r="P17" s="2"/>
      <c r="Q17" s="2"/>
    </row>
    <row r="18" spans="2:17" ht="19.5" thickBot="1" x14ac:dyDescent="0.35">
      <c r="B18" s="34" t="s">
        <v>20</v>
      </c>
      <c r="C18" s="35"/>
      <c r="D18" s="35"/>
      <c r="E18" s="35"/>
      <c r="F18" s="36"/>
      <c r="G18" s="2"/>
      <c r="H18" s="2"/>
      <c r="I18" s="55"/>
      <c r="J18" s="55"/>
      <c r="K18" s="2"/>
      <c r="L18" s="2"/>
      <c r="M18" s="2"/>
      <c r="N18" s="2"/>
      <c r="O18" s="2"/>
      <c r="P18" s="2"/>
      <c r="Q18" s="2"/>
    </row>
    <row r="19" spans="2:17" ht="18.75" x14ac:dyDescent="0.3">
      <c r="B19" s="37" t="s">
        <v>21</v>
      </c>
      <c r="C19" s="3">
        <v>14447</v>
      </c>
      <c r="D19" s="3">
        <v>28571</v>
      </c>
      <c r="E19" s="6">
        <v>3425306</v>
      </c>
      <c r="F19" s="27">
        <f t="shared" ref="F19:F32" si="2">E19/C19</f>
        <v>237.09462172077247</v>
      </c>
      <c r="G19" s="38"/>
      <c r="H19" s="38"/>
      <c r="I19" s="55"/>
      <c r="J19" s="55"/>
      <c r="K19" s="38"/>
      <c r="L19" s="38"/>
      <c r="M19" s="38"/>
      <c r="N19" s="38"/>
      <c r="O19" s="38"/>
      <c r="P19" s="38"/>
      <c r="Q19" s="38"/>
    </row>
    <row r="20" spans="2:17" ht="18.75" x14ac:dyDescent="0.3">
      <c r="B20" s="59" t="s">
        <v>22</v>
      </c>
      <c r="C20" s="3">
        <v>6858</v>
      </c>
      <c r="D20" s="3">
        <v>12924</v>
      </c>
      <c r="E20" s="3">
        <v>1558756</v>
      </c>
      <c r="F20" s="27">
        <f t="shared" si="2"/>
        <v>227.29017206182561</v>
      </c>
      <c r="G20" s="38"/>
      <c r="H20" s="38"/>
      <c r="I20" s="55"/>
      <c r="J20" s="55"/>
      <c r="K20" s="38"/>
      <c r="L20" s="38"/>
      <c r="M20" s="38"/>
      <c r="N20" s="38"/>
      <c r="O20" s="38"/>
      <c r="P20" s="38"/>
      <c r="Q20" s="38"/>
    </row>
    <row r="21" spans="2:17" ht="18.75" x14ac:dyDescent="0.3">
      <c r="B21" s="58" t="s">
        <v>23</v>
      </c>
      <c r="C21" s="9">
        <v>5893</v>
      </c>
      <c r="D21" s="3">
        <v>11950</v>
      </c>
      <c r="E21" s="3">
        <v>1409961</v>
      </c>
      <c r="F21" s="27">
        <f t="shared" si="2"/>
        <v>239.26030884099779</v>
      </c>
      <c r="G21" s="2"/>
      <c r="H21" s="2"/>
      <c r="I21" s="55"/>
      <c r="J21" s="55"/>
      <c r="K21" s="2"/>
      <c r="L21" s="2"/>
      <c r="M21" s="2"/>
      <c r="N21" s="2"/>
      <c r="O21" s="2"/>
      <c r="P21" s="2"/>
      <c r="Q21" s="2"/>
    </row>
    <row r="22" spans="2:17" ht="18.75" x14ac:dyDescent="0.3">
      <c r="B22" s="26" t="s">
        <v>24</v>
      </c>
      <c r="C22" s="9">
        <v>7580</v>
      </c>
      <c r="D22" s="3">
        <v>15761</v>
      </c>
      <c r="E22" s="9">
        <v>1845043</v>
      </c>
      <c r="F22" s="27">
        <f t="shared" si="2"/>
        <v>243.40936675461742</v>
      </c>
      <c r="G22" s="2"/>
      <c r="H22" s="2"/>
      <c r="I22" s="55"/>
      <c r="J22" s="55"/>
      <c r="K22" s="2"/>
      <c r="L22" s="2"/>
      <c r="M22" s="2"/>
      <c r="N22" s="2"/>
      <c r="O22" s="2"/>
      <c r="P22" s="2"/>
      <c r="Q22" s="2"/>
    </row>
    <row r="23" spans="2:17" ht="18.75" x14ac:dyDescent="0.3">
      <c r="B23" s="26" t="s">
        <v>25</v>
      </c>
      <c r="C23" s="9">
        <v>4750</v>
      </c>
      <c r="D23" s="3">
        <v>10407</v>
      </c>
      <c r="E23" s="9">
        <v>1845043</v>
      </c>
      <c r="F23" s="27">
        <f t="shared" si="2"/>
        <v>388.43010526315788</v>
      </c>
      <c r="G23" s="2"/>
      <c r="H23" s="2"/>
      <c r="I23" s="55"/>
      <c r="J23" s="55"/>
      <c r="K23" s="2"/>
      <c r="L23" s="2"/>
      <c r="M23" s="2"/>
      <c r="N23" s="2"/>
      <c r="O23" s="2"/>
      <c r="P23" s="2"/>
      <c r="Q23" s="2"/>
    </row>
    <row r="24" spans="2:17" ht="18.75" x14ac:dyDescent="0.3">
      <c r="B24" s="26" t="s">
        <v>26</v>
      </c>
      <c r="C24" s="9">
        <v>3171</v>
      </c>
      <c r="D24" s="3">
        <v>6810</v>
      </c>
      <c r="E24" s="9">
        <v>804841</v>
      </c>
      <c r="F24" s="27">
        <f t="shared" si="2"/>
        <v>253.81299274676758</v>
      </c>
      <c r="G24" s="2"/>
      <c r="H24" s="2"/>
      <c r="I24" s="55"/>
      <c r="J24" s="55"/>
      <c r="K24" s="2"/>
      <c r="L24" s="2"/>
      <c r="M24" s="2"/>
      <c r="N24" s="2"/>
      <c r="O24" s="2"/>
      <c r="P24" s="2"/>
      <c r="Q24" s="2"/>
    </row>
    <row r="25" spans="2:17" ht="18.75" x14ac:dyDescent="0.3">
      <c r="B25" s="26" t="s">
        <v>27</v>
      </c>
      <c r="C25" s="9">
        <v>8317</v>
      </c>
      <c r="D25" s="3">
        <v>17285</v>
      </c>
      <c r="E25" s="9">
        <v>2043604</v>
      </c>
      <c r="F25" s="27">
        <f t="shared" si="2"/>
        <v>245.71407959600816</v>
      </c>
      <c r="G25" s="2"/>
      <c r="H25" s="2"/>
      <c r="I25" s="55"/>
      <c r="J25" s="55"/>
      <c r="K25" s="2"/>
      <c r="L25" s="2"/>
      <c r="M25" s="2"/>
      <c r="N25" s="2"/>
      <c r="O25" s="2"/>
      <c r="P25" s="2"/>
      <c r="Q25" s="2"/>
    </row>
    <row r="26" spans="2:17" ht="18.75" x14ac:dyDescent="0.3">
      <c r="B26" s="26" t="s">
        <v>28</v>
      </c>
      <c r="C26" s="9">
        <v>7352</v>
      </c>
      <c r="D26" s="3">
        <v>16014</v>
      </c>
      <c r="E26" s="9">
        <v>1889588</v>
      </c>
      <c r="F26" s="27">
        <f t="shared" si="2"/>
        <v>257.01686615886831</v>
      </c>
      <c r="G26" s="2"/>
      <c r="H26" s="2"/>
      <c r="I26" s="55"/>
      <c r="J26" s="55"/>
      <c r="K26" s="2"/>
      <c r="L26" s="2"/>
      <c r="M26" s="2"/>
      <c r="N26" s="2"/>
      <c r="O26" s="2"/>
      <c r="P26" s="2"/>
      <c r="Q26" s="2"/>
    </row>
    <row r="27" spans="2:17" ht="18.75" x14ac:dyDescent="0.3">
      <c r="B27" s="26" t="s">
        <v>29</v>
      </c>
      <c r="C27" s="9">
        <v>9598</v>
      </c>
      <c r="D27" s="3">
        <v>19417</v>
      </c>
      <c r="E27" s="9">
        <v>2292385</v>
      </c>
      <c r="F27" s="27">
        <f t="shared" si="2"/>
        <v>238.8398624713482</v>
      </c>
      <c r="G27" s="2"/>
      <c r="H27" s="2"/>
      <c r="I27" s="55"/>
      <c r="J27" s="55"/>
      <c r="K27" s="2"/>
      <c r="L27" s="2"/>
      <c r="M27" s="2"/>
      <c r="N27" s="2"/>
      <c r="O27" s="2"/>
      <c r="P27" s="2"/>
      <c r="Q27" s="2"/>
    </row>
    <row r="28" spans="2:17" ht="18.75" x14ac:dyDescent="0.3">
      <c r="B28" s="26" t="s">
        <v>30</v>
      </c>
      <c r="C28" s="9">
        <v>6541</v>
      </c>
      <c r="D28" s="3">
        <v>15112</v>
      </c>
      <c r="E28" s="9">
        <v>1745944</v>
      </c>
      <c r="F28" s="27">
        <f t="shared" si="2"/>
        <v>266.92310044335727</v>
      </c>
      <c r="G28" s="2"/>
      <c r="H28" s="2"/>
      <c r="I28" s="55"/>
      <c r="J28" s="55"/>
      <c r="K28" s="2"/>
      <c r="L28" s="2"/>
      <c r="M28" s="2"/>
      <c r="N28" s="2"/>
      <c r="O28" s="2"/>
      <c r="P28" s="2"/>
      <c r="Q28" s="2"/>
    </row>
    <row r="29" spans="2:17" ht="18.75" x14ac:dyDescent="0.3">
      <c r="B29" s="26" t="s">
        <v>31</v>
      </c>
      <c r="C29" s="9">
        <v>5570</v>
      </c>
      <c r="D29" s="3">
        <v>12083</v>
      </c>
      <c r="E29" s="9">
        <v>1410552</v>
      </c>
      <c r="F29" s="27">
        <f t="shared" si="2"/>
        <v>253.24093357271096</v>
      </c>
      <c r="G29" s="2"/>
      <c r="H29" s="2"/>
      <c r="I29" s="55"/>
      <c r="J29" s="55"/>
      <c r="K29" s="2"/>
      <c r="L29" s="2"/>
      <c r="M29" s="2"/>
      <c r="N29" s="2"/>
      <c r="O29" s="2"/>
      <c r="P29" s="2"/>
      <c r="Q29" s="2"/>
    </row>
    <row r="30" spans="2:17" ht="18.75" x14ac:dyDescent="0.3">
      <c r="B30" s="39" t="s">
        <v>32</v>
      </c>
      <c r="C30" s="8">
        <v>5452</v>
      </c>
      <c r="D30" s="13">
        <v>12155</v>
      </c>
      <c r="E30" s="8">
        <v>1435556</v>
      </c>
      <c r="F30" s="27">
        <f t="shared" si="2"/>
        <v>263.30814380044018</v>
      </c>
      <c r="G30" s="2"/>
      <c r="H30" s="2"/>
      <c r="I30" s="55"/>
      <c r="J30" s="55"/>
      <c r="K30" s="2"/>
      <c r="L30" s="2"/>
      <c r="M30" s="2"/>
      <c r="N30" s="2"/>
      <c r="O30" s="2"/>
      <c r="P30" s="2"/>
      <c r="Q30" s="2"/>
    </row>
    <row r="31" spans="2:17" ht="19.5" thickBot="1" x14ac:dyDescent="0.35">
      <c r="B31" s="39" t="s">
        <v>33</v>
      </c>
      <c r="C31" s="56">
        <v>1919</v>
      </c>
      <c r="D31" s="5">
        <v>4140</v>
      </c>
      <c r="E31" s="57">
        <v>491531</v>
      </c>
      <c r="F31" s="27">
        <f t="shared" si="2"/>
        <v>256.13913496612821</v>
      </c>
      <c r="G31" s="2"/>
      <c r="H31" s="2"/>
      <c r="I31" s="55"/>
      <c r="J31" s="55"/>
      <c r="K31" s="2"/>
      <c r="L31" s="2"/>
      <c r="M31" s="2"/>
      <c r="N31" s="2"/>
      <c r="O31" s="2"/>
      <c r="P31" s="2"/>
      <c r="Q31" s="2"/>
    </row>
    <row r="32" spans="2:17" ht="19.5" thickBot="1" x14ac:dyDescent="0.35">
      <c r="B32" s="29" t="s">
        <v>34</v>
      </c>
      <c r="C32" s="40">
        <f>SUM(C19:C31)</f>
        <v>87448</v>
      </c>
      <c r="D32" s="40">
        <f t="shared" ref="D32:E32" si="3">SUM(D19:D31)</f>
        <v>182629</v>
      </c>
      <c r="E32" s="40">
        <f t="shared" si="3"/>
        <v>22198110</v>
      </c>
      <c r="F32" s="31">
        <f t="shared" si="2"/>
        <v>253.8435413045467</v>
      </c>
      <c r="G32" s="2"/>
      <c r="H32" s="2"/>
      <c r="I32" s="55"/>
      <c r="J32" s="55"/>
      <c r="K32" s="2"/>
      <c r="L32" s="2"/>
      <c r="M32" s="2"/>
      <c r="N32" s="2"/>
      <c r="O32" s="2"/>
      <c r="P32" s="2"/>
      <c r="Q32" s="2"/>
    </row>
    <row r="33" spans="2:10" ht="19.5" thickBot="1" x14ac:dyDescent="0.35">
      <c r="B33" s="32"/>
      <c r="C33" s="41"/>
      <c r="D33" s="41"/>
      <c r="E33" s="41"/>
      <c r="F33" s="33"/>
      <c r="G33" s="17"/>
      <c r="H33" s="17"/>
      <c r="I33" s="55"/>
      <c r="J33" s="55"/>
    </row>
    <row r="34" spans="2:10" ht="19.5" thickBot="1" x14ac:dyDescent="0.35">
      <c r="B34" s="21" t="s">
        <v>35</v>
      </c>
      <c r="C34" s="42"/>
      <c r="D34" s="42"/>
      <c r="E34" s="42"/>
      <c r="F34" s="43"/>
      <c r="G34" s="17"/>
      <c r="H34" s="17"/>
      <c r="I34" s="55"/>
      <c r="J34" s="55"/>
    </row>
    <row r="35" spans="2:10" ht="18.75" x14ac:dyDescent="0.3">
      <c r="B35" s="24" t="s">
        <v>36</v>
      </c>
      <c r="C35" s="16">
        <v>8598</v>
      </c>
      <c r="D35" s="7">
        <v>18273</v>
      </c>
      <c r="E35" s="8">
        <v>2148628</v>
      </c>
      <c r="F35" s="27">
        <f t="shared" ref="F35:F48" si="4">E35/C35</f>
        <v>249.89858106536403</v>
      </c>
      <c r="G35" s="17"/>
      <c r="H35" s="17"/>
      <c r="I35" s="55"/>
      <c r="J35" s="55"/>
    </row>
    <row r="36" spans="2:10" ht="18.75" x14ac:dyDescent="0.3">
      <c r="B36" s="26" t="s">
        <v>37</v>
      </c>
      <c r="C36" s="9">
        <v>8708</v>
      </c>
      <c r="D36" s="7">
        <v>17666</v>
      </c>
      <c r="E36" s="9">
        <v>2075356</v>
      </c>
      <c r="F36" s="27">
        <f t="shared" si="4"/>
        <v>238.32751492880109</v>
      </c>
      <c r="G36" s="17"/>
      <c r="H36" s="17"/>
      <c r="I36" s="55"/>
      <c r="J36" s="55"/>
    </row>
    <row r="37" spans="2:10" ht="18.75" x14ac:dyDescent="0.3">
      <c r="B37" s="26" t="s">
        <v>38</v>
      </c>
      <c r="C37" s="9">
        <v>9999</v>
      </c>
      <c r="D37" s="7">
        <v>20871</v>
      </c>
      <c r="E37" s="9">
        <v>2436578</v>
      </c>
      <c r="F37" s="27">
        <f t="shared" si="4"/>
        <v>243.68216821682168</v>
      </c>
      <c r="G37" s="17"/>
      <c r="H37" s="17"/>
      <c r="I37" s="55"/>
      <c r="J37" s="55"/>
    </row>
    <row r="38" spans="2:10" ht="18.75" x14ac:dyDescent="0.3">
      <c r="B38" s="26" t="s">
        <v>39</v>
      </c>
      <c r="C38" s="9">
        <v>4994</v>
      </c>
      <c r="D38" s="7">
        <v>10635</v>
      </c>
      <c r="E38" s="9">
        <v>1265375</v>
      </c>
      <c r="F38" s="27">
        <f t="shared" si="4"/>
        <v>253.37905486583901</v>
      </c>
      <c r="G38" s="17"/>
      <c r="H38" s="17"/>
      <c r="I38" s="55"/>
      <c r="J38" s="55"/>
    </row>
    <row r="39" spans="2:10" ht="18.75" x14ac:dyDescent="0.3">
      <c r="B39" s="26" t="s">
        <v>40</v>
      </c>
      <c r="C39" s="9">
        <v>7817</v>
      </c>
      <c r="D39" s="7">
        <v>17064</v>
      </c>
      <c r="E39" s="9">
        <v>1999693</v>
      </c>
      <c r="F39" s="27">
        <f t="shared" si="4"/>
        <v>255.81335550722784</v>
      </c>
      <c r="G39" s="17"/>
      <c r="H39" s="17"/>
      <c r="I39" s="55"/>
      <c r="J39" s="55"/>
    </row>
    <row r="40" spans="2:10" ht="18.75" x14ac:dyDescent="0.3">
      <c r="B40" s="26" t="s">
        <v>41</v>
      </c>
      <c r="C40" s="9">
        <v>5678</v>
      </c>
      <c r="D40" s="7">
        <v>11766</v>
      </c>
      <c r="E40" s="9">
        <v>1367449</v>
      </c>
      <c r="F40" s="27">
        <f t="shared" si="4"/>
        <v>240.8328636843959</v>
      </c>
      <c r="G40" s="17"/>
      <c r="H40" s="17"/>
      <c r="I40" s="55"/>
      <c r="J40" s="55"/>
    </row>
    <row r="41" spans="2:10" ht="18.75" x14ac:dyDescent="0.3">
      <c r="B41" s="26" t="s">
        <v>42</v>
      </c>
      <c r="C41" s="9">
        <v>6854</v>
      </c>
      <c r="D41" s="7">
        <v>15076</v>
      </c>
      <c r="E41" s="9">
        <v>1743156</v>
      </c>
      <c r="F41" s="27">
        <f t="shared" si="4"/>
        <v>254.32681645754303</v>
      </c>
      <c r="G41" s="17"/>
      <c r="H41" s="17"/>
      <c r="I41" s="55"/>
      <c r="J41" s="55"/>
    </row>
    <row r="42" spans="2:10" ht="18.75" x14ac:dyDescent="0.3">
      <c r="B42" s="26" t="s">
        <v>43</v>
      </c>
      <c r="C42" s="9">
        <v>9867</v>
      </c>
      <c r="D42" s="7">
        <v>21993</v>
      </c>
      <c r="E42" s="9">
        <v>2561456</v>
      </c>
      <c r="F42" s="27">
        <f t="shared" si="4"/>
        <v>259.59825681564814</v>
      </c>
      <c r="G42" s="17"/>
      <c r="H42" s="17"/>
      <c r="I42" s="55"/>
      <c r="J42" s="55"/>
    </row>
    <row r="43" spans="2:10" ht="18.75" x14ac:dyDescent="0.3">
      <c r="B43" s="26" t="s">
        <v>44</v>
      </c>
      <c r="C43" s="9">
        <v>6648</v>
      </c>
      <c r="D43" s="7">
        <v>14232</v>
      </c>
      <c r="E43" s="9">
        <v>1662950</v>
      </c>
      <c r="F43" s="27">
        <f t="shared" si="4"/>
        <v>250.14290012033695</v>
      </c>
      <c r="G43" s="17"/>
      <c r="H43" s="17"/>
      <c r="I43" s="55"/>
      <c r="J43" s="55"/>
    </row>
    <row r="44" spans="2:10" ht="18.75" x14ac:dyDescent="0.3">
      <c r="B44" s="26" t="s">
        <v>45</v>
      </c>
      <c r="C44" s="9">
        <v>5399</v>
      </c>
      <c r="D44" s="7">
        <v>11129</v>
      </c>
      <c r="E44" s="9">
        <v>1287365</v>
      </c>
      <c r="F44" s="27">
        <f t="shared" si="4"/>
        <v>238.44508242267088</v>
      </c>
      <c r="G44" s="17"/>
      <c r="H44" s="17"/>
      <c r="I44" s="55"/>
      <c r="J44" s="55"/>
    </row>
    <row r="45" spans="2:10" ht="18.75" x14ac:dyDescent="0.3">
      <c r="B45" s="26" t="s">
        <v>46</v>
      </c>
      <c r="C45" s="9">
        <v>7159</v>
      </c>
      <c r="D45" s="7">
        <v>15564</v>
      </c>
      <c r="E45" s="9">
        <v>1826540</v>
      </c>
      <c r="F45" s="27">
        <f t="shared" si="4"/>
        <v>255.13898589188435</v>
      </c>
      <c r="G45" s="17"/>
      <c r="H45" s="17"/>
      <c r="I45" s="55"/>
      <c r="J45" s="55"/>
    </row>
    <row r="46" spans="2:10" ht="18.75" x14ac:dyDescent="0.3">
      <c r="B46" s="39" t="s">
        <v>47</v>
      </c>
      <c r="C46" s="9">
        <v>6478</v>
      </c>
      <c r="D46" s="7">
        <v>13558</v>
      </c>
      <c r="E46" s="12">
        <v>1597442</v>
      </c>
      <c r="F46" s="27">
        <f t="shared" si="4"/>
        <v>246.59493670886076</v>
      </c>
      <c r="G46" s="17"/>
      <c r="H46" s="17"/>
      <c r="I46" s="55"/>
      <c r="J46" s="55"/>
    </row>
    <row r="47" spans="2:10" ht="19.5" thickBot="1" x14ac:dyDescent="0.35">
      <c r="B47" s="39" t="s">
        <v>48</v>
      </c>
      <c r="C47" s="56">
        <v>4939</v>
      </c>
      <c r="D47" s="7">
        <v>10233</v>
      </c>
      <c r="E47" s="12">
        <v>1197130</v>
      </c>
      <c r="F47" s="27">
        <f t="shared" si="4"/>
        <v>242.38307349665925</v>
      </c>
      <c r="G47" s="17"/>
      <c r="H47" s="17"/>
      <c r="I47" s="55"/>
      <c r="J47" s="55"/>
    </row>
    <row r="48" spans="2:10" ht="19.5" thickBot="1" x14ac:dyDescent="0.35">
      <c r="B48" s="29" t="s">
        <v>49</v>
      </c>
      <c r="C48" s="40">
        <f>SUM(C35:C47)</f>
        <v>93138</v>
      </c>
      <c r="D48" s="40">
        <f t="shared" ref="D48:E48" si="5">SUM(D35:D47)</f>
        <v>198060</v>
      </c>
      <c r="E48" s="40">
        <f t="shared" si="5"/>
        <v>23169118</v>
      </c>
      <c r="F48" s="31">
        <f t="shared" si="4"/>
        <v>248.76117159483778</v>
      </c>
      <c r="G48" s="17"/>
      <c r="H48" s="17"/>
      <c r="I48" s="55"/>
      <c r="J48" s="55"/>
    </row>
    <row r="49" spans="2:10" ht="19.5" thickBot="1" x14ac:dyDescent="0.35">
      <c r="B49" s="44"/>
      <c r="C49" s="45"/>
      <c r="D49" s="45"/>
      <c r="E49" s="45"/>
      <c r="F49" s="46"/>
      <c r="G49" s="17"/>
      <c r="H49" s="17"/>
      <c r="I49" s="55"/>
      <c r="J49" s="55"/>
    </row>
    <row r="50" spans="2:10" ht="19.5" thickBot="1" x14ac:dyDescent="0.35">
      <c r="B50" s="21" t="s">
        <v>50</v>
      </c>
      <c r="C50" s="42"/>
      <c r="D50" s="42"/>
      <c r="E50" s="42"/>
      <c r="F50" s="43"/>
      <c r="G50" s="17"/>
      <c r="H50" s="17"/>
      <c r="I50" s="55"/>
      <c r="J50" s="55"/>
    </row>
    <row r="51" spans="2:10" ht="18.75" x14ac:dyDescent="0.3">
      <c r="B51" s="24" t="s">
        <v>51</v>
      </c>
      <c r="C51" s="16">
        <v>5221</v>
      </c>
      <c r="D51" s="7">
        <v>10994</v>
      </c>
      <c r="E51" s="8">
        <v>1292569</v>
      </c>
      <c r="F51" s="27">
        <f t="shared" ref="F51:F58" si="6">E51/C51</f>
        <v>247.57115495115877</v>
      </c>
      <c r="G51" s="17"/>
      <c r="H51" s="17"/>
      <c r="I51" s="55"/>
      <c r="J51" s="55"/>
    </row>
    <row r="52" spans="2:10" ht="18.75" x14ac:dyDescent="0.3">
      <c r="B52" s="26" t="s">
        <v>52</v>
      </c>
      <c r="C52" s="9">
        <v>7828</v>
      </c>
      <c r="D52" s="7">
        <v>17466</v>
      </c>
      <c r="E52" s="9">
        <v>2059439</v>
      </c>
      <c r="F52" s="27">
        <f t="shared" si="6"/>
        <v>263.0862289218191</v>
      </c>
      <c r="G52" s="17"/>
      <c r="H52" s="17"/>
      <c r="I52" s="55"/>
      <c r="J52" s="55"/>
    </row>
    <row r="53" spans="2:10" ht="18.75" x14ac:dyDescent="0.3">
      <c r="B53" s="26" t="s">
        <v>53</v>
      </c>
      <c r="C53" s="9">
        <v>21166</v>
      </c>
      <c r="D53" s="7">
        <v>43127</v>
      </c>
      <c r="E53" s="9">
        <v>5045681</v>
      </c>
      <c r="F53" s="27">
        <f t="shared" si="6"/>
        <v>238.38613814608334</v>
      </c>
      <c r="G53" s="17"/>
      <c r="H53" s="17"/>
      <c r="I53" s="55"/>
      <c r="J53" s="55"/>
    </row>
    <row r="54" spans="2:10" ht="18.75" x14ac:dyDescent="0.3">
      <c r="B54" s="26" t="s">
        <v>54</v>
      </c>
      <c r="C54" s="9">
        <v>6922</v>
      </c>
      <c r="D54" s="7">
        <v>14922</v>
      </c>
      <c r="E54" s="9">
        <v>1720955</v>
      </c>
      <c r="F54" s="27">
        <f t="shared" si="6"/>
        <v>248.62106327650969</v>
      </c>
      <c r="G54" s="17"/>
      <c r="H54" s="17"/>
      <c r="I54" s="55"/>
      <c r="J54" s="55"/>
    </row>
    <row r="55" spans="2:10" ht="18.75" x14ac:dyDescent="0.3">
      <c r="B55" s="26" t="s">
        <v>55</v>
      </c>
      <c r="C55" s="9">
        <v>5354</v>
      </c>
      <c r="D55" s="7">
        <v>11000</v>
      </c>
      <c r="E55" s="9">
        <v>1315583</v>
      </c>
      <c r="F55" s="27">
        <f t="shared" si="6"/>
        <v>245.71964886066493</v>
      </c>
      <c r="G55" s="17"/>
      <c r="H55" s="17"/>
      <c r="I55" s="55"/>
      <c r="J55" s="55"/>
    </row>
    <row r="56" spans="2:10" ht="18.75" x14ac:dyDescent="0.3">
      <c r="B56" s="26" t="s">
        <v>56</v>
      </c>
      <c r="C56" s="9">
        <v>5418</v>
      </c>
      <c r="D56" s="7">
        <v>11210</v>
      </c>
      <c r="E56" s="9">
        <v>1312961</v>
      </c>
      <c r="F56" s="27">
        <f t="shared" si="6"/>
        <v>242.33314876338133</v>
      </c>
      <c r="G56" s="17"/>
      <c r="H56" s="17"/>
      <c r="I56" s="55"/>
      <c r="J56" s="55"/>
    </row>
    <row r="57" spans="2:10" ht="19.5" thickBot="1" x14ac:dyDescent="0.35">
      <c r="B57" s="26" t="s">
        <v>57</v>
      </c>
      <c r="C57" s="10">
        <v>7565</v>
      </c>
      <c r="D57" s="7">
        <v>15503</v>
      </c>
      <c r="E57" s="9">
        <v>1807959</v>
      </c>
      <c r="F57" s="27">
        <f t="shared" si="6"/>
        <v>238.9899537343027</v>
      </c>
      <c r="G57" s="17"/>
      <c r="H57" s="17"/>
      <c r="I57" s="55"/>
      <c r="J57" s="55"/>
    </row>
    <row r="58" spans="2:10" ht="19.5" thickBot="1" x14ac:dyDescent="0.35">
      <c r="B58" s="29" t="s">
        <v>49</v>
      </c>
      <c r="C58" s="40">
        <f>SUM(C51:C57)</f>
        <v>59474</v>
      </c>
      <c r="D58" s="40">
        <f t="shared" ref="D58:E58" si="7">SUM(D51:D57)</f>
        <v>124222</v>
      </c>
      <c r="E58" s="40">
        <f t="shared" si="7"/>
        <v>14555147</v>
      </c>
      <c r="F58" s="31">
        <f t="shared" si="6"/>
        <v>244.73126071896962</v>
      </c>
      <c r="G58" s="17"/>
      <c r="H58" s="17"/>
      <c r="I58" s="55"/>
      <c r="J58" s="55"/>
    </row>
    <row r="59" spans="2:10" ht="19.5" thickBot="1" x14ac:dyDescent="0.35">
      <c r="B59" s="44"/>
      <c r="C59" s="45"/>
      <c r="D59" s="45"/>
      <c r="E59" s="45"/>
      <c r="F59" s="46"/>
      <c r="G59" s="17"/>
      <c r="H59" s="17"/>
      <c r="I59" s="55"/>
      <c r="J59" s="55"/>
    </row>
    <row r="60" spans="2:10" ht="19.5" thickBot="1" x14ac:dyDescent="0.35">
      <c r="B60" s="21" t="s">
        <v>58</v>
      </c>
      <c r="C60" s="42"/>
      <c r="D60" s="42"/>
      <c r="E60" s="42"/>
      <c r="F60" s="43"/>
      <c r="G60" s="17"/>
      <c r="H60" s="17"/>
      <c r="I60" s="55"/>
      <c r="J60" s="55"/>
    </row>
    <row r="61" spans="2:10" ht="18.75" x14ac:dyDescent="0.3">
      <c r="B61" s="24" t="s">
        <v>59</v>
      </c>
      <c r="C61" s="16">
        <v>8619</v>
      </c>
      <c r="D61" s="7">
        <v>18460</v>
      </c>
      <c r="E61" s="8">
        <v>2151089</v>
      </c>
      <c r="F61" s="27">
        <f t="shared" ref="F61:F68" si="8">E61/C61</f>
        <v>249.57524074718646</v>
      </c>
      <c r="G61" s="17"/>
      <c r="H61" s="17"/>
      <c r="I61" s="55"/>
      <c r="J61" s="55"/>
    </row>
    <row r="62" spans="2:10" ht="18.75" x14ac:dyDescent="0.3">
      <c r="B62" s="26" t="s">
        <v>60</v>
      </c>
      <c r="C62" s="9">
        <v>9376</v>
      </c>
      <c r="D62" s="7">
        <v>19656</v>
      </c>
      <c r="E62" s="9">
        <v>2302017</v>
      </c>
      <c r="F62" s="27">
        <f t="shared" si="8"/>
        <v>245.52229095563141</v>
      </c>
      <c r="G62" s="17"/>
      <c r="H62" s="17"/>
      <c r="I62" s="55"/>
      <c r="J62" s="55"/>
    </row>
    <row r="63" spans="2:10" ht="18.75" x14ac:dyDescent="0.3">
      <c r="B63" s="26" t="s">
        <v>61</v>
      </c>
      <c r="C63" s="9">
        <v>11165</v>
      </c>
      <c r="D63" s="7">
        <v>22778</v>
      </c>
      <c r="E63" s="9">
        <v>2661335</v>
      </c>
      <c r="F63" s="27">
        <f t="shared" si="8"/>
        <v>238.3640841916704</v>
      </c>
      <c r="G63" s="17"/>
      <c r="H63" s="17"/>
      <c r="I63" s="55"/>
      <c r="J63" s="55"/>
    </row>
    <row r="64" spans="2:10" ht="18.75" x14ac:dyDescent="0.3">
      <c r="B64" s="26" t="s">
        <v>62</v>
      </c>
      <c r="C64" s="9">
        <v>5092</v>
      </c>
      <c r="D64" s="7">
        <v>11457</v>
      </c>
      <c r="E64" s="9">
        <v>1352059</v>
      </c>
      <c r="F64" s="27">
        <f t="shared" si="8"/>
        <v>265.5261194029851</v>
      </c>
      <c r="G64" s="17"/>
      <c r="H64" s="17"/>
      <c r="I64" s="55"/>
      <c r="J64" s="55"/>
    </row>
    <row r="65" spans="2:10" ht="18.75" x14ac:dyDescent="0.3">
      <c r="B65" s="26" t="s">
        <v>63</v>
      </c>
      <c r="C65" s="9">
        <v>3843</v>
      </c>
      <c r="D65" s="7">
        <v>8054</v>
      </c>
      <c r="E65" s="9">
        <v>935201</v>
      </c>
      <c r="F65" s="27">
        <f t="shared" si="8"/>
        <v>243.35180848295602</v>
      </c>
      <c r="G65" s="17"/>
      <c r="H65" s="17"/>
      <c r="I65" s="55"/>
      <c r="J65" s="55"/>
    </row>
    <row r="66" spans="2:10" ht="18.75" x14ac:dyDescent="0.3">
      <c r="B66" s="26" t="s">
        <v>64</v>
      </c>
      <c r="C66" s="9">
        <v>9659</v>
      </c>
      <c r="D66" s="7">
        <v>20450</v>
      </c>
      <c r="E66" s="9">
        <v>2377791</v>
      </c>
      <c r="F66" s="27">
        <f t="shared" si="8"/>
        <v>246.1736204576043</v>
      </c>
      <c r="G66" s="17"/>
      <c r="H66" s="17"/>
      <c r="I66" s="55"/>
      <c r="J66" s="55"/>
    </row>
    <row r="67" spans="2:10" ht="19.5" thickBot="1" x14ac:dyDescent="0.35">
      <c r="B67" s="26" t="s">
        <v>66</v>
      </c>
      <c r="C67" s="9">
        <v>9125</v>
      </c>
      <c r="D67" s="7">
        <v>18715</v>
      </c>
      <c r="E67" s="9">
        <v>2200688</v>
      </c>
      <c r="F67" s="27">
        <f t="shared" si="8"/>
        <v>241.17128767123288</v>
      </c>
      <c r="G67" s="17"/>
      <c r="H67" s="17"/>
      <c r="I67" s="55"/>
      <c r="J67" s="55"/>
    </row>
    <row r="68" spans="2:10" ht="19.5" thickBot="1" x14ac:dyDescent="0.35">
      <c r="B68" s="29" t="s">
        <v>49</v>
      </c>
      <c r="C68" s="40">
        <f>SUM(C61:C67)</f>
        <v>56879</v>
      </c>
      <c r="D68" s="40">
        <f>SUM(D61:D67)</f>
        <v>119570</v>
      </c>
      <c r="E68" s="40">
        <f>SUM(E61:E67)</f>
        <v>13980180</v>
      </c>
      <c r="F68" s="31">
        <f t="shared" si="8"/>
        <v>245.78807644297544</v>
      </c>
      <c r="G68" s="17"/>
      <c r="H68" s="17"/>
      <c r="I68" s="55"/>
      <c r="J68" s="55"/>
    </row>
    <row r="69" spans="2:10" ht="19.5" thickBot="1" x14ac:dyDescent="0.35">
      <c r="B69" s="44"/>
      <c r="C69" s="45"/>
      <c r="D69" s="45"/>
      <c r="E69" s="45"/>
      <c r="F69" s="46"/>
      <c r="G69" s="17"/>
      <c r="H69" s="17"/>
      <c r="I69" s="55"/>
      <c r="J69" s="55"/>
    </row>
    <row r="70" spans="2:10" ht="19.5" thickBot="1" x14ac:dyDescent="0.35">
      <c r="B70" s="21" t="s">
        <v>67</v>
      </c>
      <c r="C70" s="42"/>
      <c r="D70" s="42"/>
      <c r="E70" s="42"/>
      <c r="F70" s="43"/>
      <c r="G70" s="17"/>
      <c r="H70" s="17"/>
      <c r="I70" s="55"/>
      <c r="J70" s="55"/>
    </row>
    <row r="71" spans="2:10" ht="18.75" x14ac:dyDescent="0.3">
      <c r="B71" s="24" t="s">
        <v>68</v>
      </c>
      <c r="C71" s="16">
        <v>3983</v>
      </c>
      <c r="D71" s="7">
        <v>8584</v>
      </c>
      <c r="E71" s="8">
        <v>998979</v>
      </c>
      <c r="F71" s="27">
        <f t="shared" ref="F71:F77" si="9">E71/C71</f>
        <v>250.81069545568667</v>
      </c>
      <c r="G71" s="17"/>
      <c r="H71" s="17"/>
      <c r="I71" s="55"/>
      <c r="J71" s="55"/>
    </row>
    <row r="72" spans="2:10" ht="18.75" x14ac:dyDescent="0.3">
      <c r="B72" s="26" t="s">
        <v>69</v>
      </c>
      <c r="C72" s="9">
        <v>6906</v>
      </c>
      <c r="D72" s="7">
        <v>13549</v>
      </c>
      <c r="E72" s="9">
        <v>1569891</v>
      </c>
      <c r="F72" s="27">
        <f t="shared" si="9"/>
        <v>227.32276281494353</v>
      </c>
      <c r="G72" s="17"/>
      <c r="H72" s="17"/>
      <c r="I72" s="55"/>
      <c r="J72" s="55"/>
    </row>
    <row r="73" spans="2:10" ht="18.75" x14ac:dyDescent="0.3">
      <c r="B73" s="26" t="s">
        <v>67</v>
      </c>
      <c r="C73" s="9">
        <v>8032</v>
      </c>
      <c r="D73" s="7">
        <v>17019</v>
      </c>
      <c r="E73" s="9">
        <v>1978038</v>
      </c>
      <c r="F73" s="27">
        <f t="shared" si="9"/>
        <v>246.26967131474103</v>
      </c>
      <c r="G73" s="17"/>
      <c r="H73" s="17"/>
      <c r="I73" s="55"/>
      <c r="J73" s="55"/>
    </row>
    <row r="74" spans="2:10" ht="18.75" x14ac:dyDescent="0.3">
      <c r="B74" s="26" t="s">
        <v>70</v>
      </c>
      <c r="C74" s="9">
        <v>4189</v>
      </c>
      <c r="D74" s="7">
        <v>8639</v>
      </c>
      <c r="E74" s="9">
        <v>1004359</v>
      </c>
      <c r="F74" s="27">
        <f t="shared" si="9"/>
        <v>239.76104082119838</v>
      </c>
      <c r="G74" s="17"/>
      <c r="H74" s="17"/>
      <c r="I74" s="55"/>
      <c r="J74" s="55"/>
    </row>
    <row r="75" spans="2:10" ht="18.75" x14ac:dyDescent="0.3">
      <c r="B75" s="26" t="s">
        <v>71</v>
      </c>
      <c r="C75" s="9">
        <v>6161</v>
      </c>
      <c r="D75" s="7">
        <v>12948</v>
      </c>
      <c r="E75" s="9">
        <v>1506905</v>
      </c>
      <c r="F75" s="27">
        <f t="shared" si="9"/>
        <v>244.58772926472975</v>
      </c>
      <c r="G75" s="17"/>
      <c r="H75" s="17"/>
      <c r="I75" s="55"/>
      <c r="J75" s="55"/>
    </row>
    <row r="76" spans="2:10" ht="19.5" thickBot="1" x14ac:dyDescent="0.35">
      <c r="B76" s="28" t="s">
        <v>72</v>
      </c>
      <c r="C76" s="10">
        <v>3952</v>
      </c>
      <c r="D76" s="7">
        <v>8653</v>
      </c>
      <c r="E76" s="10">
        <v>990790</v>
      </c>
      <c r="F76" s="27">
        <f t="shared" si="9"/>
        <v>250.70597165991902</v>
      </c>
      <c r="G76" s="17"/>
      <c r="H76" s="17"/>
      <c r="I76" s="55"/>
      <c r="J76" s="55"/>
    </row>
    <row r="77" spans="2:10" ht="19.5" thickBot="1" x14ac:dyDescent="0.35">
      <c r="B77" s="29" t="s">
        <v>49</v>
      </c>
      <c r="C77" s="40">
        <f>SUM(C71:C76)</f>
        <v>33223</v>
      </c>
      <c r="D77" s="40">
        <f t="shared" ref="D77:E77" si="10">SUM(D71:D76)</f>
        <v>69392</v>
      </c>
      <c r="E77" s="40">
        <f t="shared" si="10"/>
        <v>8048962</v>
      </c>
      <c r="F77" s="31">
        <f t="shared" si="9"/>
        <v>242.27077626945189</v>
      </c>
      <c r="G77" s="17"/>
      <c r="H77" s="17"/>
      <c r="I77" s="55"/>
      <c r="J77" s="55"/>
    </row>
    <row r="78" spans="2:10" ht="19.5" thickBot="1" x14ac:dyDescent="0.35">
      <c r="B78" s="44"/>
      <c r="C78" s="45"/>
      <c r="D78" s="45"/>
      <c r="E78" s="45"/>
      <c r="F78" s="46"/>
      <c r="G78" s="17"/>
      <c r="H78" s="17"/>
      <c r="I78" s="55"/>
      <c r="J78" s="55"/>
    </row>
    <row r="79" spans="2:10" ht="19.5" thickBot="1" x14ac:dyDescent="0.35">
      <c r="B79" s="21" t="s">
        <v>73</v>
      </c>
      <c r="C79" s="42"/>
      <c r="D79" s="42"/>
      <c r="E79" s="42"/>
      <c r="F79" s="43"/>
      <c r="G79" s="17"/>
      <c r="H79" s="17"/>
      <c r="I79" s="55"/>
      <c r="J79" s="55"/>
    </row>
    <row r="80" spans="2:10" ht="18.75" x14ac:dyDescent="0.3">
      <c r="B80" s="24" t="s">
        <v>74</v>
      </c>
      <c r="C80" s="16">
        <v>2369</v>
      </c>
      <c r="D80" s="7">
        <v>4837</v>
      </c>
      <c r="E80" s="8">
        <v>560169</v>
      </c>
      <c r="F80" s="27">
        <f t="shared" ref="F80:F90" si="11">E80/C80</f>
        <v>236.45799915576191</v>
      </c>
      <c r="G80" s="17"/>
      <c r="H80" s="17"/>
      <c r="I80" s="55"/>
      <c r="J80" s="55"/>
    </row>
    <row r="81" spans="2:10" ht="18.75" x14ac:dyDescent="0.3">
      <c r="B81" s="26" t="s">
        <v>75</v>
      </c>
      <c r="C81" s="9">
        <v>255</v>
      </c>
      <c r="D81" s="7">
        <v>563</v>
      </c>
      <c r="E81" s="9">
        <v>61675</v>
      </c>
      <c r="F81" s="27">
        <f t="shared" si="11"/>
        <v>241.86274509803923</v>
      </c>
      <c r="G81" s="17"/>
      <c r="H81" s="17"/>
      <c r="I81" s="55"/>
      <c r="J81" s="55"/>
    </row>
    <row r="82" spans="2:10" ht="18.75" x14ac:dyDescent="0.3">
      <c r="B82" s="26" t="s">
        <v>76</v>
      </c>
      <c r="C82" s="9">
        <v>6675</v>
      </c>
      <c r="D82" s="7">
        <v>13790</v>
      </c>
      <c r="E82" s="9">
        <v>1628892</v>
      </c>
      <c r="F82" s="27">
        <f t="shared" si="11"/>
        <v>244.02876404494381</v>
      </c>
      <c r="G82" s="17"/>
      <c r="H82" s="17"/>
      <c r="I82" s="55"/>
      <c r="J82" s="55"/>
    </row>
    <row r="83" spans="2:10" ht="18.75" x14ac:dyDescent="0.3">
      <c r="B83" s="26" t="s">
        <v>73</v>
      </c>
      <c r="C83" s="9">
        <v>11127</v>
      </c>
      <c r="D83" s="7">
        <v>22090</v>
      </c>
      <c r="E83" s="9">
        <v>2600518</v>
      </c>
      <c r="F83" s="27">
        <f t="shared" si="11"/>
        <v>233.71241125190977</v>
      </c>
      <c r="G83" s="17"/>
      <c r="H83" s="17"/>
      <c r="I83" s="55"/>
      <c r="J83" s="55"/>
    </row>
    <row r="84" spans="2:10" ht="18.75" x14ac:dyDescent="0.3">
      <c r="B84" s="26" t="s">
        <v>77</v>
      </c>
      <c r="C84" s="9">
        <v>8033</v>
      </c>
      <c r="D84" s="7">
        <v>16899</v>
      </c>
      <c r="E84" s="9">
        <v>1995517</v>
      </c>
      <c r="F84" s="27">
        <f t="shared" si="11"/>
        <v>248.41491348188723</v>
      </c>
      <c r="G84" s="17"/>
      <c r="H84" s="17"/>
      <c r="I84" s="55"/>
      <c r="J84" s="55"/>
    </row>
    <row r="85" spans="2:10" ht="18.75" x14ac:dyDescent="0.3">
      <c r="B85" s="26" t="s">
        <v>78</v>
      </c>
      <c r="C85" s="9">
        <v>7148</v>
      </c>
      <c r="D85" s="7">
        <v>14619</v>
      </c>
      <c r="E85" s="9">
        <v>1734333</v>
      </c>
      <c r="F85" s="27">
        <f t="shared" si="11"/>
        <v>242.63192501398993</v>
      </c>
      <c r="G85" s="17"/>
      <c r="H85" s="17"/>
      <c r="I85" s="55"/>
      <c r="J85" s="55"/>
    </row>
    <row r="86" spans="2:10" ht="18.75" x14ac:dyDescent="0.3">
      <c r="B86" s="26" t="s">
        <v>79</v>
      </c>
      <c r="C86" s="9">
        <v>2875</v>
      </c>
      <c r="D86" s="7">
        <v>5935</v>
      </c>
      <c r="E86" s="9">
        <v>692067</v>
      </c>
      <c r="F86" s="27">
        <f t="shared" si="11"/>
        <v>240.71895652173913</v>
      </c>
      <c r="G86" s="17"/>
      <c r="H86" s="17"/>
      <c r="I86" s="55"/>
      <c r="J86" s="55"/>
    </row>
    <row r="87" spans="2:10" ht="18.75" x14ac:dyDescent="0.3">
      <c r="B87" s="26" t="s">
        <v>80</v>
      </c>
      <c r="C87" s="9">
        <v>5366</v>
      </c>
      <c r="D87" s="7">
        <v>11289</v>
      </c>
      <c r="E87" s="9">
        <v>1320488</v>
      </c>
      <c r="F87" s="27">
        <f t="shared" si="11"/>
        <v>246.08423406634364</v>
      </c>
      <c r="G87" s="17"/>
      <c r="H87" s="17"/>
      <c r="I87" s="55"/>
      <c r="J87" s="55"/>
    </row>
    <row r="88" spans="2:10" ht="18.75" x14ac:dyDescent="0.3">
      <c r="B88" s="26" t="s">
        <v>81</v>
      </c>
      <c r="C88" s="9">
        <v>2071</v>
      </c>
      <c r="D88" s="7">
        <v>4151</v>
      </c>
      <c r="E88" s="9">
        <v>492964</v>
      </c>
      <c r="F88" s="27">
        <f t="shared" si="11"/>
        <v>238.03186866248188</v>
      </c>
      <c r="G88" s="17"/>
      <c r="H88" s="17"/>
      <c r="I88" s="55"/>
      <c r="J88" s="55"/>
    </row>
    <row r="89" spans="2:10" ht="19.5" thickBot="1" x14ac:dyDescent="0.35">
      <c r="B89" s="28" t="s">
        <v>82</v>
      </c>
      <c r="C89" s="10">
        <v>9194</v>
      </c>
      <c r="D89" s="7">
        <v>18547</v>
      </c>
      <c r="E89" s="10">
        <v>2175030</v>
      </c>
      <c r="F89" s="27">
        <f t="shared" si="11"/>
        <v>236.57058951490103</v>
      </c>
      <c r="G89" s="17"/>
      <c r="H89" s="17"/>
      <c r="I89" s="55"/>
      <c r="J89" s="55"/>
    </row>
    <row r="90" spans="2:10" ht="19.5" thickBot="1" x14ac:dyDescent="0.35">
      <c r="B90" s="29" t="s">
        <v>49</v>
      </c>
      <c r="C90" s="40">
        <f>SUM(C80:C89)</f>
        <v>55113</v>
      </c>
      <c r="D90" s="40">
        <f t="shared" ref="D90:E90" si="12">SUM(D80:D89)</f>
        <v>112720</v>
      </c>
      <c r="E90" s="40">
        <f t="shared" si="12"/>
        <v>13261653</v>
      </c>
      <c r="F90" s="31">
        <f t="shared" si="11"/>
        <v>240.62658537913015</v>
      </c>
      <c r="G90" s="17"/>
      <c r="H90" s="17"/>
      <c r="I90" s="55"/>
      <c r="J90" s="55"/>
    </row>
    <row r="91" spans="2:10" ht="19.5" thickBot="1" x14ac:dyDescent="0.35">
      <c r="B91" s="44"/>
      <c r="C91" s="45"/>
      <c r="D91" s="45"/>
      <c r="E91" s="45"/>
      <c r="F91" s="46"/>
      <c r="G91" s="17"/>
      <c r="H91" s="17"/>
      <c r="I91" s="55"/>
      <c r="J91" s="55"/>
    </row>
    <row r="92" spans="2:10" ht="19.5" thickBot="1" x14ac:dyDescent="0.35">
      <c r="B92" s="21" t="s">
        <v>83</v>
      </c>
      <c r="C92" s="42"/>
      <c r="D92" s="42"/>
      <c r="E92" s="42"/>
      <c r="F92" s="43"/>
      <c r="G92" s="17"/>
      <c r="H92" s="17"/>
      <c r="I92" s="55"/>
      <c r="J92" s="55"/>
    </row>
    <row r="93" spans="2:10" ht="18.75" x14ac:dyDescent="0.3">
      <c r="B93" s="24" t="s">
        <v>84</v>
      </c>
      <c r="C93" s="16">
        <v>5567</v>
      </c>
      <c r="D93" s="7">
        <v>11443</v>
      </c>
      <c r="E93" s="8">
        <v>1328114</v>
      </c>
      <c r="F93" s="27">
        <f t="shared" ref="F93:F101" si="13">E93/C93</f>
        <v>238.56906772049578</v>
      </c>
      <c r="G93" s="17"/>
      <c r="H93" s="17"/>
      <c r="I93" s="55"/>
      <c r="J93" s="55"/>
    </row>
    <row r="94" spans="2:10" ht="18.75" x14ac:dyDescent="0.3">
      <c r="B94" s="26" t="s">
        <v>85</v>
      </c>
      <c r="C94" s="9">
        <v>7523</v>
      </c>
      <c r="D94" s="7">
        <v>15885</v>
      </c>
      <c r="E94" s="9">
        <v>1864382</v>
      </c>
      <c r="F94" s="27">
        <f t="shared" si="13"/>
        <v>247.82427223182242</v>
      </c>
      <c r="G94" s="17"/>
      <c r="H94" s="17"/>
      <c r="I94" s="55"/>
      <c r="J94" s="55"/>
    </row>
    <row r="95" spans="2:10" ht="18.75" x14ac:dyDescent="0.3">
      <c r="B95" s="26" t="s">
        <v>86</v>
      </c>
      <c r="C95" s="9">
        <v>4093</v>
      </c>
      <c r="D95" s="7">
        <v>8775</v>
      </c>
      <c r="E95" s="9">
        <v>1030248</v>
      </c>
      <c r="F95" s="27">
        <f t="shared" si="13"/>
        <v>251.70974835084291</v>
      </c>
      <c r="G95" s="17"/>
      <c r="H95" s="17"/>
      <c r="I95" s="55"/>
      <c r="J95" s="55"/>
    </row>
    <row r="96" spans="2:10" ht="18.75" x14ac:dyDescent="0.3">
      <c r="B96" s="26" t="s">
        <v>87</v>
      </c>
      <c r="C96" s="9">
        <v>2633</v>
      </c>
      <c r="D96" s="7">
        <v>5038</v>
      </c>
      <c r="E96" s="9">
        <v>589757</v>
      </c>
      <c r="F96" s="27">
        <f t="shared" si="13"/>
        <v>223.98670717812382</v>
      </c>
      <c r="G96" s="17"/>
      <c r="H96" s="17"/>
      <c r="I96" s="55"/>
      <c r="J96" s="55"/>
    </row>
    <row r="97" spans="2:10" ht="18.75" x14ac:dyDescent="0.3">
      <c r="B97" s="26" t="s">
        <v>88</v>
      </c>
      <c r="C97" s="9">
        <v>5090</v>
      </c>
      <c r="D97" s="7">
        <v>10911</v>
      </c>
      <c r="E97" s="9">
        <v>1283394</v>
      </c>
      <c r="F97" s="27">
        <f t="shared" si="13"/>
        <v>252.1402750491159</v>
      </c>
      <c r="G97" s="17"/>
      <c r="H97" s="17"/>
      <c r="I97" s="55"/>
      <c r="J97" s="55"/>
    </row>
    <row r="98" spans="2:10" ht="18.75" x14ac:dyDescent="0.3">
      <c r="B98" s="26" t="s">
        <v>89</v>
      </c>
      <c r="C98" s="9">
        <v>1146</v>
      </c>
      <c r="D98" s="7">
        <v>2729</v>
      </c>
      <c r="E98" s="9">
        <v>318933</v>
      </c>
      <c r="F98" s="27">
        <f t="shared" si="13"/>
        <v>278.30104712041884</v>
      </c>
      <c r="G98" s="17"/>
      <c r="H98" s="17"/>
      <c r="I98" s="55"/>
      <c r="J98" s="55"/>
    </row>
    <row r="99" spans="2:10" ht="18.75" x14ac:dyDescent="0.3">
      <c r="B99" s="26" t="s">
        <v>90</v>
      </c>
      <c r="C99" s="9">
        <v>15307</v>
      </c>
      <c r="D99" s="7">
        <v>30419</v>
      </c>
      <c r="E99" s="9">
        <v>3627921</v>
      </c>
      <c r="F99" s="27">
        <f t="shared" si="13"/>
        <v>237.01058339321878</v>
      </c>
      <c r="G99" s="17"/>
      <c r="H99" s="17"/>
      <c r="I99" s="55"/>
      <c r="J99" s="55"/>
    </row>
    <row r="100" spans="2:10" ht="18.75" x14ac:dyDescent="0.3">
      <c r="B100" s="47" t="s">
        <v>92</v>
      </c>
      <c r="C100" s="9">
        <v>4294</v>
      </c>
      <c r="D100" s="7">
        <v>9251</v>
      </c>
      <c r="E100" s="9">
        <v>1069787</v>
      </c>
      <c r="F100" s="27">
        <f t="shared" si="13"/>
        <v>249.13530507685141</v>
      </c>
      <c r="G100" s="17"/>
      <c r="H100" s="17"/>
      <c r="I100" s="55"/>
      <c r="J100" s="55"/>
    </row>
    <row r="101" spans="2:10" ht="19.5" thickBot="1" x14ac:dyDescent="0.35">
      <c r="B101" s="26" t="s">
        <v>93</v>
      </c>
      <c r="C101" s="10">
        <v>6440</v>
      </c>
      <c r="D101" s="7">
        <v>13458</v>
      </c>
      <c r="E101" s="9">
        <v>1571428</v>
      </c>
      <c r="F101" s="27">
        <f t="shared" si="13"/>
        <v>244.01055900621117</v>
      </c>
      <c r="G101" s="17"/>
      <c r="H101" s="17"/>
      <c r="I101" s="55"/>
      <c r="J101" s="55"/>
    </row>
    <row r="102" spans="2:10" ht="19.5" thickBot="1" x14ac:dyDescent="0.35">
      <c r="B102" s="29" t="s">
        <v>49</v>
      </c>
      <c r="C102" s="40">
        <f>SUM(C93:C101)</f>
        <v>52093</v>
      </c>
      <c r="D102" s="40">
        <f t="shared" ref="D102:E102" si="14">SUM(D93:D101)</f>
        <v>107909</v>
      </c>
      <c r="E102" s="40">
        <f t="shared" si="14"/>
        <v>12683964</v>
      </c>
      <c r="F102" s="31">
        <f t="shared" ref="F102" si="15">E102/C102</f>
        <v>243.48691762808824</v>
      </c>
      <c r="G102" s="17"/>
      <c r="H102" s="17"/>
      <c r="I102" s="55"/>
      <c r="J102" s="55"/>
    </row>
    <row r="103" spans="2:10" ht="19.5" thickBot="1" x14ac:dyDescent="0.35">
      <c r="B103" s="44"/>
      <c r="C103" s="45"/>
      <c r="D103" s="45"/>
      <c r="E103" s="45"/>
      <c r="F103" s="46"/>
      <c r="G103" s="17"/>
      <c r="H103" s="17"/>
      <c r="I103" s="55"/>
      <c r="J103" s="55"/>
    </row>
    <row r="104" spans="2:10" ht="19.5" thickBot="1" x14ac:dyDescent="0.35">
      <c r="B104" s="34" t="s">
        <v>94</v>
      </c>
      <c r="C104" s="42"/>
      <c r="D104" s="42"/>
      <c r="E104" s="42"/>
      <c r="F104" s="43"/>
      <c r="G104" s="17"/>
      <c r="H104" s="17"/>
      <c r="I104" s="55"/>
      <c r="J104" s="55"/>
    </row>
    <row r="105" spans="2:10" ht="18.75" x14ac:dyDescent="0.3">
      <c r="B105" s="48" t="s">
        <v>95</v>
      </c>
      <c r="C105" s="60">
        <v>3884</v>
      </c>
      <c r="D105" s="7">
        <v>9260</v>
      </c>
      <c r="E105" s="8">
        <v>1087518</v>
      </c>
      <c r="F105" s="27">
        <f t="shared" ref="F105:F118" si="16">E105/C105</f>
        <v>279.9994850669413</v>
      </c>
      <c r="G105" s="17"/>
      <c r="H105" s="17"/>
      <c r="I105" s="55"/>
      <c r="J105" s="55"/>
    </row>
    <row r="106" spans="2:10" ht="18.75" x14ac:dyDescent="0.3">
      <c r="B106" s="49" t="s">
        <v>96</v>
      </c>
      <c r="C106" s="9">
        <v>5582</v>
      </c>
      <c r="D106" s="7">
        <v>11387</v>
      </c>
      <c r="E106" s="8">
        <v>1331322</v>
      </c>
      <c r="F106" s="27">
        <f t="shared" si="16"/>
        <v>238.5026872088857</v>
      </c>
      <c r="G106" s="17"/>
      <c r="H106" s="17"/>
      <c r="I106" s="55"/>
      <c r="J106" s="55"/>
    </row>
    <row r="107" spans="2:10" ht="18.75" x14ac:dyDescent="0.3">
      <c r="B107" s="49" t="s">
        <v>97</v>
      </c>
      <c r="C107" s="9">
        <v>865</v>
      </c>
      <c r="D107" s="7">
        <v>1974</v>
      </c>
      <c r="E107" s="9">
        <v>239341</v>
      </c>
      <c r="F107" s="27">
        <f t="shared" si="16"/>
        <v>276.6947976878613</v>
      </c>
      <c r="G107" s="17"/>
      <c r="H107" s="17"/>
      <c r="I107" s="55"/>
      <c r="J107" s="55"/>
    </row>
    <row r="108" spans="2:10" ht="18.75" x14ac:dyDescent="0.3">
      <c r="B108" s="49" t="s">
        <v>98</v>
      </c>
      <c r="C108" s="9">
        <v>7554</v>
      </c>
      <c r="D108" s="7">
        <v>16282</v>
      </c>
      <c r="E108" s="9">
        <v>1899667</v>
      </c>
      <c r="F108" s="27">
        <f t="shared" si="16"/>
        <v>251.47828964786868</v>
      </c>
      <c r="G108" s="17"/>
      <c r="H108" s="17"/>
      <c r="I108" s="55"/>
      <c r="J108" s="55"/>
    </row>
    <row r="109" spans="2:10" ht="18.75" x14ac:dyDescent="0.3">
      <c r="B109" s="26" t="s">
        <v>99</v>
      </c>
      <c r="C109" s="9">
        <v>4669</v>
      </c>
      <c r="D109" s="7">
        <v>10265</v>
      </c>
      <c r="E109" s="9">
        <v>1204015</v>
      </c>
      <c r="F109" s="27">
        <f t="shared" si="16"/>
        <v>257.87427714714073</v>
      </c>
      <c r="G109" s="17"/>
      <c r="H109" s="17"/>
      <c r="I109" s="55"/>
      <c r="J109" s="55"/>
    </row>
    <row r="110" spans="2:10" ht="18.75" x14ac:dyDescent="0.3">
      <c r="B110" s="26" t="s">
        <v>100</v>
      </c>
      <c r="C110" s="9">
        <v>3733</v>
      </c>
      <c r="D110" s="7">
        <v>8884</v>
      </c>
      <c r="E110" s="9">
        <v>1041887</v>
      </c>
      <c r="F110" s="27">
        <f t="shared" si="16"/>
        <v>279.1017948031074</v>
      </c>
      <c r="G110" s="17"/>
      <c r="H110" s="17"/>
      <c r="I110" s="55"/>
      <c r="J110" s="55"/>
    </row>
    <row r="111" spans="2:10" ht="18.75" x14ac:dyDescent="0.3">
      <c r="B111" s="26" t="s">
        <v>101</v>
      </c>
      <c r="C111" s="9">
        <v>8700</v>
      </c>
      <c r="D111" s="7">
        <v>19742</v>
      </c>
      <c r="E111" s="9">
        <v>2282764</v>
      </c>
      <c r="F111" s="27">
        <f t="shared" si="16"/>
        <v>262.38666666666666</v>
      </c>
      <c r="G111" s="17"/>
      <c r="H111" s="17"/>
      <c r="I111" s="55"/>
      <c r="J111" s="55"/>
    </row>
    <row r="112" spans="2:10" ht="18.75" x14ac:dyDescent="0.3">
      <c r="B112" s="26" t="s">
        <v>102</v>
      </c>
      <c r="C112" s="9">
        <v>5769</v>
      </c>
      <c r="D112" s="7">
        <v>13269</v>
      </c>
      <c r="E112" s="9">
        <v>1548762</v>
      </c>
      <c r="F112" s="27">
        <f t="shared" si="16"/>
        <v>268.46281851274051</v>
      </c>
      <c r="G112" s="17"/>
      <c r="H112" s="17"/>
      <c r="I112" s="55"/>
      <c r="J112" s="55"/>
    </row>
    <row r="113" spans="2:10" ht="18.75" x14ac:dyDescent="0.3">
      <c r="B113" s="26" t="s">
        <v>103</v>
      </c>
      <c r="C113" s="9">
        <v>5030</v>
      </c>
      <c r="D113" s="7">
        <v>11908</v>
      </c>
      <c r="E113" s="9">
        <v>1371498</v>
      </c>
      <c r="F113" s="27">
        <f t="shared" si="16"/>
        <v>272.66361829025846</v>
      </c>
      <c r="G113" s="17"/>
      <c r="H113" s="17"/>
      <c r="I113" s="55"/>
      <c r="J113" s="55"/>
    </row>
    <row r="114" spans="2:10" ht="18.75" x14ac:dyDescent="0.3">
      <c r="B114" s="26" t="s">
        <v>104</v>
      </c>
      <c r="C114" s="9">
        <v>7214</v>
      </c>
      <c r="D114" s="7">
        <v>14578</v>
      </c>
      <c r="E114" s="9">
        <v>1719506</v>
      </c>
      <c r="F114" s="27">
        <f t="shared" si="16"/>
        <v>238.35680621014694</v>
      </c>
      <c r="G114" s="17"/>
      <c r="H114" s="17"/>
      <c r="I114" s="55"/>
      <c r="J114" s="55"/>
    </row>
    <row r="115" spans="2:10" ht="18.75" x14ac:dyDescent="0.3">
      <c r="B115" s="26" t="s">
        <v>105</v>
      </c>
      <c r="C115" s="9">
        <v>8451</v>
      </c>
      <c r="D115" s="7">
        <v>19657</v>
      </c>
      <c r="E115" s="9">
        <v>2298934</v>
      </c>
      <c r="F115" s="27">
        <f t="shared" si="16"/>
        <v>272.03100224825465</v>
      </c>
      <c r="G115" s="17"/>
      <c r="H115" s="17"/>
      <c r="I115" s="55"/>
      <c r="J115" s="55"/>
    </row>
    <row r="116" spans="2:10" ht="18.75" x14ac:dyDescent="0.3">
      <c r="B116" s="26" t="s">
        <v>106</v>
      </c>
      <c r="C116" s="9">
        <v>16013</v>
      </c>
      <c r="D116" s="7">
        <v>35058</v>
      </c>
      <c r="E116" s="9">
        <v>4163382</v>
      </c>
      <c r="F116" s="27">
        <f t="shared" si="16"/>
        <v>260.00012489851997</v>
      </c>
      <c r="G116" s="17"/>
      <c r="H116" s="17"/>
      <c r="I116" s="55"/>
      <c r="J116" s="55"/>
    </row>
    <row r="117" spans="2:10" ht="18.75" x14ac:dyDescent="0.3">
      <c r="B117" s="26" t="s">
        <v>107</v>
      </c>
      <c r="C117" s="9">
        <v>5347</v>
      </c>
      <c r="D117" s="7">
        <v>12326</v>
      </c>
      <c r="E117" s="9">
        <v>1436589</v>
      </c>
      <c r="F117" s="27">
        <f t="shared" si="16"/>
        <v>268.67196558818029</v>
      </c>
      <c r="G117" s="17"/>
      <c r="H117" s="17"/>
      <c r="I117" s="55"/>
      <c r="J117" s="55"/>
    </row>
    <row r="118" spans="2:10" ht="19.5" thickBot="1" x14ac:dyDescent="0.35">
      <c r="B118" s="26" t="s">
        <v>108</v>
      </c>
      <c r="C118" s="10">
        <v>8232</v>
      </c>
      <c r="D118" s="7">
        <v>17652</v>
      </c>
      <c r="E118" s="9">
        <v>2062825</v>
      </c>
      <c r="F118" s="27">
        <f t="shared" si="16"/>
        <v>250.5861273080661</v>
      </c>
      <c r="G118" s="17"/>
      <c r="H118" s="17"/>
      <c r="I118" s="55"/>
      <c r="J118" s="55"/>
    </row>
    <row r="119" spans="2:10" ht="19.5" thickBot="1" x14ac:dyDescent="0.35">
      <c r="B119" s="29" t="s">
        <v>49</v>
      </c>
      <c r="C119" s="40">
        <f>SUM(C105:C118)</f>
        <v>91043</v>
      </c>
      <c r="D119" s="40">
        <f t="shared" ref="D119:E119" si="17">SUM(D105:D118)</f>
        <v>202242</v>
      </c>
      <c r="E119" s="40">
        <f t="shared" si="17"/>
        <v>23688010</v>
      </c>
      <c r="F119" s="31">
        <f t="shared" ref="F119" si="18">E119/C119</f>
        <v>260.18485770460114</v>
      </c>
      <c r="G119" s="17"/>
      <c r="H119" s="17"/>
      <c r="I119" s="55"/>
      <c r="J119" s="55"/>
    </row>
    <row r="120" spans="2:10" ht="19.5" thickBot="1" x14ac:dyDescent="0.35">
      <c r="B120" s="44"/>
      <c r="C120" s="45"/>
      <c r="D120" s="45"/>
      <c r="E120" s="45"/>
      <c r="F120" s="46"/>
      <c r="G120" s="17"/>
      <c r="H120" s="17"/>
      <c r="I120" s="55"/>
      <c r="J120" s="55"/>
    </row>
    <row r="121" spans="2:10" ht="19.5" thickBot="1" x14ac:dyDescent="0.35">
      <c r="B121" s="21" t="s">
        <v>109</v>
      </c>
      <c r="C121" s="42"/>
      <c r="D121" s="42"/>
      <c r="E121" s="42"/>
      <c r="F121" s="43"/>
      <c r="G121" s="17"/>
      <c r="H121" s="17"/>
      <c r="I121" s="55"/>
      <c r="J121" s="55"/>
    </row>
    <row r="122" spans="2:10" ht="18.75" x14ac:dyDescent="0.3">
      <c r="B122" s="24" t="s">
        <v>110</v>
      </c>
      <c r="C122" s="16">
        <v>1501</v>
      </c>
      <c r="D122" s="7">
        <v>3368</v>
      </c>
      <c r="E122" s="8">
        <v>398471</v>
      </c>
      <c r="F122" s="27">
        <f t="shared" ref="F122:F131" si="19">E122/C122</f>
        <v>265.47035309793472</v>
      </c>
      <c r="G122" s="17"/>
      <c r="H122" s="17"/>
      <c r="I122" s="55"/>
      <c r="J122" s="55"/>
    </row>
    <row r="123" spans="2:10" ht="18.75" x14ac:dyDescent="0.3">
      <c r="B123" s="26" t="s">
        <v>111</v>
      </c>
      <c r="C123" s="9">
        <v>4830</v>
      </c>
      <c r="D123" s="7">
        <v>9922</v>
      </c>
      <c r="E123" s="9">
        <v>1170571</v>
      </c>
      <c r="F123" s="27">
        <f t="shared" si="19"/>
        <v>242.35424430641822</v>
      </c>
      <c r="G123" s="17"/>
      <c r="H123" s="17"/>
      <c r="I123" s="55"/>
      <c r="J123" s="55"/>
    </row>
    <row r="124" spans="2:10" ht="18.75" x14ac:dyDescent="0.3">
      <c r="B124" s="26" t="s">
        <v>112</v>
      </c>
      <c r="C124" s="9">
        <v>1641</v>
      </c>
      <c r="D124" s="7">
        <v>3438</v>
      </c>
      <c r="E124" s="9">
        <v>405530</v>
      </c>
      <c r="F124" s="27">
        <f t="shared" si="19"/>
        <v>247.12370505789153</v>
      </c>
      <c r="G124" s="17"/>
      <c r="H124" s="17"/>
      <c r="I124" s="55"/>
      <c r="J124" s="55"/>
    </row>
    <row r="125" spans="2:10" ht="18.75" x14ac:dyDescent="0.3">
      <c r="B125" s="26" t="s">
        <v>113</v>
      </c>
      <c r="C125" s="9">
        <v>4771</v>
      </c>
      <c r="D125" s="7">
        <v>9484</v>
      </c>
      <c r="E125" s="9">
        <v>1127083</v>
      </c>
      <c r="F125" s="27">
        <f t="shared" si="19"/>
        <v>236.23621882204989</v>
      </c>
      <c r="G125" s="17"/>
      <c r="H125" s="17"/>
      <c r="I125" s="55"/>
      <c r="J125" s="55"/>
    </row>
    <row r="126" spans="2:10" ht="18.75" x14ac:dyDescent="0.3">
      <c r="B126" s="26" t="s">
        <v>114</v>
      </c>
      <c r="C126" s="9">
        <v>7536</v>
      </c>
      <c r="D126" s="7">
        <v>13097</v>
      </c>
      <c r="E126" s="9">
        <v>1628880</v>
      </c>
      <c r="F126" s="27">
        <f t="shared" si="19"/>
        <v>216.14649681528661</v>
      </c>
      <c r="G126" s="17"/>
      <c r="H126" s="17"/>
      <c r="I126" s="55"/>
      <c r="J126" s="55"/>
    </row>
    <row r="127" spans="2:10" ht="18.75" x14ac:dyDescent="0.3">
      <c r="B127" s="26" t="s">
        <v>115</v>
      </c>
      <c r="C127" s="9">
        <v>10602</v>
      </c>
      <c r="D127" s="7">
        <v>23138</v>
      </c>
      <c r="E127" s="9">
        <v>2757172</v>
      </c>
      <c r="F127" s="27">
        <f t="shared" si="19"/>
        <v>260.061497830598</v>
      </c>
      <c r="G127" s="17"/>
      <c r="H127" s="17"/>
      <c r="I127" s="55"/>
      <c r="J127" s="55"/>
    </row>
    <row r="128" spans="2:10" ht="18.75" x14ac:dyDescent="0.3">
      <c r="B128" s="26" t="s">
        <v>116</v>
      </c>
      <c r="C128" s="9">
        <v>9424</v>
      </c>
      <c r="D128" s="7">
        <v>19589</v>
      </c>
      <c r="E128" s="9">
        <v>2324410</v>
      </c>
      <c r="F128" s="27">
        <f t="shared" si="19"/>
        <v>246.64792020373514</v>
      </c>
      <c r="G128" s="17"/>
      <c r="H128" s="17"/>
      <c r="I128" s="55"/>
      <c r="J128" s="55"/>
    </row>
    <row r="129" spans="2:10" ht="18.75" x14ac:dyDescent="0.3">
      <c r="B129" s="26" t="s">
        <v>117</v>
      </c>
      <c r="C129" s="9">
        <v>7207</v>
      </c>
      <c r="D129" s="7">
        <v>15903</v>
      </c>
      <c r="E129" s="9">
        <v>1896200</v>
      </c>
      <c r="F129" s="27">
        <f t="shared" si="19"/>
        <v>263.10531427778551</v>
      </c>
      <c r="G129" s="17"/>
      <c r="H129" s="17"/>
      <c r="I129" s="55"/>
      <c r="J129" s="55"/>
    </row>
    <row r="130" spans="2:10" ht="18.75" x14ac:dyDescent="0.3">
      <c r="B130" s="47" t="s">
        <v>118</v>
      </c>
      <c r="C130" s="9">
        <v>8220</v>
      </c>
      <c r="D130" s="7">
        <v>17239</v>
      </c>
      <c r="E130" s="9">
        <v>2086254</v>
      </c>
      <c r="F130" s="27">
        <f t="shared" si="19"/>
        <v>253.80218978102189</v>
      </c>
      <c r="G130" s="17"/>
      <c r="H130" s="17"/>
      <c r="I130" s="55"/>
      <c r="J130" s="55"/>
    </row>
    <row r="131" spans="2:10" ht="19.5" thickBot="1" x14ac:dyDescent="0.35">
      <c r="B131" s="47" t="s">
        <v>119</v>
      </c>
      <c r="C131" s="56">
        <v>5734</v>
      </c>
      <c r="D131" s="7">
        <v>9904</v>
      </c>
      <c r="E131" s="9">
        <v>1186660</v>
      </c>
      <c r="F131" s="27">
        <f t="shared" si="19"/>
        <v>206.95151726543426</v>
      </c>
      <c r="G131" s="17"/>
      <c r="H131" s="17"/>
      <c r="I131" s="55"/>
      <c r="J131" s="55"/>
    </row>
    <row r="132" spans="2:10" ht="19.5" thickBot="1" x14ac:dyDescent="0.35">
      <c r="B132" s="29" t="s">
        <v>49</v>
      </c>
      <c r="C132" s="40">
        <f>SUM(C122:C131)</f>
        <v>61466</v>
      </c>
      <c r="D132" s="40">
        <f t="shared" ref="D132:E132" si="20">SUM(D122:D131)</f>
        <v>125082</v>
      </c>
      <c r="E132" s="40">
        <f t="shared" si="20"/>
        <v>14981231</v>
      </c>
      <c r="F132" s="31">
        <f t="shared" ref="F132" si="21">E132/C132</f>
        <v>243.73199817785442</v>
      </c>
      <c r="G132" s="17"/>
      <c r="H132" s="17"/>
      <c r="I132" s="55"/>
      <c r="J132" s="55"/>
    </row>
    <row r="133" spans="2:10" ht="19.5" thickBot="1" x14ac:dyDescent="0.35">
      <c r="B133" s="44"/>
      <c r="C133" s="45"/>
      <c r="D133" s="45"/>
      <c r="E133" s="45"/>
      <c r="F133" s="46"/>
      <c r="G133" s="17"/>
      <c r="H133" s="17"/>
      <c r="I133" s="55"/>
      <c r="J133" s="55"/>
    </row>
    <row r="134" spans="2:10" ht="19.5" thickBot="1" x14ac:dyDescent="0.35">
      <c r="B134" s="52" t="s">
        <v>120</v>
      </c>
      <c r="C134" s="50">
        <f>SUM(C132+C119+C102+C90+C77+C68+C58+C48+C32+C16)</f>
        <v>640979</v>
      </c>
      <c r="D134" s="50">
        <f>SUM(D132+D119+D102+D90+D77+D68+D58+D48+D32+D16)</f>
        <v>1349467</v>
      </c>
      <c r="E134" s="50">
        <f>SUM(E132+E119+E102+E90+E77+E68+E58+E48+E32+E16)</f>
        <v>159264608</v>
      </c>
      <c r="F134" s="43">
        <f t="shared" ref="F134" si="22">E134/C134</f>
        <v>248.47086722029894</v>
      </c>
      <c r="G134" s="17"/>
      <c r="H134" s="17"/>
      <c r="I134" s="55"/>
      <c r="J134" s="55"/>
    </row>
    <row r="135" spans="2:10" ht="18.75" x14ac:dyDescent="0.3">
      <c r="B135" s="51"/>
      <c r="C135" s="17"/>
      <c r="D135" s="17"/>
      <c r="E135" s="17"/>
      <c r="F135" s="17"/>
      <c r="G135" s="17"/>
      <c r="H135" s="17"/>
      <c r="I135" s="53"/>
      <c r="J135" s="53"/>
    </row>
    <row r="136" spans="2:10" ht="18.75" x14ac:dyDescent="0.3">
      <c r="B136" s="51"/>
      <c r="C136" s="17"/>
      <c r="D136" s="17"/>
      <c r="E136" s="17"/>
      <c r="F136" s="17"/>
      <c r="G136" s="17"/>
      <c r="H136" s="17"/>
      <c r="I136" s="53"/>
      <c r="J136" s="53"/>
    </row>
    <row r="137" spans="2:10" ht="18.75" x14ac:dyDescent="0.3">
      <c r="B137" s="51"/>
      <c r="C137" s="17"/>
      <c r="D137" s="17"/>
      <c r="E137" s="17"/>
      <c r="F137" s="17"/>
      <c r="G137" s="17"/>
      <c r="H137" s="17"/>
      <c r="I137" s="53"/>
      <c r="J137" s="53"/>
    </row>
    <row r="138" spans="2:10" ht="18.75" x14ac:dyDescent="0.3">
      <c r="B138" s="51"/>
      <c r="C138" s="17"/>
      <c r="D138" s="17"/>
      <c r="E138" s="17"/>
      <c r="F138" s="17"/>
      <c r="G138" s="17"/>
      <c r="H138" s="17"/>
      <c r="I138" s="53"/>
      <c r="J138" s="53"/>
    </row>
    <row r="139" spans="2:10" ht="18.75" x14ac:dyDescent="0.3">
      <c r="B139" s="51"/>
      <c r="C139" s="17"/>
      <c r="D139" s="17"/>
      <c r="E139" s="17"/>
      <c r="F139" s="17"/>
      <c r="G139" s="17"/>
      <c r="H139" s="17"/>
      <c r="I139" s="53"/>
      <c r="J139" s="53"/>
    </row>
    <row r="140" spans="2:10" ht="18.75" x14ac:dyDescent="0.3">
      <c r="B140" s="51"/>
      <c r="C140" s="17"/>
      <c r="D140" s="17"/>
      <c r="E140" s="17"/>
      <c r="F140" s="17"/>
      <c r="G140" s="17"/>
      <c r="H140" s="17"/>
      <c r="I140" s="53"/>
      <c r="J140" s="53"/>
    </row>
  </sheetData>
  <mergeCells count="6">
    <mergeCell ref="I6:J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41"/>
  <sheetViews>
    <sheetView topLeftCell="A25" workbookViewId="0">
      <selection activeCell="E133" sqref="E133"/>
    </sheetView>
  </sheetViews>
  <sheetFormatPr defaultRowHeight="15" x14ac:dyDescent="0.25"/>
  <cols>
    <col min="1" max="1" width="9.140625" style="1"/>
    <col min="2" max="2" width="18.7109375" style="1" bestFit="1" customWidth="1"/>
    <col min="3" max="3" width="10.5703125" style="1" bestFit="1" customWidth="1"/>
    <col min="4" max="4" width="12.7109375" style="1" bestFit="1" customWidth="1"/>
    <col min="5" max="5" width="15.7109375" style="1" bestFit="1" customWidth="1"/>
    <col min="6" max="6" width="15.85546875" style="1" customWidth="1"/>
    <col min="7" max="11" width="9.140625" style="1"/>
    <col min="12" max="12" width="13.5703125" style="1" bestFit="1" customWidth="1"/>
    <col min="13" max="13" width="11.28515625" style="1" customWidth="1"/>
    <col min="14" max="14" width="14.42578125" style="1" bestFit="1" customWidth="1"/>
    <col min="15" max="15" width="15.140625" style="1" bestFit="1" customWidth="1"/>
    <col min="16" max="16384" width="9.140625" style="1"/>
  </cols>
  <sheetData>
    <row r="1" spans="2:10" ht="18.75" x14ac:dyDescent="0.3">
      <c r="B1" s="162" t="s">
        <v>0</v>
      </c>
      <c r="C1" s="162"/>
      <c r="D1" s="162"/>
      <c r="E1" s="162"/>
      <c r="F1" s="162"/>
      <c r="G1" s="17"/>
      <c r="H1" s="17"/>
      <c r="I1" s="17"/>
      <c r="J1" s="17"/>
    </row>
    <row r="2" spans="2:10" ht="18.75" x14ac:dyDescent="0.3">
      <c r="B2" s="162" t="s">
        <v>1</v>
      </c>
      <c r="C2" s="162"/>
      <c r="D2" s="162"/>
      <c r="E2" s="162"/>
      <c r="F2" s="162"/>
      <c r="G2" s="17"/>
      <c r="H2" s="17"/>
      <c r="I2" s="17"/>
      <c r="J2" s="17"/>
    </row>
    <row r="3" spans="2:10" ht="18.75" x14ac:dyDescent="0.3">
      <c r="B3" s="163" t="s">
        <v>2</v>
      </c>
      <c r="C3" s="163"/>
      <c r="D3" s="163"/>
      <c r="E3" s="163"/>
      <c r="F3" s="163"/>
      <c r="G3" s="17"/>
      <c r="H3" s="17"/>
      <c r="I3" s="17"/>
      <c r="J3" s="17"/>
    </row>
    <row r="4" spans="2:10" ht="18.75" x14ac:dyDescent="0.3">
      <c r="B4" s="162" t="s">
        <v>130</v>
      </c>
      <c r="C4" s="162"/>
      <c r="D4" s="162"/>
      <c r="E4" s="162"/>
      <c r="F4" s="162"/>
      <c r="G4" s="17"/>
      <c r="H4" s="17"/>
      <c r="I4" s="17"/>
      <c r="J4" s="17"/>
    </row>
    <row r="5" spans="2:10" ht="19.5" thickBot="1" x14ac:dyDescent="0.35">
      <c r="B5" s="164"/>
      <c r="C5" s="164"/>
      <c r="D5" s="164"/>
      <c r="E5" s="164"/>
      <c r="F5" s="164"/>
      <c r="G5" s="17"/>
      <c r="H5" s="17"/>
      <c r="I5" s="17"/>
      <c r="J5" s="17"/>
    </row>
    <row r="6" spans="2:10" ht="57" thickBot="1" x14ac:dyDescent="0.35">
      <c r="B6" s="18"/>
      <c r="C6" s="19" t="s">
        <v>3</v>
      </c>
      <c r="D6" s="20" t="s">
        <v>4</v>
      </c>
      <c r="E6" s="20" t="s">
        <v>5</v>
      </c>
      <c r="F6" s="20" t="s">
        <v>6</v>
      </c>
      <c r="G6" s="17"/>
      <c r="H6" s="17"/>
      <c r="I6" s="160" t="s">
        <v>7</v>
      </c>
      <c r="J6" s="161"/>
    </row>
    <row r="7" spans="2:10" ht="19.5" thickBot="1" x14ac:dyDescent="0.35">
      <c r="B7" s="21" t="s">
        <v>8</v>
      </c>
      <c r="C7" s="22"/>
      <c r="D7" s="22"/>
      <c r="E7" s="22"/>
      <c r="F7" s="23"/>
      <c r="G7" s="17"/>
      <c r="H7" s="17"/>
      <c r="I7" s="54" t="s">
        <v>9</v>
      </c>
      <c r="J7" s="54" t="s">
        <v>10</v>
      </c>
    </row>
    <row r="8" spans="2:10" ht="18.75" x14ac:dyDescent="0.3">
      <c r="B8" s="24" t="s">
        <v>11</v>
      </c>
      <c r="C8" s="15">
        <v>7486</v>
      </c>
      <c r="D8" s="13">
        <v>16710</v>
      </c>
      <c r="E8" s="14">
        <v>1885176</v>
      </c>
      <c r="F8" s="25">
        <f>E8/C8</f>
        <v>251.82687683676195</v>
      </c>
      <c r="G8" s="17"/>
      <c r="H8" s="17"/>
      <c r="I8" s="55"/>
      <c r="J8" s="55"/>
    </row>
    <row r="9" spans="2:10" ht="18.75" x14ac:dyDescent="0.3">
      <c r="B9" s="26" t="s">
        <v>12</v>
      </c>
      <c r="C9" s="3">
        <v>5783</v>
      </c>
      <c r="D9" s="13">
        <v>11918</v>
      </c>
      <c r="E9" s="13">
        <v>1385340</v>
      </c>
      <c r="F9" s="25">
        <f t="shared" ref="F9:F16" si="0">E9/C9</f>
        <v>239.5538647760678</v>
      </c>
      <c r="G9" s="17"/>
      <c r="H9" s="17"/>
      <c r="I9" s="55"/>
      <c r="J9" s="55"/>
    </row>
    <row r="10" spans="2:10" ht="18.75" x14ac:dyDescent="0.3">
      <c r="B10" s="26" t="s">
        <v>13</v>
      </c>
      <c r="C10" s="3">
        <v>6303</v>
      </c>
      <c r="D10" s="13">
        <v>12521</v>
      </c>
      <c r="E10" s="3">
        <v>1465622</v>
      </c>
      <c r="F10" s="25">
        <f t="shared" si="0"/>
        <v>232.52768522925592</v>
      </c>
      <c r="G10" s="17"/>
      <c r="H10" s="17"/>
      <c r="I10" s="55"/>
      <c r="J10" s="55"/>
    </row>
    <row r="11" spans="2:10" ht="18.75" x14ac:dyDescent="0.3">
      <c r="B11" s="26" t="s">
        <v>14</v>
      </c>
      <c r="C11" s="3">
        <v>8080</v>
      </c>
      <c r="D11" s="13">
        <v>17037</v>
      </c>
      <c r="E11" s="3">
        <v>1943192</v>
      </c>
      <c r="F11" s="25">
        <f t="shared" si="0"/>
        <v>240.49405940594059</v>
      </c>
      <c r="G11" s="17"/>
      <c r="H11" s="17"/>
      <c r="I11" s="55"/>
      <c r="J11" s="55"/>
    </row>
    <row r="12" spans="2:10" ht="18.75" x14ac:dyDescent="0.3">
      <c r="B12" s="26" t="s">
        <v>15</v>
      </c>
      <c r="C12" s="3">
        <v>2012</v>
      </c>
      <c r="D12" s="13">
        <v>4502</v>
      </c>
      <c r="E12" s="3">
        <v>512838</v>
      </c>
      <c r="F12" s="25">
        <f t="shared" si="0"/>
        <v>254.889662027833</v>
      </c>
      <c r="G12" s="17"/>
      <c r="H12" s="17"/>
      <c r="I12" s="55"/>
      <c r="J12" s="55"/>
    </row>
    <row r="13" spans="2:10" ht="18.75" x14ac:dyDescent="0.3">
      <c r="B13" s="26" t="s">
        <v>16</v>
      </c>
      <c r="C13" s="3">
        <v>8554</v>
      </c>
      <c r="D13" s="13">
        <v>18789</v>
      </c>
      <c r="E13" s="3">
        <v>2151816</v>
      </c>
      <c r="F13" s="25">
        <f t="shared" si="0"/>
        <v>251.55669862052841</v>
      </c>
      <c r="G13" s="17"/>
      <c r="H13" s="17"/>
      <c r="I13" s="55"/>
      <c r="J13" s="55"/>
    </row>
    <row r="14" spans="2:10" ht="18.75" x14ac:dyDescent="0.3">
      <c r="B14" s="26" t="s">
        <v>17</v>
      </c>
      <c r="C14" s="3">
        <v>3097</v>
      </c>
      <c r="D14" s="13">
        <v>6161</v>
      </c>
      <c r="E14" s="3">
        <v>711108</v>
      </c>
      <c r="F14" s="25">
        <f t="shared" si="0"/>
        <v>229.61188246690347</v>
      </c>
      <c r="G14" s="17"/>
      <c r="H14" s="17"/>
      <c r="I14" s="55"/>
      <c r="J14" s="55"/>
    </row>
    <row r="15" spans="2:10" ht="19.5" thickBot="1" x14ac:dyDescent="0.35">
      <c r="B15" s="28" t="s">
        <v>18</v>
      </c>
      <c r="C15" s="4">
        <v>9812</v>
      </c>
      <c r="D15" s="13">
        <v>19942</v>
      </c>
      <c r="E15" s="11">
        <v>2322965</v>
      </c>
      <c r="F15" s="25">
        <f t="shared" si="0"/>
        <v>236.74735018344884</v>
      </c>
      <c r="G15" s="17"/>
      <c r="H15" s="17"/>
      <c r="I15" s="55"/>
      <c r="J15" s="55"/>
    </row>
    <row r="16" spans="2:10" ht="19.5" thickBot="1" x14ac:dyDescent="0.35">
      <c r="B16" s="29" t="s">
        <v>19</v>
      </c>
      <c r="C16" s="30">
        <f>SUM(C8:C15)</f>
        <v>51127</v>
      </c>
      <c r="D16" s="30">
        <f t="shared" ref="D16:E16" si="1">SUM(D8:D15)</f>
        <v>107580</v>
      </c>
      <c r="E16" s="30">
        <f t="shared" si="1"/>
        <v>12378057</v>
      </c>
      <c r="F16" s="31">
        <f t="shared" si="0"/>
        <v>242.10411328652179</v>
      </c>
      <c r="G16" s="17"/>
      <c r="H16" s="17"/>
      <c r="I16" s="55"/>
      <c r="J16" s="55"/>
    </row>
    <row r="17" spans="2:17" ht="19.5" thickBot="1" x14ac:dyDescent="0.35">
      <c r="B17" s="32"/>
      <c r="C17" s="33"/>
      <c r="D17" s="33"/>
      <c r="E17" s="33"/>
      <c r="F17" s="33"/>
      <c r="G17" s="2"/>
      <c r="H17" s="2"/>
      <c r="I17" s="55"/>
      <c r="J17" s="55"/>
      <c r="K17" s="2"/>
      <c r="L17" s="2"/>
      <c r="M17" s="2"/>
      <c r="N17" s="2"/>
      <c r="O17" s="2"/>
      <c r="P17" s="2"/>
      <c r="Q17" s="2"/>
    </row>
    <row r="18" spans="2:17" ht="19.5" thickBot="1" x14ac:dyDescent="0.35">
      <c r="B18" s="34" t="s">
        <v>20</v>
      </c>
      <c r="C18" s="35"/>
      <c r="D18" s="35"/>
      <c r="E18" s="35"/>
      <c r="F18" s="36"/>
      <c r="G18" s="2"/>
      <c r="H18" s="2"/>
      <c r="I18" s="55"/>
      <c r="J18" s="55"/>
      <c r="K18" s="2"/>
      <c r="L18" s="2"/>
      <c r="M18" s="2"/>
      <c r="N18" s="2"/>
      <c r="O18" s="2"/>
      <c r="P18" s="2"/>
      <c r="Q18" s="2"/>
    </row>
    <row r="19" spans="2:17" ht="18.75" x14ac:dyDescent="0.3">
      <c r="B19" s="37" t="s">
        <v>21</v>
      </c>
      <c r="C19" s="3">
        <v>14489</v>
      </c>
      <c r="D19" s="3">
        <v>28567</v>
      </c>
      <c r="E19" s="6">
        <v>3340065</v>
      </c>
      <c r="F19" s="27">
        <f t="shared" ref="F19:F32" si="2">E19/C19</f>
        <v>230.52419076540824</v>
      </c>
      <c r="G19" s="38"/>
      <c r="H19" s="38"/>
      <c r="I19" s="55"/>
      <c r="J19" s="55"/>
      <c r="K19" s="38"/>
      <c r="L19" s="38"/>
      <c r="M19" s="38"/>
      <c r="N19" s="38"/>
      <c r="O19" s="38"/>
      <c r="P19" s="38"/>
      <c r="Q19" s="38"/>
    </row>
    <row r="20" spans="2:17" ht="18.75" x14ac:dyDescent="0.3">
      <c r="B20" s="59" t="s">
        <v>22</v>
      </c>
      <c r="C20" s="3">
        <v>6914</v>
      </c>
      <c r="D20" s="3">
        <v>13003</v>
      </c>
      <c r="E20" s="3">
        <v>1526221</v>
      </c>
      <c r="F20" s="27">
        <f t="shared" si="2"/>
        <v>220.74356378362742</v>
      </c>
      <c r="G20" s="38"/>
      <c r="H20" s="38"/>
      <c r="I20" s="55"/>
      <c r="J20" s="55"/>
      <c r="K20" s="38"/>
      <c r="L20" s="38"/>
      <c r="M20" s="38"/>
      <c r="N20" s="38"/>
      <c r="O20" s="38"/>
      <c r="P20" s="38"/>
      <c r="Q20" s="38"/>
    </row>
    <row r="21" spans="2:17" ht="18.75" x14ac:dyDescent="0.3">
      <c r="B21" s="58" t="s">
        <v>23</v>
      </c>
      <c r="C21" s="9">
        <v>5951</v>
      </c>
      <c r="D21" s="3">
        <v>12069</v>
      </c>
      <c r="E21" s="9">
        <v>1391090</v>
      </c>
      <c r="F21" s="27">
        <f t="shared" si="2"/>
        <v>233.75735170559571</v>
      </c>
      <c r="G21" s="2"/>
      <c r="H21" s="2"/>
      <c r="I21" s="55"/>
      <c r="J21" s="55"/>
      <c r="K21" s="2"/>
      <c r="L21" s="2"/>
      <c r="M21" s="2"/>
      <c r="N21" s="2"/>
      <c r="O21" s="2"/>
      <c r="P21" s="2"/>
      <c r="Q21" s="2"/>
    </row>
    <row r="22" spans="2:17" ht="18.75" x14ac:dyDescent="0.3">
      <c r="B22" s="26" t="s">
        <v>24</v>
      </c>
      <c r="C22" s="9">
        <v>7629</v>
      </c>
      <c r="D22" s="3">
        <v>15797</v>
      </c>
      <c r="E22" s="9">
        <v>1804883</v>
      </c>
      <c r="F22" s="27">
        <f t="shared" si="2"/>
        <v>236.58185869707694</v>
      </c>
      <c r="G22" s="2"/>
      <c r="H22" s="2"/>
      <c r="I22" s="55"/>
      <c r="J22" s="55"/>
      <c r="K22" s="2"/>
      <c r="L22" s="2"/>
      <c r="M22" s="2"/>
      <c r="N22" s="2"/>
      <c r="O22" s="2"/>
      <c r="P22" s="2"/>
      <c r="Q22" s="2"/>
    </row>
    <row r="23" spans="2:17" ht="18.75" x14ac:dyDescent="0.3">
      <c r="B23" s="26" t="s">
        <v>25</v>
      </c>
      <c r="C23" s="9">
        <v>4757</v>
      </c>
      <c r="D23" s="3">
        <v>10413</v>
      </c>
      <c r="E23" s="9">
        <v>1184002</v>
      </c>
      <c r="F23" s="27">
        <f t="shared" si="2"/>
        <v>248.89678368719782</v>
      </c>
      <c r="G23" s="2"/>
      <c r="H23" s="2"/>
      <c r="I23" s="55"/>
      <c r="J23" s="55"/>
      <c r="K23" s="2"/>
      <c r="L23" s="2"/>
      <c r="M23" s="2"/>
      <c r="N23" s="2"/>
      <c r="O23" s="2"/>
      <c r="P23" s="2"/>
      <c r="Q23" s="2"/>
    </row>
    <row r="24" spans="2:17" ht="18.75" x14ac:dyDescent="0.3">
      <c r="B24" s="26" t="s">
        <v>26</v>
      </c>
      <c r="C24" s="9">
        <v>3194</v>
      </c>
      <c r="D24" s="3">
        <v>6865</v>
      </c>
      <c r="E24" s="9">
        <v>789447</v>
      </c>
      <c r="F24" s="27">
        <f t="shared" si="2"/>
        <v>247.16562304320601</v>
      </c>
      <c r="G24" s="2"/>
      <c r="H24" s="2"/>
      <c r="I24" s="55"/>
      <c r="J24" s="55"/>
      <c r="K24" s="2"/>
      <c r="L24" s="2"/>
      <c r="M24" s="2"/>
      <c r="N24" s="2"/>
      <c r="O24" s="2"/>
      <c r="P24" s="2"/>
      <c r="Q24" s="2"/>
    </row>
    <row r="25" spans="2:17" ht="18.75" x14ac:dyDescent="0.3">
      <c r="B25" s="26" t="s">
        <v>27</v>
      </c>
      <c r="C25" s="9">
        <v>8338</v>
      </c>
      <c r="D25" s="3">
        <v>17291</v>
      </c>
      <c r="E25" s="9">
        <v>1993721</v>
      </c>
      <c r="F25" s="27">
        <f t="shared" si="2"/>
        <v>239.11261693451667</v>
      </c>
      <c r="G25" s="2"/>
      <c r="H25" s="2"/>
      <c r="I25" s="55"/>
      <c r="J25" s="55"/>
      <c r="K25" s="2"/>
      <c r="L25" s="2"/>
      <c r="M25" s="2"/>
      <c r="N25" s="2"/>
      <c r="O25" s="2"/>
      <c r="P25" s="2"/>
      <c r="Q25" s="2"/>
    </row>
    <row r="26" spans="2:17" ht="18.75" x14ac:dyDescent="0.3">
      <c r="B26" s="26" t="s">
        <v>28</v>
      </c>
      <c r="C26" s="9">
        <v>7346</v>
      </c>
      <c r="D26" s="3">
        <v>15976</v>
      </c>
      <c r="E26" s="9">
        <v>1836122</v>
      </c>
      <c r="F26" s="27">
        <f t="shared" si="2"/>
        <v>249.9485434249932</v>
      </c>
      <c r="G26" s="2"/>
      <c r="H26" s="2"/>
      <c r="I26" s="55"/>
      <c r="J26" s="55"/>
      <c r="K26" s="2"/>
      <c r="L26" s="2"/>
      <c r="M26" s="2"/>
      <c r="N26" s="2"/>
      <c r="O26" s="2"/>
      <c r="P26" s="2"/>
      <c r="Q26" s="2"/>
    </row>
    <row r="27" spans="2:17" ht="18.75" x14ac:dyDescent="0.3">
      <c r="B27" s="26" t="s">
        <v>29</v>
      </c>
      <c r="C27" s="9">
        <v>9621</v>
      </c>
      <c r="D27" s="3">
        <v>19452</v>
      </c>
      <c r="E27" s="9">
        <v>2242565</v>
      </c>
      <c r="F27" s="27">
        <f t="shared" si="2"/>
        <v>233.09063506911963</v>
      </c>
      <c r="G27" s="2"/>
      <c r="H27" s="2"/>
      <c r="I27" s="55"/>
      <c r="J27" s="55"/>
      <c r="K27" s="2"/>
      <c r="L27" s="2"/>
      <c r="M27" s="2"/>
      <c r="N27" s="2"/>
      <c r="O27" s="2"/>
      <c r="P27" s="2"/>
      <c r="Q27" s="2"/>
    </row>
    <row r="28" spans="2:17" ht="18.75" x14ac:dyDescent="0.3">
      <c r="B28" s="26" t="s">
        <v>30</v>
      </c>
      <c r="C28" s="9">
        <v>6512</v>
      </c>
      <c r="D28" s="3">
        <v>15045</v>
      </c>
      <c r="E28" s="9">
        <v>1693369</v>
      </c>
      <c r="F28" s="27">
        <f t="shared" si="2"/>
        <v>260.03823710073709</v>
      </c>
      <c r="G28" s="2"/>
      <c r="H28" s="2"/>
      <c r="I28" s="55"/>
      <c r="J28" s="55"/>
      <c r="K28" s="2"/>
      <c r="L28" s="2"/>
      <c r="M28" s="2"/>
      <c r="N28" s="2"/>
      <c r="O28" s="2"/>
      <c r="P28" s="2"/>
      <c r="Q28" s="2"/>
    </row>
    <row r="29" spans="2:17" ht="18.75" x14ac:dyDescent="0.3">
      <c r="B29" s="26" t="s">
        <v>31</v>
      </c>
      <c r="C29" s="9">
        <v>5578</v>
      </c>
      <c r="D29" s="3">
        <v>12062</v>
      </c>
      <c r="E29" s="9">
        <v>1372413</v>
      </c>
      <c r="F29" s="27">
        <f t="shared" si="2"/>
        <v>246.04033703836501</v>
      </c>
      <c r="G29" s="2"/>
      <c r="H29" s="2"/>
      <c r="I29" s="55"/>
      <c r="J29" s="55"/>
      <c r="K29" s="2"/>
      <c r="L29" s="2"/>
      <c r="M29" s="2"/>
      <c r="N29" s="2"/>
      <c r="O29" s="2"/>
      <c r="P29" s="2"/>
      <c r="Q29" s="2"/>
    </row>
    <row r="30" spans="2:17" ht="18.75" x14ac:dyDescent="0.3">
      <c r="B30" s="39" t="s">
        <v>32</v>
      </c>
      <c r="C30" s="8">
        <v>5468</v>
      </c>
      <c r="D30" s="13">
        <v>12139</v>
      </c>
      <c r="E30" s="8">
        <v>1400148</v>
      </c>
      <c r="F30" s="27">
        <f t="shared" si="2"/>
        <v>256.06217995610825</v>
      </c>
      <c r="G30" s="2"/>
      <c r="H30" s="2"/>
      <c r="I30" s="55"/>
      <c r="J30" s="55"/>
      <c r="K30" s="2"/>
      <c r="L30" s="2"/>
      <c r="M30" s="2"/>
      <c r="N30" s="2"/>
      <c r="O30" s="2"/>
      <c r="P30" s="2"/>
      <c r="Q30" s="2"/>
    </row>
    <row r="31" spans="2:17" ht="19.5" thickBot="1" x14ac:dyDescent="0.35">
      <c r="B31" s="39" t="s">
        <v>33</v>
      </c>
      <c r="C31" s="56">
        <v>1924</v>
      </c>
      <c r="D31" s="5">
        <v>4140</v>
      </c>
      <c r="E31" s="57">
        <v>478352</v>
      </c>
      <c r="F31" s="27">
        <f t="shared" si="2"/>
        <v>248.62370062370061</v>
      </c>
      <c r="G31" s="2"/>
      <c r="H31" s="2"/>
      <c r="I31" s="55"/>
      <c r="J31" s="55"/>
      <c r="K31" s="2"/>
      <c r="L31" s="2"/>
      <c r="M31" s="2"/>
      <c r="N31" s="2"/>
      <c r="O31" s="2"/>
      <c r="P31" s="2"/>
      <c r="Q31" s="2"/>
    </row>
    <row r="32" spans="2:17" ht="19.5" thickBot="1" x14ac:dyDescent="0.35">
      <c r="B32" s="29" t="s">
        <v>34</v>
      </c>
      <c r="C32" s="40">
        <f>SUM(C19:C31)</f>
        <v>87721</v>
      </c>
      <c r="D32" s="40">
        <f t="shared" ref="D32:E32" si="3">SUM(D19:D31)</f>
        <v>182819</v>
      </c>
      <c r="E32" s="40">
        <f t="shared" si="3"/>
        <v>21052398</v>
      </c>
      <c r="F32" s="31">
        <f t="shared" si="2"/>
        <v>239.99268134198198</v>
      </c>
      <c r="G32" s="2"/>
      <c r="H32" s="2"/>
      <c r="I32" s="55"/>
      <c r="J32" s="55"/>
      <c r="K32" s="2"/>
      <c r="L32" s="2"/>
      <c r="M32" s="2"/>
      <c r="N32" s="2"/>
      <c r="O32" s="2"/>
      <c r="P32" s="2"/>
      <c r="Q32" s="2"/>
    </row>
    <row r="33" spans="2:10" ht="19.5" thickBot="1" x14ac:dyDescent="0.35">
      <c r="B33" s="32"/>
      <c r="C33" s="41"/>
      <c r="D33" s="41"/>
      <c r="E33" s="41"/>
      <c r="F33" s="33"/>
      <c r="G33" s="17"/>
      <c r="H33" s="17"/>
      <c r="I33" s="55"/>
      <c r="J33" s="55"/>
    </row>
    <row r="34" spans="2:10" ht="19.5" thickBot="1" x14ac:dyDescent="0.35">
      <c r="B34" s="21" t="s">
        <v>35</v>
      </c>
      <c r="C34" s="42"/>
      <c r="D34" s="42"/>
      <c r="E34" s="42"/>
      <c r="F34" s="43"/>
      <c r="G34" s="17"/>
      <c r="H34" s="17"/>
      <c r="I34" s="55"/>
      <c r="J34" s="55"/>
    </row>
    <row r="35" spans="2:10" ht="18.75" x14ac:dyDescent="0.3">
      <c r="B35" s="24" t="s">
        <v>36</v>
      </c>
      <c r="C35" s="16">
        <v>8632</v>
      </c>
      <c r="D35" s="7">
        <v>18318</v>
      </c>
      <c r="E35" s="8">
        <v>2101606</v>
      </c>
      <c r="F35" s="27">
        <f t="shared" ref="F35:F48" si="4">E35/C35</f>
        <v>243.46686746987953</v>
      </c>
      <c r="G35" s="17"/>
      <c r="H35" s="17"/>
      <c r="I35" s="55"/>
      <c r="J35" s="55"/>
    </row>
    <row r="36" spans="2:10" ht="18.75" x14ac:dyDescent="0.3">
      <c r="B36" s="26" t="s">
        <v>37</v>
      </c>
      <c r="C36" s="9">
        <v>8708</v>
      </c>
      <c r="D36" s="7">
        <v>17583</v>
      </c>
      <c r="E36" s="9">
        <v>2018663</v>
      </c>
      <c r="F36" s="27">
        <f t="shared" si="4"/>
        <v>231.81706476802941</v>
      </c>
      <c r="G36" s="17"/>
      <c r="H36" s="17"/>
      <c r="I36" s="55"/>
      <c r="J36" s="55"/>
    </row>
    <row r="37" spans="2:10" ht="18.75" x14ac:dyDescent="0.3">
      <c r="B37" s="26" t="s">
        <v>38</v>
      </c>
      <c r="C37" s="9">
        <v>10005</v>
      </c>
      <c r="D37" s="7">
        <v>20834</v>
      </c>
      <c r="E37" s="9">
        <v>2369367</v>
      </c>
      <c r="F37" s="27">
        <f t="shared" si="4"/>
        <v>236.81829085457272</v>
      </c>
      <c r="G37" s="17"/>
      <c r="H37" s="17"/>
      <c r="I37" s="55"/>
      <c r="J37" s="55"/>
    </row>
    <row r="38" spans="2:10" ht="18.75" x14ac:dyDescent="0.3">
      <c r="B38" s="26" t="s">
        <v>39</v>
      </c>
      <c r="C38" s="9">
        <v>5024</v>
      </c>
      <c r="D38" s="7">
        <v>10680</v>
      </c>
      <c r="E38" s="9">
        <v>1242397</v>
      </c>
      <c r="F38" s="27">
        <f t="shared" si="4"/>
        <v>247.29239649681529</v>
      </c>
      <c r="G38" s="17"/>
      <c r="H38" s="17"/>
      <c r="I38" s="55"/>
      <c r="J38" s="55"/>
    </row>
    <row r="39" spans="2:10" ht="18.75" x14ac:dyDescent="0.3">
      <c r="B39" s="26" t="s">
        <v>40</v>
      </c>
      <c r="C39" s="9">
        <v>7826</v>
      </c>
      <c r="D39" s="7">
        <v>17115</v>
      </c>
      <c r="E39" s="9">
        <v>1954580</v>
      </c>
      <c r="F39" s="27">
        <f t="shared" si="4"/>
        <v>249.75466394071046</v>
      </c>
      <c r="G39" s="17"/>
      <c r="H39" s="17"/>
      <c r="I39" s="55"/>
      <c r="J39" s="55"/>
    </row>
    <row r="40" spans="2:10" ht="18.75" x14ac:dyDescent="0.3">
      <c r="B40" s="26" t="s">
        <v>41</v>
      </c>
      <c r="C40" s="9">
        <v>5667</v>
      </c>
      <c r="D40" s="7">
        <v>11753</v>
      </c>
      <c r="E40" s="9">
        <v>1332255</v>
      </c>
      <c r="F40" s="27">
        <f t="shared" si="4"/>
        <v>235.08999470619375</v>
      </c>
      <c r="G40" s="17"/>
      <c r="H40" s="17"/>
      <c r="I40" s="55"/>
      <c r="J40" s="55"/>
    </row>
    <row r="41" spans="2:10" ht="18.75" x14ac:dyDescent="0.3">
      <c r="B41" s="26" t="s">
        <v>42</v>
      </c>
      <c r="C41" s="9">
        <v>6884</v>
      </c>
      <c r="D41" s="7">
        <v>15093</v>
      </c>
      <c r="E41" s="9">
        <v>1702488</v>
      </c>
      <c r="F41" s="27">
        <f t="shared" si="4"/>
        <v>247.31086577571179</v>
      </c>
      <c r="G41" s="17"/>
      <c r="H41" s="17"/>
      <c r="I41" s="55"/>
      <c r="J41" s="55"/>
    </row>
    <row r="42" spans="2:10" ht="18.75" x14ac:dyDescent="0.3">
      <c r="B42" s="26" t="s">
        <v>43</v>
      </c>
      <c r="C42" s="9">
        <v>9945</v>
      </c>
      <c r="D42" s="7">
        <v>22091</v>
      </c>
      <c r="E42" s="9">
        <v>2508948</v>
      </c>
      <c r="F42" s="27">
        <f t="shared" si="4"/>
        <v>252.28235294117647</v>
      </c>
      <c r="G42" s="17"/>
      <c r="H42" s="17"/>
      <c r="I42" s="55"/>
      <c r="J42" s="55"/>
    </row>
    <row r="43" spans="2:10" ht="18.75" x14ac:dyDescent="0.3">
      <c r="B43" s="26" t="s">
        <v>44</v>
      </c>
      <c r="C43" s="9">
        <v>6688</v>
      </c>
      <c r="D43" s="7">
        <v>14321</v>
      </c>
      <c r="E43" s="9">
        <v>1629947</v>
      </c>
      <c r="F43" s="27">
        <f t="shared" si="4"/>
        <v>243.71217105263159</v>
      </c>
      <c r="G43" s="17"/>
      <c r="H43" s="17"/>
      <c r="I43" s="55"/>
      <c r="J43" s="55"/>
    </row>
    <row r="44" spans="2:10" ht="18.75" x14ac:dyDescent="0.3">
      <c r="B44" s="26" t="s">
        <v>45</v>
      </c>
      <c r="C44" s="9">
        <v>5403</v>
      </c>
      <c r="D44" s="7">
        <v>11137</v>
      </c>
      <c r="E44" s="9">
        <v>1252025</v>
      </c>
      <c r="F44" s="27">
        <f t="shared" si="4"/>
        <v>231.72774384601146</v>
      </c>
      <c r="G44" s="17"/>
      <c r="H44" s="17"/>
      <c r="I44" s="55"/>
      <c r="J44" s="55"/>
    </row>
    <row r="45" spans="2:10" ht="18.75" x14ac:dyDescent="0.3">
      <c r="B45" s="26" t="s">
        <v>46</v>
      </c>
      <c r="C45" s="9">
        <v>7210</v>
      </c>
      <c r="D45" s="7">
        <v>15645</v>
      </c>
      <c r="E45" s="9">
        <v>1787477</v>
      </c>
      <c r="F45" s="27">
        <f t="shared" si="4"/>
        <v>247.91636615811373</v>
      </c>
      <c r="G45" s="17"/>
      <c r="H45" s="17"/>
      <c r="I45" s="55"/>
      <c r="J45" s="55"/>
    </row>
    <row r="46" spans="2:10" ht="18.75" x14ac:dyDescent="0.3">
      <c r="B46" s="39" t="s">
        <v>47</v>
      </c>
      <c r="C46" s="9">
        <v>6567</v>
      </c>
      <c r="D46" s="7">
        <v>13749</v>
      </c>
      <c r="E46" s="12">
        <v>1584333</v>
      </c>
      <c r="F46" s="27">
        <f t="shared" si="4"/>
        <v>241.25673823663774</v>
      </c>
      <c r="G46" s="17"/>
      <c r="H46" s="17"/>
      <c r="I46" s="55"/>
      <c r="J46" s="55"/>
    </row>
    <row r="47" spans="2:10" ht="19.5" thickBot="1" x14ac:dyDescent="0.35">
      <c r="B47" s="39" t="s">
        <v>48</v>
      </c>
      <c r="C47" s="56">
        <v>4968</v>
      </c>
      <c r="D47" s="7">
        <v>10324</v>
      </c>
      <c r="E47" s="12">
        <v>1178500</v>
      </c>
      <c r="F47" s="27">
        <f t="shared" si="4"/>
        <v>237.21819645732688</v>
      </c>
      <c r="G47" s="17"/>
      <c r="H47" s="17"/>
      <c r="I47" s="55"/>
      <c r="J47" s="55"/>
    </row>
    <row r="48" spans="2:10" ht="19.5" thickBot="1" x14ac:dyDescent="0.35">
      <c r="B48" s="29" t="s">
        <v>49</v>
      </c>
      <c r="C48" s="40">
        <f>SUM(C35:C47)</f>
        <v>93527</v>
      </c>
      <c r="D48" s="40">
        <f t="shared" ref="D48:E48" si="5">SUM(D35:D47)</f>
        <v>198643</v>
      </c>
      <c r="E48" s="40">
        <f t="shared" si="5"/>
        <v>22662586</v>
      </c>
      <c r="F48" s="31">
        <f t="shared" si="4"/>
        <v>242.31062687779999</v>
      </c>
      <c r="G48" s="17"/>
      <c r="H48" s="17"/>
      <c r="I48" s="55"/>
      <c r="J48" s="55"/>
    </row>
    <row r="49" spans="2:10" ht="19.5" thickBot="1" x14ac:dyDescent="0.35">
      <c r="B49" s="44"/>
      <c r="C49" s="45"/>
      <c r="D49" s="45"/>
      <c r="E49" s="45"/>
      <c r="F49" s="46"/>
      <c r="G49" s="17"/>
      <c r="H49" s="17"/>
      <c r="I49" s="55"/>
      <c r="J49" s="55"/>
    </row>
    <row r="50" spans="2:10" ht="19.5" thickBot="1" x14ac:dyDescent="0.35">
      <c r="B50" s="21" t="s">
        <v>50</v>
      </c>
      <c r="C50" s="42"/>
      <c r="D50" s="42"/>
      <c r="E50" s="42"/>
      <c r="F50" s="43"/>
      <c r="G50" s="17"/>
      <c r="H50" s="17"/>
      <c r="I50" s="55"/>
      <c r="J50" s="55"/>
    </row>
    <row r="51" spans="2:10" ht="18.75" x14ac:dyDescent="0.3">
      <c r="B51" s="24" t="s">
        <v>51</v>
      </c>
      <c r="C51" s="16">
        <v>5243</v>
      </c>
      <c r="D51" s="7">
        <v>11058</v>
      </c>
      <c r="E51" s="8">
        <v>1268876</v>
      </c>
      <c r="F51" s="27">
        <f t="shared" ref="F51:F58" si="6">E51/C51</f>
        <v>242.01335113484646</v>
      </c>
      <c r="G51" s="17"/>
      <c r="H51" s="17"/>
      <c r="I51" s="55"/>
      <c r="J51" s="55"/>
    </row>
    <row r="52" spans="2:10" ht="18.75" x14ac:dyDescent="0.3">
      <c r="B52" s="26" t="s">
        <v>52</v>
      </c>
      <c r="C52" s="9">
        <v>7816</v>
      </c>
      <c r="D52" s="7">
        <v>17463</v>
      </c>
      <c r="E52" s="9">
        <v>2008038</v>
      </c>
      <c r="F52" s="27">
        <f t="shared" si="6"/>
        <v>256.91376663254863</v>
      </c>
      <c r="G52" s="17"/>
      <c r="H52" s="17"/>
      <c r="I52" s="55"/>
      <c r="J52" s="55"/>
    </row>
    <row r="53" spans="2:10" ht="18.75" x14ac:dyDescent="0.3">
      <c r="B53" s="26" t="s">
        <v>53</v>
      </c>
      <c r="C53" s="9">
        <v>21303</v>
      </c>
      <c r="D53" s="7">
        <v>43324</v>
      </c>
      <c r="E53" s="9">
        <v>4936365</v>
      </c>
      <c r="F53" s="27">
        <f t="shared" si="6"/>
        <v>231.72158850866074</v>
      </c>
      <c r="G53" s="17"/>
      <c r="H53" s="17"/>
      <c r="I53" s="55"/>
      <c r="J53" s="55"/>
    </row>
    <row r="54" spans="2:10" ht="18.75" x14ac:dyDescent="0.3">
      <c r="B54" s="26" t="s">
        <v>54</v>
      </c>
      <c r="C54" s="9">
        <v>6908</v>
      </c>
      <c r="D54" s="7">
        <v>14868</v>
      </c>
      <c r="E54" s="9">
        <v>1674315</v>
      </c>
      <c r="F54" s="27">
        <f t="shared" si="6"/>
        <v>242.37333526346265</v>
      </c>
      <c r="G54" s="17"/>
      <c r="H54" s="17"/>
      <c r="I54" s="55"/>
      <c r="J54" s="55"/>
    </row>
    <row r="55" spans="2:10" ht="18.75" x14ac:dyDescent="0.3">
      <c r="B55" s="26" t="s">
        <v>55</v>
      </c>
      <c r="C55" s="9">
        <v>5356</v>
      </c>
      <c r="D55" s="7">
        <v>10959</v>
      </c>
      <c r="E55" s="9">
        <v>1277561</v>
      </c>
      <c r="F55" s="27">
        <f t="shared" si="6"/>
        <v>238.52893950709483</v>
      </c>
      <c r="G55" s="17"/>
      <c r="H55" s="17"/>
      <c r="I55" s="55"/>
      <c r="J55" s="55"/>
    </row>
    <row r="56" spans="2:10" ht="18.75" x14ac:dyDescent="0.3">
      <c r="B56" s="26" t="s">
        <v>56</v>
      </c>
      <c r="C56" s="9">
        <v>5473</v>
      </c>
      <c r="D56" s="7">
        <v>11304</v>
      </c>
      <c r="E56" s="9">
        <v>1282984</v>
      </c>
      <c r="F56" s="27">
        <f t="shared" si="6"/>
        <v>234.42061026859128</v>
      </c>
      <c r="G56" s="17"/>
      <c r="H56" s="17"/>
      <c r="I56" s="55"/>
      <c r="J56" s="55"/>
    </row>
    <row r="57" spans="2:10" ht="19.5" thickBot="1" x14ac:dyDescent="0.35">
      <c r="B57" s="26" t="s">
        <v>57</v>
      </c>
      <c r="C57" s="10">
        <v>7634</v>
      </c>
      <c r="D57" s="7">
        <v>15598</v>
      </c>
      <c r="E57" s="9">
        <v>1773307</v>
      </c>
      <c r="F57" s="27">
        <f t="shared" si="6"/>
        <v>232.2906733036416</v>
      </c>
      <c r="G57" s="17"/>
      <c r="H57" s="17"/>
      <c r="I57" s="55"/>
      <c r="J57" s="55"/>
    </row>
    <row r="58" spans="2:10" ht="19.5" thickBot="1" x14ac:dyDescent="0.35">
      <c r="B58" s="29" t="s">
        <v>49</v>
      </c>
      <c r="C58" s="40">
        <f>SUM(C51:C57)</f>
        <v>59733</v>
      </c>
      <c r="D58" s="40">
        <f t="shared" ref="D58:E58" si="7">SUM(D51:D57)</f>
        <v>124574</v>
      </c>
      <c r="E58" s="40">
        <f t="shared" si="7"/>
        <v>14221446</v>
      </c>
      <c r="F58" s="31">
        <f t="shared" si="6"/>
        <v>238.08357189493245</v>
      </c>
      <c r="G58" s="17"/>
      <c r="H58" s="17"/>
      <c r="I58" s="55"/>
      <c r="J58" s="55"/>
    </row>
    <row r="59" spans="2:10" ht="19.5" thickBot="1" x14ac:dyDescent="0.35">
      <c r="B59" s="44"/>
      <c r="C59" s="45"/>
      <c r="D59" s="45"/>
      <c r="E59" s="45"/>
      <c r="F59" s="46"/>
      <c r="G59" s="17"/>
      <c r="H59" s="17"/>
      <c r="I59" s="55"/>
      <c r="J59" s="55"/>
    </row>
    <row r="60" spans="2:10" ht="19.5" thickBot="1" x14ac:dyDescent="0.35">
      <c r="B60" s="21" t="s">
        <v>58</v>
      </c>
      <c r="C60" s="42"/>
      <c r="D60" s="42"/>
      <c r="E60" s="42"/>
      <c r="F60" s="43"/>
      <c r="G60" s="17"/>
      <c r="H60" s="17"/>
      <c r="I60" s="55"/>
      <c r="J60" s="55"/>
    </row>
    <row r="61" spans="2:10" ht="18.75" x14ac:dyDescent="0.3">
      <c r="B61" s="24" t="s">
        <v>59</v>
      </c>
      <c r="C61" s="16">
        <v>8654</v>
      </c>
      <c r="D61" s="7">
        <v>18499</v>
      </c>
      <c r="E61" s="8">
        <v>2104666</v>
      </c>
      <c r="F61" s="27">
        <f t="shared" ref="F61:F68" si="8">E61/C61</f>
        <v>243.20152530621678</v>
      </c>
      <c r="G61" s="17"/>
      <c r="H61" s="17"/>
      <c r="I61" s="55"/>
      <c r="J61" s="55"/>
    </row>
    <row r="62" spans="2:10" ht="18.75" x14ac:dyDescent="0.3">
      <c r="B62" s="26" t="s">
        <v>60</v>
      </c>
      <c r="C62" s="9">
        <v>9379</v>
      </c>
      <c r="D62" s="7">
        <v>19678</v>
      </c>
      <c r="E62" s="9">
        <v>2248555</v>
      </c>
      <c r="F62" s="27">
        <f t="shared" si="8"/>
        <v>239.74357607420833</v>
      </c>
      <c r="G62" s="17"/>
      <c r="H62" s="17"/>
      <c r="I62" s="55"/>
      <c r="J62" s="55"/>
    </row>
    <row r="63" spans="2:10" ht="18.75" x14ac:dyDescent="0.3">
      <c r="B63" s="26" t="s">
        <v>61</v>
      </c>
      <c r="C63" s="9">
        <v>11224</v>
      </c>
      <c r="D63" s="7">
        <v>22797</v>
      </c>
      <c r="E63" s="9">
        <v>2598214</v>
      </c>
      <c r="F63" s="27">
        <f t="shared" si="8"/>
        <v>231.48734853884534</v>
      </c>
      <c r="G63" s="17"/>
      <c r="H63" s="17"/>
      <c r="I63" s="55"/>
      <c r="J63" s="55"/>
    </row>
    <row r="64" spans="2:10" ht="18.75" x14ac:dyDescent="0.3">
      <c r="B64" s="26" t="s">
        <v>62</v>
      </c>
      <c r="C64" s="9">
        <v>5100</v>
      </c>
      <c r="D64" s="7">
        <v>11482</v>
      </c>
      <c r="E64" s="9">
        <v>1321043</v>
      </c>
      <c r="F64" s="27">
        <f t="shared" si="8"/>
        <v>259.02803921568625</v>
      </c>
      <c r="G64" s="17"/>
      <c r="H64" s="17"/>
      <c r="I64" s="55"/>
      <c r="J64" s="55"/>
    </row>
    <row r="65" spans="2:10" ht="18.75" x14ac:dyDescent="0.3">
      <c r="B65" s="26" t="s">
        <v>63</v>
      </c>
      <c r="C65" s="9">
        <v>3858</v>
      </c>
      <c r="D65" s="7">
        <v>8063</v>
      </c>
      <c r="E65" s="9">
        <v>915182</v>
      </c>
      <c r="F65" s="27">
        <f t="shared" si="8"/>
        <v>237.21669258683255</v>
      </c>
      <c r="G65" s="17"/>
      <c r="H65" s="17"/>
      <c r="I65" s="55"/>
      <c r="J65" s="55"/>
    </row>
    <row r="66" spans="2:10" ht="18.75" x14ac:dyDescent="0.3">
      <c r="B66" s="26" t="s">
        <v>64</v>
      </c>
      <c r="C66" s="9">
        <v>9675</v>
      </c>
      <c r="D66" s="7">
        <v>20426</v>
      </c>
      <c r="E66" s="9">
        <v>2316655</v>
      </c>
      <c r="F66" s="27">
        <f t="shared" si="8"/>
        <v>239.44754521963824</v>
      </c>
      <c r="G66" s="17"/>
      <c r="H66" s="17"/>
      <c r="I66" s="55"/>
      <c r="J66" s="55"/>
    </row>
    <row r="67" spans="2:10" ht="19.5" thickBot="1" x14ac:dyDescent="0.35">
      <c r="B67" s="26" t="s">
        <v>66</v>
      </c>
      <c r="C67" s="9">
        <v>9144</v>
      </c>
      <c r="D67" s="7">
        <v>18706</v>
      </c>
      <c r="E67" s="9">
        <v>2147153</v>
      </c>
      <c r="F67" s="27">
        <f t="shared" si="8"/>
        <v>234.81550743657044</v>
      </c>
      <c r="G67" s="17"/>
      <c r="H67" s="17"/>
      <c r="I67" s="55"/>
      <c r="J67" s="55"/>
    </row>
    <row r="68" spans="2:10" ht="19.5" thickBot="1" x14ac:dyDescent="0.35">
      <c r="B68" s="29" t="s">
        <v>49</v>
      </c>
      <c r="C68" s="40">
        <f>SUM(C61:C67)</f>
        <v>57034</v>
      </c>
      <c r="D68" s="40">
        <f>SUM(D61:D67)</f>
        <v>119651</v>
      </c>
      <c r="E68" s="40">
        <f>SUM(E61:E67)</f>
        <v>13651468</v>
      </c>
      <c r="F68" s="31">
        <f t="shared" si="8"/>
        <v>239.35666444576918</v>
      </c>
      <c r="G68" s="17"/>
      <c r="H68" s="17"/>
      <c r="I68" s="55"/>
      <c r="J68" s="55"/>
    </row>
    <row r="69" spans="2:10" ht="19.5" thickBot="1" x14ac:dyDescent="0.35">
      <c r="B69" s="44"/>
      <c r="C69" s="45"/>
      <c r="D69" s="45"/>
      <c r="E69" s="45"/>
      <c r="F69" s="46"/>
      <c r="G69" s="17"/>
      <c r="H69" s="17"/>
      <c r="I69" s="55"/>
      <c r="J69" s="55"/>
    </row>
    <row r="70" spans="2:10" ht="19.5" thickBot="1" x14ac:dyDescent="0.35">
      <c r="B70" s="21" t="s">
        <v>67</v>
      </c>
      <c r="C70" s="42"/>
      <c r="D70" s="42"/>
      <c r="E70" s="42"/>
      <c r="F70" s="43"/>
      <c r="G70" s="17"/>
      <c r="H70" s="17"/>
      <c r="I70" s="55"/>
      <c r="J70" s="55"/>
    </row>
    <row r="71" spans="2:10" ht="18.75" x14ac:dyDescent="0.3">
      <c r="B71" s="24" t="s">
        <v>68</v>
      </c>
      <c r="C71" s="16">
        <v>3962</v>
      </c>
      <c r="D71" s="7">
        <v>8540</v>
      </c>
      <c r="E71" s="8">
        <v>967681</v>
      </c>
      <c r="F71" s="27">
        <f t="shared" ref="F71:F77" si="9">E71/C71</f>
        <v>244.24053508329126</v>
      </c>
      <c r="G71" s="17"/>
      <c r="H71" s="17"/>
      <c r="I71" s="55"/>
      <c r="J71" s="55"/>
    </row>
    <row r="72" spans="2:10" ht="18.75" x14ac:dyDescent="0.3">
      <c r="B72" s="26" t="s">
        <v>69</v>
      </c>
      <c r="C72" s="9">
        <v>6949</v>
      </c>
      <c r="D72" s="7">
        <v>13613</v>
      </c>
      <c r="E72" s="9">
        <v>1540595</v>
      </c>
      <c r="F72" s="27">
        <f t="shared" si="9"/>
        <v>221.70024463951648</v>
      </c>
      <c r="G72" s="17"/>
      <c r="H72" s="17"/>
      <c r="I72" s="55"/>
      <c r="J72" s="55"/>
    </row>
    <row r="73" spans="2:10" ht="18.75" x14ac:dyDescent="0.3">
      <c r="B73" s="26" t="s">
        <v>67</v>
      </c>
      <c r="C73" s="9">
        <v>8062</v>
      </c>
      <c r="D73" s="7">
        <v>17024</v>
      </c>
      <c r="E73" s="9">
        <v>1934251</v>
      </c>
      <c r="F73" s="27">
        <f t="shared" si="9"/>
        <v>239.9219796576532</v>
      </c>
      <c r="G73" s="17"/>
      <c r="H73" s="17"/>
      <c r="I73" s="55"/>
      <c r="J73" s="55"/>
    </row>
    <row r="74" spans="2:10" ht="18.75" x14ac:dyDescent="0.3">
      <c r="B74" s="26" t="s">
        <v>70</v>
      </c>
      <c r="C74" s="9">
        <v>4237</v>
      </c>
      <c r="D74" s="7">
        <v>8731</v>
      </c>
      <c r="E74" s="9">
        <v>992900</v>
      </c>
      <c r="F74" s="27">
        <f t="shared" si="9"/>
        <v>234.34033514278971</v>
      </c>
      <c r="G74" s="17"/>
      <c r="H74" s="17"/>
      <c r="I74" s="55"/>
      <c r="J74" s="55"/>
    </row>
    <row r="75" spans="2:10" ht="18.75" x14ac:dyDescent="0.3">
      <c r="B75" s="26" t="s">
        <v>71</v>
      </c>
      <c r="C75" s="9">
        <v>6167</v>
      </c>
      <c r="D75" s="7">
        <v>12978</v>
      </c>
      <c r="E75" s="9">
        <v>1471032</v>
      </c>
      <c r="F75" s="27">
        <f t="shared" si="9"/>
        <v>238.53283606291552</v>
      </c>
      <c r="G75" s="17"/>
      <c r="H75" s="17"/>
      <c r="I75" s="55"/>
      <c r="J75" s="55"/>
    </row>
    <row r="76" spans="2:10" ht="19.5" thickBot="1" x14ac:dyDescent="0.35">
      <c r="B76" s="28" t="s">
        <v>72</v>
      </c>
      <c r="C76" s="10">
        <v>3946</v>
      </c>
      <c r="D76" s="7">
        <v>8592</v>
      </c>
      <c r="E76" s="10">
        <v>960013</v>
      </c>
      <c r="F76" s="27">
        <f t="shared" si="9"/>
        <v>243.28763304612266</v>
      </c>
      <c r="G76" s="17"/>
      <c r="H76" s="17"/>
      <c r="I76" s="55"/>
      <c r="J76" s="55"/>
    </row>
    <row r="77" spans="2:10" ht="19.5" thickBot="1" x14ac:dyDescent="0.35">
      <c r="B77" s="29" t="s">
        <v>49</v>
      </c>
      <c r="C77" s="40">
        <f>SUM(C71:C76)</f>
        <v>33323</v>
      </c>
      <c r="D77" s="40">
        <f t="shared" ref="D77:E77" si="10">SUM(D71:D76)</f>
        <v>69478</v>
      </c>
      <c r="E77" s="40">
        <f t="shared" si="10"/>
        <v>7866472</v>
      </c>
      <c r="F77" s="31">
        <f t="shared" si="9"/>
        <v>236.06734087567145</v>
      </c>
      <c r="G77" s="17"/>
      <c r="H77" s="17"/>
      <c r="I77" s="55"/>
      <c r="J77" s="55"/>
    </row>
    <row r="78" spans="2:10" ht="19.5" thickBot="1" x14ac:dyDescent="0.35">
      <c r="B78" s="44"/>
      <c r="C78" s="45"/>
      <c r="D78" s="45"/>
      <c r="E78" s="45"/>
      <c r="F78" s="46"/>
      <c r="G78" s="17"/>
      <c r="H78" s="17"/>
      <c r="I78" s="55"/>
      <c r="J78" s="55"/>
    </row>
    <row r="79" spans="2:10" ht="19.5" thickBot="1" x14ac:dyDescent="0.35">
      <c r="B79" s="21" t="s">
        <v>73</v>
      </c>
      <c r="C79" s="42"/>
      <c r="D79" s="42"/>
      <c r="E79" s="42"/>
      <c r="F79" s="43"/>
      <c r="G79" s="17"/>
      <c r="H79" s="17"/>
      <c r="I79" s="55"/>
      <c r="J79" s="55"/>
    </row>
    <row r="80" spans="2:10" ht="18.75" x14ac:dyDescent="0.3">
      <c r="B80" s="24" t="s">
        <v>74</v>
      </c>
      <c r="C80" s="16">
        <v>2421</v>
      </c>
      <c r="D80" s="7">
        <v>4935</v>
      </c>
      <c r="E80" s="8">
        <v>557081</v>
      </c>
      <c r="F80" s="27">
        <f t="shared" ref="F80:F90" si="11">E80/C80</f>
        <v>230.10367616687319</v>
      </c>
      <c r="G80" s="17"/>
      <c r="H80" s="17"/>
      <c r="I80" s="55"/>
      <c r="J80" s="55"/>
    </row>
    <row r="81" spans="2:10" ht="18.75" x14ac:dyDescent="0.3">
      <c r="B81" s="26" t="s">
        <v>75</v>
      </c>
      <c r="C81" s="9">
        <v>245</v>
      </c>
      <c r="D81" s="7">
        <v>540</v>
      </c>
      <c r="E81" s="9">
        <v>58316</v>
      </c>
      <c r="F81" s="27">
        <f t="shared" si="11"/>
        <v>238.02448979591836</v>
      </c>
      <c r="G81" s="17"/>
      <c r="H81" s="17"/>
      <c r="I81" s="55"/>
      <c r="J81" s="55"/>
    </row>
    <row r="82" spans="2:10" ht="18.75" x14ac:dyDescent="0.3">
      <c r="B82" s="26" t="s">
        <v>76</v>
      </c>
      <c r="C82" s="9">
        <v>6734</v>
      </c>
      <c r="D82" s="7">
        <v>13895</v>
      </c>
      <c r="E82" s="9">
        <v>1600797</v>
      </c>
      <c r="F82" s="27">
        <f t="shared" si="11"/>
        <v>237.71859221859222</v>
      </c>
      <c r="G82" s="17"/>
      <c r="H82" s="17"/>
      <c r="I82" s="55"/>
      <c r="J82" s="55"/>
    </row>
    <row r="83" spans="2:10" ht="18.75" x14ac:dyDescent="0.3">
      <c r="B83" s="26" t="s">
        <v>73</v>
      </c>
      <c r="C83" s="9">
        <v>11166</v>
      </c>
      <c r="D83" s="7">
        <v>22137</v>
      </c>
      <c r="E83" s="9">
        <v>2540169</v>
      </c>
      <c r="F83" s="27">
        <f t="shared" si="11"/>
        <v>227.49140247178937</v>
      </c>
      <c r="G83" s="17"/>
      <c r="H83" s="17"/>
      <c r="I83" s="55"/>
      <c r="J83" s="55"/>
    </row>
    <row r="84" spans="2:10" ht="18.75" x14ac:dyDescent="0.3">
      <c r="B84" s="26" t="s">
        <v>77</v>
      </c>
      <c r="C84" s="9">
        <v>8081</v>
      </c>
      <c r="D84" s="7">
        <v>16939</v>
      </c>
      <c r="E84" s="9">
        <v>1951551</v>
      </c>
      <c r="F84" s="27">
        <f t="shared" si="11"/>
        <v>241.49870065585944</v>
      </c>
      <c r="G84" s="17"/>
      <c r="H84" s="17"/>
      <c r="I84" s="55"/>
      <c r="J84" s="55"/>
    </row>
    <row r="85" spans="2:10" ht="18.75" x14ac:dyDescent="0.3">
      <c r="B85" s="26" t="s">
        <v>78</v>
      </c>
      <c r="C85" s="9">
        <v>7229</v>
      </c>
      <c r="D85" s="7">
        <v>14771</v>
      </c>
      <c r="E85" s="9">
        <v>1705930</v>
      </c>
      <c r="F85" s="27">
        <f t="shared" si="11"/>
        <v>235.9842301839812</v>
      </c>
      <c r="G85" s="17"/>
      <c r="H85" s="17"/>
      <c r="I85" s="55"/>
      <c r="J85" s="55"/>
    </row>
    <row r="86" spans="2:10" ht="18.75" x14ac:dyDescent="0.3">
      <c r="B86" s="26" t="s">
        <v>79</v>
      </c>
      <c r="C86" s="9">
        <v>2888</v>
      </c>
      <c r="D86" s="7">
        <v>5947</v>
      </c>
      <c r="E86" s="9">
        <v>676842</v>
      </c>
      <c r="F86" s="27">
        <f t="shared" si="11"/>
        <v>234.36357340720221</v>
      </c>
      <c r="G86" s="17"/>
      <c r="H86" s="17"/>
      <c r="I86" s="55"/>
      <c r="J86" s="55"/>
    </row>
    <row r="87" spans="2:10" ht="18.75" x14ac:dyDescent="0.3">
      <c r="B87" s="26" t="s">
        <v>80</v>
      </c>
      <c r="C87" s="9">
        <v>5433</v>
      </c>
      <c r="D87" s="7">
        <v>11426</v>
      </c>
      <c r="E87" s="9">
        <v>1305232</v>
      </c>
      <c r="F87" s="27">
        <f t="shared" si="11"/>
        <v>240.24148720780417</v>
      </c>
      <c r="G87" s="17"/>
      <c r="H87" s="17"/>
      <c r="I87" s="55"/>
      <c r="J87" s="55"/>
    </row>
    <row r="88" spans="2:10" ht="18.75" x14ac:dyDescent="0.3">
      <c r="B88" s="26" t="s">
        <v>81</v>
      </c>
      <c r="C88" s="9">
        <v>2072</v>
      </c>
      <c r="D88" s="7">
        <v>4133</v>
      </c>
      <c r="E88" s="9">
        <v>478499</v>
      </c>
      <c r="F88" s="27">
        <f t="shared" si="11"/>
        <v>230.93581081081081</v>
      </c>
      <c r="G88" s="17"/>
      <c r="H88" s="17"/>
      <c r="I88" s="55"/>
      <c r="J88" s="55"/>
    </row>
    <row r="89" spans="2:10" ht="19.5" thickBot="1" x14ac:dyDescent="0.35">
      <c r="B89" s="28" t="s">
        <v>82</v>
      </c>
      <c r="C89" s="10">
        <v>9220</v>
      </c>
      <c r="D89" s="7">
        <v>18599</v>
      </c>
      <c r="E89" s="10">
        <v>2128561</v>
      </c>
      <c r="F89" s="27">
        <f t="shared" si="11"/>
        <v>230.86344902386116</v>
      </c>
      <c r="G89" s="17"/>
      <c r="H89" s="17"/>
      <c r="I89" s="55"/>
      <c r="J89" s="55"/>
    </row>
    <row r="90" spans="2:10" ht="19.5" thickBot="1" x14ac:dyDescent="0.35">
      <c r="B90" s="29" t="s">
        <v>49</v>
      </c>
      <c r="C90" s="40">
        <f>SUM(C80:C89)</f>
        <v>55489</v>
      </c>
      <c r="D90" s="40">
        <f t="shared" ref="D90" si="12">SUM(D80:D89)</f>
        <v>113322</v>
      </c>
      <c r="E90" s="40">
        <f>SUM(E80:E89)</f>
        <v>13002978</v>
      </c>
      <c r="F90" s="31">
        <f t="shared" si="11"/>
        <v>234.33433653516914</v>
      </c>
      <c r="G90" s="17"/>
      <c r="H90" s="17"/>
      <c r="I90" s="55"/>
      <c r="J90" s="55"/>
    </row>
    <row r="91" spans="2:10" ht="19.5" thickBot="1" x14ac:dyDescent="0.35">
      <c r="B91" s="44"/>
      <c r="C91" s="45"/>
      <c r="D91" s="45"/>
      <c r="E91" s="45"/>
      <c r="F91" s="46"/>
      <c r="G91" s="17"/>
      <c r="H91" s="17"/>
      <c r="I91" s="55"/>
      <c r="J91" s="55"/>
    </row>
    <row r="92" spans="2:10" ht="19.5" thickBot="1" x14ac:dyDescent="0.35">
      <c r="B92" s="21" t="s">
        <v>83</v>
      </c>
      <c r="C92" s="42"/>
      <c r="D92" s="42"/>
      <c r="E92" s="42"/>
      <c r="F92" s="43"/>
      <c r="G92" s="17"/>
      <c r="H92" s="17"/>
      <c r="I92" s="55"/>
      <c r="J92" s="55"/>
    </row>
    <row r="93" spans="2:10" ht="18.75" x14ac:dyDescent="0.3">
      <c r="B93" s="24" t="s">
        <v>84</v>
      </c>
      <c r="C93" s="16">
        <v>5599</v>
      </c>
      <c r="D93" s="7">
        <v>11493</v>
      </c>
      <c r="E93" s="8">
        <v>1302075</v>
      </c>
      <c r="F93" s="27">
        <f t="shared" ref="F93:F101" si="13">E93/C93</f>
        <v>232.55492052152169</v>
      </c>
      <c r="G93" s="17"/>
      <c r="H93" s="17"/>
      <c r="I93" s="55"/>
      <c r="J93" s="55"/>
    </row>
    <row r="94" spans="2:10" ht="18.75" x14ac:dyDescent="0.3">
      <c r="B94" s="26" t="s">
        <v>85</v>
      </c>
      <c r="C94" s="9">
        <v>7520</v>
      </c>
      <c r="D94" s="7">
        <v>15901</v>
      </c>
      <c r="E94" s="9">
        <v>1821575</v>
      </c>
      <c r="F94" s="27">
        <f t="shared" si="13"/>
        <v>242.23071808510639</v>
      </c>
      <c r="G94" s="17"/>
      <c r="H94" s="17"/>
      <c r="I94" s="55"/>
      <c r="J94" s="55"/>
    </row>
    <row r="95" spans="2:10" ht="18.75" x14ac:dyDescent="0.3">
      <c r="B95" s="26" t="s">
        <v>86</v>
      </c>
      <c r="C95" s="9">
        <v>4107</v>
      </c>
      <c r="D95" s="7">
        <v>8776</v>
      </c>
      <c r="E95" s="9">
        <v>1005620</v>
      </c>
      <c r="F95" s="27">
        <f t="shared" si="13"/>
        <v>244.85512539566594</v>
      </c>
      <c r="G95" s="17"/>
      <c r="H95" s="17"/>
      <c r="I95" s="55"/>
      <c r="J95" s="55"/>
    </row>
    <row r="96" spans="2:10" ht="18.75" x14ac:dyDescent="0.3">
      <c r="B96" s="26" t="s">
        <v>87</v>
      </c>
      <c r="C96" s="9">
        <v>2653</v>
      </c>
      <c r="D96" s="7">
        <v>5052</v>
      </c>
      <c r="E96" s="9">
        <v>578668</v>
      </c>
      <c r="F96" s="27">
        <f t="shared" si="13"/>
        <v>218.11835657745948</v>
      </c>
      <c r="G96" s="17"/>
      <c r="H96" s="17"/>
      <c r="I96" s="55"/>
      <c r="J96" s="55"/>
    </row>
    <row r="97" spans="2:10" ht="18.75" x14ac:dyDescent="0.3">
      <c r="B97" s="26" t="s">
        <v>88</v>
      </c>
      <c r="C97" s="9">
        <v>5095</v>
      </c>
      <c r="D97" s="7">
        <v>10912</v>
      </c>
      <c r="E97" s="9">
        <v>1252132</v>
      </c>
      <c r="F97" s="27">
        <f t="shared" si="13"/>
        <v>245.75701668302258</v>
      </c>
      <c r="G97" s="17"/>
      <c r="H97" s="17"/>
      <c r="I97" s="55"/>
      <c r="J97" s="55"/>
    </row>
    <row r="98" spans="2:10" ht="18.75" x14ac:dyDescent="0.3">
      <c r="B98" s="26" t="s">
        <v>89</v>
      </c>
      <c r="C98" s="9">
        <v>1154</v>
      </c>
      <c r="D98" s="7">
        <v>2749</v>
      </c>
      <c r="E98" s="9">
        <v>312009</v>
      </c>
      <c r="F98" s="27">
        <f t="shared" si="13"/>
        <v>270.37175043327557</v>
      </c>
      <c r="G98" s="17"/>
      <c r="H98" s="17"/>
      <c r="I98" s="55"/>
      <c r="J98" s="55"/>
    </row>
    <row r="99" spans="2:10" ht="18.75" x14ac:dyDescent="0.3">
      <c r="B99" s="26" t="s">
        <v>90</v>
      </c>
      <c r="C99" s="9">
        <v>15336</v>
      </c>
      <c r="D99" s="7">
        <v>30460</v>
      </c>
      <c r="E99" s="9">
        <v>3541358</v>
      </c>
      <c r="F99" s="27">
        <f t="shared" si="13"/>
        <v>230.91797078768909</v>
      </c>
      <c r="G99" s="17"/>
      <c r="H99" s="17"/>
      <c r="I99" s="55"/>
      <c r="J99" s="55"/>
    </row>
    <row r="100" spans="2:10" ht="18.75" x14ac:dyDescent="0.3">
      <c r="B100" s="47" t="s">
        <v>92</v>
      </c>
      <c r="C100" s="9">
        <v>4314</v>
      </c>
      <c r="D100" s="7">
        <v>9253</v>
      </c>
      <c r="E100" s="9">
        <v>1045544</v>
      </c>
      <c r="F100" s="27">
        <f t="shared" si="13"/>
        <v>242.36068613815485</v>
      </c>
      <c r="G100" s="17"/>
      <c r="H100" s="17"/>
      <c r="I100" s="55"/>
      <c r="J100" s="55"/>
    </row>
    <row r="101" spans="2:10" ht="19.5" thickBot="1" x14ac:dyDescent="0.35">
      <c r="B101" s="26" t="s">
        <v>93</v>
      </c>
      <c r="C101" s="10">
        <v>6441</v>
      </c>
      <c r="D101" s="7">
        <v>13408</v>
      </c>
      <c r="E101" s="9">
        <v>1528951</v>
      </c>
      <c r="F101" s="27">
        <f t="shared" si="13"/>
        <v>237.3778916317342</v>
      </c>
      <c r="G101" s="17"/>
      <c r="H101" s="17"/>
      <c r="I101" s="55"/>
      <c r="J101" s="55"/>
    </row>
    <row r="102" spans="2:10" ht="19.5" thickBot="1" x14ac:dyDescent="0.35">
      <c r="B102" s="29" t="s">
        <v>49</v>
      </c>
      <c r="C102" s="40">
        <f>SUM(C93:C101)</f>
        <v>52219</v>
      </c>
      <c r="D102" s="40">
        <f t="shared" ref="D102:E102" si="14">SUM(D93:D101)</f>
        <v>108004</v>
      </c>
      <c r="E102" s="40">
        <f t="shared" si="14"/>
        <v>12387932</v>
      </c>
      <c r="F102" s="31">
        <f t="shared" ref="F102" si="15">E102/C102</f>
        <v>237.23035676669411</v>
      </c>
      <c r="G102" s="17"/>
      <c r="H102" s="17"/>
      <c r="I102" s="55"/>
      <c r="J102" s="55"/>
    </row>
    <row r="103" spans="2:10" ht="19.5" thickBot="1" x14ac:dyDescent="0.35">
      <c r="B103" s="44"/>
      <c r="C103" s="45"/>
      <c r="D103" s="45"/>
      <c r="E103" s="45"/>
      <c r="F103" s="46"/>
      <c r="G103" s="17"/>
      <c r="H103" s="17"/>
      <c r="I103" s="55"/>
      <c r="J103" s="55"/>
    </row>
    <row r="104" spans="2:10" ht="19.5" thickBot="1" x14ac:dyDescent="0.35">
      <c r="B104" s="34" t="s">
        <v>94</v>
      </c>
      <c r="C104" s="42"/>
      <c r="D104" s="42"/>
      <c r="E104" s="42"/>
      <c r="F104" s="43"/>
      <c r="G104" s="17"/>
      <c r="H104" s="17"/>
      <c r="I104" s="55"/>
      <c r="J104" s="55"/>
    </row>
    <row r="105" spans="2:10" ht="18.75" x14ac:dyDescent="0.3">
      <c r="B105" s="48" t="s">
        <v>95</v>
      </c>
      <c r="C105" s="60">
        <v>3895</v>
      </c>
      <c r="D105" s="7">
        <v>9288</v>
      </c>
      <c r="E105" s="8">
        <v>1064721</v>
      </c>
      <c r="F105" s="27">
        <f t="shared" ref="F105:F118" si="16">E105/C105</f>
        <v>273.35584082156612</v>
      </c>
      <c r="G105" s="17"/>
      <c r="H105" s="17"/>
      <c r="I105" s="55"/>
      <c r="J105" s="55"/>
    </row>
    <row r="106" spans="2:10" ht="18.75" x14ac:dyDescent="0.3">
      <c r="B106" s="49" t="s">
        <v>96</v>
      </c>
      <c r="C106" s="9">
        <v>5632</v>
      </c>
      <c r="D106" s="7">
        <v>11476</v>
      </c>
      <c r="E106" s="8">
        <v>1307573</v>
      </c>
      <c r="F106" s="27">
        <f t="shared" si="16"/>
        <v>232.16850142045453</v>
      </c>
      <c r="G106" s="17"/>
      <c r="H106" s="17"/>
      <c r="I106" s="55"/>
      <c r="J106" s="55"/>
    </row>
    <row r="107" spans="2:10" ht="18.75" x14ac:dyDescent="0.3">
      <c r="B107" s="49" t="s">
        <v>97</v>
      </c>
      <c r="C107" s="9">
        <v>869</v>
      </c>
      <c r="D107" s="7">
        <v>1970</v>
      </c>
      <c r="E107" s="9">
        <v>233325</v>
      </c>
      <c r="F107" s="27">
        <f t="shared" si="16"/>
        <v>268.49827387802071</v>
      </c>
      <c r="G107" s="17"/>
      <c r="H107" s="17"/>
      <c r="I107" s="55"/>
      <c r="J107" s="55"/>
    </row>
    <row r="108" spans="2:10" ht="18.75" x14ac:dyDescent="0.3">
      <c r="B108" s="49" t="s">
        <v>98</v>
      </c>
      <c r="C108" s="9">
        <v>7580</v>
      </c>
      <c r="D108" s="7">
        <v>16359</v>
      </c>
      <c r="E108" s="9">
        <v>1860055</v>
      </c>
      <c r="F108" s="27">
        <f t="shared" si="16"/>
        <v>245.38984168865434</v>
      </c>
      <c r="G108" s="17"/>
      <c r="H108" s="17"/>
      <c r="I108" s="55"/>
      <c r="J108" s="55"/>
    </row>
    <row r="109" spans="2:10" ht="18.75" x14ac:dyDescent="0.3">
      <c r="B109" s="26" t="s">
        <v>99</v>
      </c>
      <c r="C109" s="9">
        <v>4699</v>
      </c>
      <c r="D109" s="7">
        <v>10285</v>
      </c>
      <c r="E109" s="9">
        <v>1175829</v>
      </c>
      <c r="F109" s="27">
        <f t="shared" si="16"/>
        <v>250.22962332411151</v>
      </c>
      <c r="G109" s="17"/>
      <c r="H109" s="17"/>
      <c r="I109" s="55"/>
      <c r="J109" s="55"/>
    </row>
    <row r="110" spans="2:10" ht="18.75" x14ac:dyDescent="0.3">
      <c r="B110" s="26" t="s">
        <v>100</v>
      </c>
      <c r="C110" s="9">
        <v>3748</v>
      </c>
      <c r="D110" s="7">
        <v>8912</v>
      </c>
      <c r="E110" s="9">
        <v>1018822</v>
      </c>
      <c r="F110" s="27">
        <f t="shared" si="16"/>
        <v>271.83084311632871</v>
      </c>
      <c r="G110" s="17"/>
      <c r="H110" s="17"/>
      <c r="I110" s="55"/>
      <c r="J110" s="55"/>
    </row>
    <row r="111" spans="2:10" ht="18.75" x14ac:dyDescent="0.3">
      <c r="B111" s="26" t="s">
        <v>101</v>
      </c>
      <c r="C111" s="9">
        <v>8727</v>
      </c>
      <c r="D111" s="7">
        <v>19840</v>
      </c>
      <c r="E111" s="9">
        <v>2239615</v>
      </c>
      <c r="F111" s="27">
        <f t="shared" si="16"/>
        <v>256.63057178870173</v>
      </c>
      <c r="G111" s="17"/>
      <c r="H111" s="17"/>
      <c r="I111" s="55"/>
      <c r="J111" s="55"/>
    </row>
    <row r="112" spans="2:10" ht="18.75" x14ac:dyDescent="0.3">
      <c r="B112" s="26" t="s">
        <v>102</v>
      </c>
      <c r="C112" s="9">
        <v>5781</v>
      </c>
      <c r="D112" s="7">
        <v>13277</v>
      </c>
      <c r="E112" s="9">
        <v>1506572</v>
      </c>
      <c r="F112" s="27">
        <f t="shared" si="16"/>
        <v>260.60750735166926</v>
      </c>
      <c r="G112" s="17"/>
      <c r="H112" s="17"/>
      <c r="I112" s="55"/>
      <c r="J112" s="55"/>
    </row>
    <row r="113" spans="2:15" ht="18.75" x14ac:dyDescent="0.3">
      <c r="B113" s="26" t="s">
        <v>103</v>
      </c>
      <c r="C113" s="9">
        <v>5069</v>
      </c>
      <c r="D113" s="7">
        <v>11959</v>
      </c>
      <c r="E113" s="9">
        <v>1344302</v>
      </c>
      <c r="F113" s="27">
        <f t="shared" si="16"/>
        <v>265.20063128822255</v>
      </c>
      <c r="G113" s="17"/>
      <c r="H113" s="17"/>
      <c r="I113" s="55"/>
      <c r="J113" s="55"/>
    </row>
    <row r="114" spans="2:15" ht="18.75" x14ac:dyDescent="0.3">
      <c r="B114" s="26" t="s">
        <v>104</v>
      </c>
      <c r="C114" s="9">
        <v>7238</v>
      </c>
      <c r="D114" s="7">
        <v>14609</v>
      </c>
      <c r="E114" s="9">
        <v>1681045</v>
      </c>
      <c r="F114" s="27">
        <f t="shared" si="16"/>
        <v>232.25269411439623</v>
      </c>
      <c r="G114" s="17"/>
      <c r="H114" s="17"/>
      <c r="I114" s="55"/>
      <c r="J114" s="55"/>
    </row>
    <row r="115" spans="2:15" ht="18.75" x14ac:dyDescent="0.3">
      <c r="B115" s="26" t="s">
        <v>105</v>
      </c>
      <c r="C115" s="9">
        <v>8462</v>
      </c>
      <c r="D115" s="7">
        <v>19661</v>
      </c>
      <c r="E115" s="9">
        <v>2239260</v>
      </c>
      <c r="F115" s="27">
        <f t="shared" si="16"/>
        <v>264.62538406995981</v>
      </c>
      <c r="G115" s="17"/>
      <c r="H115" s="17"/>
      <c r="I115" s="55"/>
      <c r="J115" s="55"/>
    </row>
    <row r="116" spans="2:15" ht="18.75" x14ac:dyDescent="0.3">
      <c r="B116" s="26" t="s">
        <v>106</v>
      </c>
      <c r="C116" s="9">
        <v>16128</v>
      </c>
      <c r="D116" s="7">
        <v>35271</v>
      </c>
      <c r="E116" s="9">
        <v>4080213</v>
      </c>
      <c r="F116" s="27">
        <f t="shared" si="16"/>
        <v>252.98939732142858</v>
      </c>
      <c r="G116" s="17"/>
      <c r="H116" s="17"/>
      <c r="I116" s="55"/>
      <c r="J116" s="55"/>
    </row>
    <row r="117" spans="2:15" ht="18.75" x14ac:dyDescent="0.3">
      <c r="B117" s="26" t="s">
        <v>107</v>
      </c>
      <c r="C117" s="9">
        <v>5360</v>
      </c>
      <c r="D117" s="7">
        <v>12309</v>
      </c>
      <c r="E117" s="9">
        <v>1400634</v>
      </c>
      <c r="F117" s="27">
        <f t="shared" si="16"/>
        <v>261.31231343283582</v>
      </c>
      <c r="G117" s="17"/>
      <c r="H117" s="17"/>
      <c r="I117" s="55"/>
      <c r="J117" s="55"/>
    </row>
    <row r="118" spans="2:15" ht="19.5" thickBot="1" x14ac:dyDescent="0.35">
      <c r="B118" s="26" t="s">
        <v>108</v>
      </c>
      <c r="C118" s="10">
        <v>8237</v>
      </c>
      <c r="D118" s="7">
        <v>17627</v>
      </c>
      <c r="E118" s="9">
        <v>2010034</v>
      </c>
      <c r="F118" s="27">
        <f t="shared" si="16"/>
        <v>244.02500910525677</v>
      </c>
      <c r="G118" s="17"/>
      <c r="H118" s="17"/>
      <c r="I118" s="55"/>
      <c r="J118" s="55"/>
    </row>
    <row r="119" spans="2:15" ht="19.5" thickBot="1" x14ac:dyDescent="0.35">
      <c r="B119" s="29" t="s">
        <v>49</v>
      </c>
      <c r="C119" s="40">
        <f>SUM(C105:C118)</f>
        <v>91425</v>
      </c>
      <c r="D119" s="40">
        <f t="shared" ref="D119:E119" si="17">SUM(D105:D118)</f>
        <v>202843</v>
      </c>
      <c r="E119" s="40">
        <f t="shared" si="17"/>
        <v>23162000</v>
      </c>
      <c r="F119" s="31">
        <f t="shared" ref="F119" si="18">E119/C119</f>
        <v>253.34427126059612</v>
      </c>
      <c r="G119" s="17"/>
      <c r="H119" s="17"/>
      <c r="I119" s="55"/>
      <c r="J119" s="55"/>
    </row>
    <row r="120" spans="2:15" ht="19.5" thickBot="1" x14ac:dyDescent="0.35">
      <c r="B120" s="44"/>
      <c r="C120" s="45"/>
      <c r="D120" s="45"/>
      <c r="E120" s="45"/>
      <c r="F120" s="46"/>
      <c r="G120" s="17"/>
      <c r="H120" s="17"/>
      <c r="I120" s="55"/>
      <c r="J120" s="55"/>
    </row>
    <row r="121" spans="2:15" ht="19.5" thickBot="1" x14ac:dyDescent="0.35">
      <c r="B121" s="21" t="s">
        <v>109</v>
      </c>
      <c r="C121" s="42"/>
      <c r="D121" s="42"/>
      <c r="E121" s="42"/>
      <c r="F121" s="43"/>
      <c r="G121" s="17"/>
      <c r="H121" s="17"/>
      <c r="I121" s="55"/>
      <c r="J121" s="55"/>
    </row>
    <row r="122" spans="2:15" ht="18.75" x14ac:dyDescent="0.3">
      <c r="B122" s="24" t="s">
        <v>110</v>
      </c>
      <c r="C122" s="16">
        <v>1514</v>
      </c>
      <c r="D122" s="7">
        <v>3408</v>
      </c>
      <c r="E122" s="8">
        <v>393500</v>
      </c>
      <c r="F122" s="27">
        <f t="shared" ref="F122:F131" si="19">E122/C122</f>
        <v>259.90752972258917</v>
      </c>
      <c r="G122" s="17"/>
      <c r="H122" s="17"/>
      <c r="I122" s="55"/>
      <c r="J122" s="55"/>
      <c r="M122" s="1">
        <v>5669972</v>
      </c>
      <c r="N122" s="99">
        <v>0.52</v>
      </c>
      <c r="O122" s="1">
        <f>M122*N122</f>
        <v>2948385.44</v>
      </c>
    </row>
    <row r="123" spans="2:15" ht="18.75" x14ac:dyDescent="0.3">
      <c r="B123" s="26" t="s">
        <v>111</v>
      </c>
      <c r="C123" s="9">
        <v>4871</v>
      </c>
      <c r="D123" s="7">
        <v>9985</v>
      </c>
      <c r="E123" s="9">
        <v>1148143</v>
      </c>
      <c r="F123" s="27">
        <f t="shared" si="19"/>
        <v>235.709915828372</v>
      </c>
      <c r="G123" s="17"/>
      <c r="H123" s="17"/>
      <c r="I123" s="55"/>
      <c r="J123" s="55"/>
      <c r="M123" s="1">
        <v>5669972</v>
      </c>
      <c r="N123" s="102">
        <v>0.4</v>
      </c>
      <c r="O123" s="1">
        <f t="shared" ref="O123:O124" si="20">M123*N123</f>
        <v>2267988.8000000003</v>
      </c>
    </row>
    <row r="124" spans="2:15" ht="18.75" x14ac:dyDescent="0.3">
      <c r="B124" s="26" t="s">
        <v>112</v>
      </c>
      <c r="C124" s="9">
        <v>1641</v>
      </c>
      <c r="D124" s="7">
        <v>3431</v>
      </c>
      <c r="E124" s="9">
        <v>393974</v>
      </c>
      <c r="F124" s="27">
        <f t="shared" si="19"/>
        <v>240.08165752589883</v>
      </c>
      <c r="G124" s="17"/>
      <c r="H124" s="17"/>
      <c r="I124" s="55"/>
      <c r="J124" s="55"/>
      <c r="M124" s="1">
        <v>5669972</v>
      </c>
      <c r="N124" s="1">
        <v>0.08</v>
      </c>
      <c r="O124" s="1">
        <f t="shared" si="20"/>
        <v>453597.76</v>
      </c>
    </row>
    <row r="125" spans="2:15" ht="18.75" x14ac:dyDescent="0.3">
      <c r="B125" s="26" t="s">
        <v>113</v>
      </c>
      <c r="C125" s="9">
        <v>4806</v>
      </c>
      <c r="D125" s="7">
        <v>9537</v>
      </c>
      <c r="E125" s="9">
        <v>1103289</v>
      </c>
      <c r="F125" s="27">
        <f t="shared" si="19"/>
        <v>229.56491885143569</v>
      </c>
      <c r="G125" s="17"/>
      <c r="H125" s="17"/>
      <c r="I125" s="55"/>
      <c r="J125" s="55"/>
      <c r="N125" s="100"/>
    </row>
    <row r="126" spans="2:15" ht="18.75" x14ac:dyDescent="0.3">
      <c r="B126" s="26" t="s">
        <v>114</v>
      </c>
      <c r="C126" s="9">
        <v>7588</v>
      </c>
      <c r="D126" s="7">
        <v>13151</v>
      </c>
      <c r="E126" s="9">
        <v>1597471</v>
      </c>
      <c r="F126" s="27">
        <f t="shared" si="19"/>
        <v>210.52596204533475</v>
      </c>
      <c r="G126" s="17"/>
      <c r="H126" s="17"/>
      <c r="I126" s="55"/>
      <c r="J126" s="55"/>
    </row>
    <row r="127" spans="2:15" ht="18.75" x14ac:dyDescent="0.3">
      <c r="B127" s="26" t="s">
        <v>115</v>
      </c>
      <c r="C127" s="9">
        <v>10669</v>
      </c>
      <c r="D127" s="7">
        <v>23254</v>
      </c>
      <c r="E127" s="9">
        <v>2699732</v>
      </c>
      <c r="F127" s="27">
        <f t="shared" si="19"/>
        <v>253.04452151091948</v>
      </c>
      <c r="G127" s="17"/>
      <c r="H127" s="17"/>
      <c r="I127" s="55"/>
      <c r="J127" s="55"/>
      <c r="N127" s="100"/>
    </row>
    <row r="128" spans="2:15" ht="18.75" x14ac:dyDescent="0.3">
      <c r="B128" s="26" t="s">
        <v>116</v>
      </c>
      <c r="C128" s="9">
        <v>9472</v>
      </c>
      <c r="D128" s="7">
        <v>19671</v>
      </c>
      <c r="E128" s="9">
        <v>2273277</v>
      </c>
      <c r="F128" s="27">
        <f t="shared" si="19"/>
        <v>239.99968327702703</v>
      </c>
      <c r="G128" s="17"/>
      <c r="H128" s="17"/>
      <c r="I128" s="55"/>
      <c r="J128" s="55"/>
      <c r="N128" s="101"/>
    </row>
    <row r="129" spans="2:15" ht="18.75" x14ac:dyDescent="0.3">
      <c r="B129" s="26" t="s">
        <v>117</v>
      </c>
      <c r="C129" s="9">
        <v>7237</v>
      </c>
      <c r="D129" s="7">
        <v>15922</v>
      </c>
      <c r="E129" s="9">
        <v>1849482</v>
      </c>
      <c r="F129" s="27">
        <f t="shared" si="19"/>
        <v>255.5592096172447</v>
      </c>
      <c r="G129" s="17"/>
      <c r="H129" s="17"/>
      <c r="I129" s="55"/>
      <c r="J129" s="55"/>
    </row>
    <row r="130" spans="2:15" ht="18.75" x14ac:dyDescent="0.3">
      <c r="B130" s="47" t="s">
        <v>118</v>
      </c>
      <c r="C130" s="9">
        <v>8383</v>
      </c>
      <c r="D130" s="7">
        <v>17521</v>
      </c>
      <c r="E130" s="9">
        <v>2075581</v>
      </c>
      <c r="F130" s="27">
        <f t="shared" si="19"/>
        <v>247.59405940594058</v>
      </c>
      <c r="G130" s="17"/>
      <c r="H130" s="17"/>
      <c r="I130" s="55"/>
      <c r="J130" s="55"/>
    </row>
    <row r="131" spans="2:15" ht="19.5" thickBot="1" x14ac:dyDescent="0.35">
      <c r="B131" s="47" t="s">
        <v>119</v>
      </c>
      <c r="C131" s="56">
        <v>5712</v>
      </c>
      <c r="D131" s="7">
        <v>9820</v>
      </c>
      <c r="E131" s="9">
        <v>1146939</v>
      </c>
      <c r="F131" s="27">
        <f t="shared" si="19"/>
        <v>200.79464285714286</v>
      </c>
      <c r="G131" s="17"/>
      <c r="H131" s="17"/>
      <c r="I131" s="55"/>
      <c r="J131" s="55"/>
    </row>
    <row r="132" spans="2:15" ht="19.5" thickBot="1" x14ac:dyDescent="0.35">
      <c r="B132" s="29" t="s">
        <v>49</v>
      </c>
      <c r="C132" s="40">
        <f>SUM(C122:C131)</f>
        <v>61893</v>
      </c>
      <c r="D132" s="40">
        <f t="shared" ref="D132:E132" si="21">SUM(D122:D131)</f>
        <v>125700</v>
      </c>
      <c r="E132" s="40">
        <f t="shared" si="21"/>
        <v>14681388</v>
      </c>
      <c r="F132" s="31">
        <f t="shared" ref="F132" si="22">E132/C132</f>
        <v>237.20595220784256</v>
      </c>
      <c r="G132" s="17"/>
      <c r="H132" s="17"/>
      <c r="I132" s="55"/>
      <c r="J132" s="55"/>
    </row>
    <row r="133" spans="2:15" ht="19.5" thickBot="1" x14ac:dyDescent="0.35">
      <c r="B133" s="44"/>
      <c r="C133" s="45"/>
      <c r="D133" s="45"/>
      <c r="E133" s="45"/>
      <c r="F133" s="46"/>
      <c r="G133" s="17"/>
      <c r="H133" s="17"/>
      <c r="I133" s="55"/>
      <c r="J133" s="55"/>
    </row>
    <row r="134" spans="2:15" ht="19.5" thickBot="1" x14ac:dyDescent="0.35">
      <c r="B134" s="52" t="s">
        <v>120</v>
      </c>
      <c r="C134" s="50">
        <f>SUM(C132+C119+C102+C90+C77+C68+C58+C48+C32+C16)</f>
        <v>643491</v>
      </c>
      <c r="D134" s="50">
        <f>SUM(D132+D119+D102+D90+D77+D68+D58+D48+D32+D16)</f>
        <v>1352614</v>
      </c>
      <c r="E134" s="50">
        <f>SUM(E132+E119+E102+E90+E77+E68+E58+E48+E32+E16)</f>
        <v>155066725</v>
      </c>
      <c r="F134" s="43">
        <f t="shared" ref="F134" si="23">E134/C134</f>
        <v>240.97730193584681</v>
      </c>
      <c r="G134" s="17"/>
      <c r="H134" s="17"/>
      <c r="I134" s="55"/>
      <c r="J134" s="55"/>
    </row>
    <row r="135" spans="2:15" ht="19.5" thickBot="1" x14ac:dyDescent="0.35">
      <c r="B135" s="51"/>
      <c r="C135" s="17"/>
      <c r="D135" s="17"/>
      <c r="E135" s="17"/>
      <c r="F135" s="17"/>
      <c r="G135" s="17"/>
      <c r="H135" s="17"/>
      <c r="I135" s="53"/>
      <c r="J135" s="53"/>
    </row>
    <row r="136" spans="2:15" ht="59.25" customHeight="1" thickBot="1" x14ac:dyDescent="0.35">
      <c r="B136" s="51"/>
      <c r="C136" s="17"/>
      <c r="D136" s="17"/>
      <c r="E136" s="17"/>
      <c r="F136" s="17"/>
      <c r="G136" s="17"/>
      <c r="H136" s="17"/>
      <c r="I136" s="53"/>
      <c r="J136" s="53"/>
      <c r="L136" s="89" t="s">
        <v>139</v>
      </c>
      <c r="M136" s="88" t="s">
        <v>3</v>
      </c>
      <c r="N136" s="82" t="s">
        <v>4</v>
      </c>
      <c r="O136" s="83" t="s">
        <v>5</v>
      </c>
    </row>
    <row r="137" spans="2:15" ht="18.75" x14ac:dyDescent="0.3">
      <c r="B137" s="51"/>
      <c r="C137" s="17"/>
      <c r="D137" s="17"/>
      <c r="E137" s="17"/>
      <c r="F137" s="17"/>
      <c r="G137" s="17"/>
      <c r="H137" s="17"/>
      <c r="I137" s="53"/>
      <c r="J137" s="53"/>
      <c r="L137" s="84" t="s">
        <v>122</v>
      </c>
      <c r="M137" s="90">
        <v>635259</v>
      </c>
      <c r="N137" s="91">
        <v>1341743</v>
      </c>
      <c r="O137" s="96">
        <v>171600097</v>
      </c>
    </row>
    <row r="138" spans="2:15" ht="18.75" x14ac:dyDescent="0.3">
      <c r="B138" s="51"/>
      <c r="C138" s="17"/>
      <c r="D138" s="17"/>
      <c r="E138" s="75">
        <v>4000027</v>
      </c>
      <c r="F138" s="17"/>
      <c r="G138" s="17"/>
      <c r="H138" s="17"/>
      <c r="I138" s="53"/>
      <c r="J138" s="53"/>
      <c r="L138" s="85" t="s">
        <v>123</v>
      </c>
      <c r="M138" s="92">
        <v>630265</v>
      </c>
      <c r="N138" s="93">
        <v>1330498</v>
      </c>
      <c r="O138" s="97">
        <v>132967759</v>
      </c>
    </row>
    <row r="139" spans="2:15" ht="18.75" x14ac:dyDescent="0.3">
      <c r="B139" s="51"/>
      <c r="C139" s="17"/>
      <c r="D139" s="17"/>
      <c r="E139" s="103">
        <f>D134/E138</f>
        <v>0.33815121747928201</v>
      </c>
      <c r="F139" s="17"/>
      <c r="G139" s="17"/>
      <c r="H139" s="17"/>
      <c r="I139" s="53"/>
      <c r="J139" s="53"/>
      <c r="L139" s="86" t="s">
        <v>124</v>
      </c>
      <c r="M139" s="92">
        <v>630265</v>
      </c>
      <c r="N139" s="93">
        <v>1331007</v>
      </c>
      <c r="O139" s="97">
        <v>132978475</v>
      </c>
    </row>
    <row r="140" spans="2:15" ht="18.75" x14ac:dyDescent="0.3">
      <c r="B140" s="51"/>
      <c r="C140" s="17"/>
      <c r="D140" s="17"/>
      <c r="E140" s="17"/>
      <c r="F140" s="17"/>
      <c r="G140" s="17"/>
      <c r="H140" s="17"/>
      <c r="I140" s="53"/>
      <c r="J140" s="53"/>
      <c r="L140" s="86" t="s">
        <v>137</v>
      </c>
      <c r="M140" s="92">
        <v>640979</v>
      </c>
      <c r="N140" s="93">
        <v>1349467</v>
      </c>
      <c r="O140" s="97">
        <v>159264608</v>
      </c>
    </row>
    <row r="141" spans="2:15" ht="15.75" thickBot="1" x14ac:dyDescent="0.3">
      <c r="L141" s="87" t="s">
        <v>138</v>
      </c>
      <c r="M141" s="94">
        <v>643491</v>
      </c>
      <c r="N141" s="95">
        <v>1352614</v>
      </c>
      <c r="O141" s="98">
        <v>155066725</v>
      </c>
    </row>
  </sheetData>
  <mergeCells count="6">
    <mergeCell ref="I6:J6"/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39"/>
  <sheetViews>
    <sheetView workbookViewId="0">
      <pane xSplit="2" ySplit="6" topLeftCell="C124" activePane="bottomRight" state="frozen"/>
      <selection pane="topRight" activeCell="C1" sqref="C1"/>
      <selection pane="bottomLeft" activeCell="A7" sqref="A7"/>
      <selection pane="bottomRight" activeCell="C133" sqref="C133"/>
    </sheetView>
  </sheetViews>
  <sheetFormatPr defaultRowHeight="15" x14ac:dyDescent="0.25"/>
  <cols>
    <col min="1" max="1" width="9.140625" style="1"/>
    <col min="2" max="2" width="18.7109375" style="1" bestFit="1" customWidth="1"/>
    <col min="3" max="3" width="11.7109375" style="1" bestFit="1" customWidth="1"/>
    <col min="4" max="4" width="12.7109375" style="1" bestFit="1" customWidth="1"/>
    <col min="5" max="5" width="15.7109375" style="1" bestFit="1" customWidth="1"/>
    <col min="6" max="6" width="15.85546875" style="1" customWidth="1"/>
    <col min="7" max="8" width="9.140625" style="1"/>
    <col min="9" max="10" width="0" style="1" hidden="1" customWidth="1"/>
    <col min="11" max="16384" width="9.140625" style="1"/>
  </cols>
  <sheetData>
    <row r="1" spans="2:10" ht="18.75" x14ac:dyDescent="0.3">
      <c r="B1" s="162" t="s">
        <v>0</v>
      </c>
      <c r="C1" s="162"/>
      <c r="D1" s="162"/>
      <c r="E1" s="162"/>
      <c r="F1" s="162"/>
      <c r="G1" s="17"/>
      <c r="H1" s="17"/>
      <c r="I1" s="17"/>
      <c r="J1" s="17"/>
    </row>
    <row r="2" spans="2:10" ht="18.75" x14ac:dyDescent="0.3">
      <c r="B2" s="162" t="s">
        <v>1</v>
      </c>
      <c r="C2" s="162"/>
      <c r="D2" s="162"/>
      <c r="E2" s="162"/>
      <c r="F2" s="162"/>
      <c r="G2" s="17"/>
      <c r="H2" s="17"/>
      <c r="I2" s="17"/>
      <c r="J2" s="17"/>
    </row>
    <row r="3" spans="2:10" ht="18.75" x14ac:dyDescent="0.3">
      <c r="B3" s="163" t="s">
        <v>2</v>
      </c>
      <c r="C3" s="163"/>
      <c r="D3" s="163"/>
      <c r="E3" s="163"/>
      <c r="F3" s="163"/>
      <c r="G3" s="17"/>
      <c r="H3" s="17"/>
      <c r="I3" s="17"/>
      <c r="J3" s="17"/>
    </row>
    <row r="4" spans="2:10" ht="18.75" x14ac:dyDescent="0.3">
      <c r="B4" s="162" t="s">
        <v>131</v>
      </c>
      <c r="C4" s="162"/>
      <c r="D4" s="162"/>
      <c r="E4" s="162"/>
      <c r="F4" s="162"/>
      <c r="G4" s="17"/>
      <c r="H4" s="17"/>
      <c r="I4" s="17"/>
      <c r="J4" s="17"/>
    </row>
    <row r="5" spans="2:10" ht="19.5" thickBot="1" x14ac:dyDescent="0.35">
      <c r="B5" s="164"/>
      <c r="C5" s="164"/>
      <c r="D5" s="164"/>
      <c r="E5" s="164"/>
      <c r="F5" s="164"/>
      <c r="G5" s="17"/>
      <c r="H5" s="17"/>
      <c r="I5" s="17"/>
      <c r="J5" s="17"/>
    </row>
    <row r="6" spans="2:10" ht="57" thickBot="1" x14ac:dyDescent="0.35">
      <c r="B6" s="18"/>
      <c r="C6" s="19" t="s">
        <v>3</v>
      </c>
      <c r="D6" s="20" t="s">
        <v>4</v>
      </c>
      <c r="E6" s="20" t="s">
        <v>5</v>
      </c>
      <c r="F6" s="20" t="s">
        <v>6</v>
      </c>
      <c r="G6" s="17"/>
      <c r="H6" s="17"/>
      <c r="I6" s="160" t="s">
        <v>7</v>
      </c>
      <c r="J6" s="161"/>
    </row>
    <row r="7" spans="2:10" ht="19.5" thickBot="1" x14ac:dyDescent="0.35">
      <c r="B7" s="21" t="s">
        <v>8</v>
      </c>
      <c r="C7" s="22"/>
      <c r="D7" s="22"/>
      <c r="E7" s="22"/>
      <c r="F7" s="23"/>
      <c r="G7" s="17"/>
      <c r="H7" s="17"/>
      <c r="I7" s="54" t="s">
        <v>9</v>
      </c>
      <c r="J7" s="54" t="s">
        <v>10</v>
      </c>
    </row>
    <row r="8" spans="2:10" ht="18.75" x14ac:dyDescent="0.3">
      <c r="B8" s="24" t="s">
        <v>11</v>
      </c>
      <c r="C8" s="15">
        <v>7515</v>
      </c>
      <c r="D8" s="13">
        <v>16722</v>
      </c>
      <c r="E8" s="14">
        <v>1905040</v>
      </c>
      <c r="F8" s="25">
        <f>E8/C8</f>
        <v>253.49833666001331</v>
      </c>
      <c r="G8" s="17"/>
      <c r="H8" s="17"/>
      <c r="I8" s="55"/>
      <c r="J8" s="55"/>
    </row>
    <row r="9" spans="2:10" ht="18.75" x14ac:dyDescent="0.3">
      <c r="B9" s="26" t="s">
        <v>12</v>
      </c>
      <c r="C9" s="3">
        <v>5791</v>
      </c>
      <c r="D9" s="13">
        <v>11908</v>
      </c>
      <c r="E9" s="3">
        <v>1398712</v>
      </c>
      <c r="F9" s="25">
        <f t="shared" ref="F9:F16" si="0">E9/C9</f>
        <v>241.53203246416854</v>
      </c>
      <c r="G9" s="17"/>
      <c r="H9" s="17"/>
      <c r="I9" s="55"/>
      <c r="J9" s="55"/>
    </row>
    <row r="10" spans="2:10" ht="18.75" x14ac:dyDescent="0.3">
      <c r="B10" s="26" t="s">
        <v>13</v>
      </c>
      <c r="C10" s="3">
        <v>6304</v>
      </c>
      <c r="D10" s="13">
        <v>12544</v>
      </c>
      <c r="E10" s="3">
        <v>1482275</v>
      </c>
      <c r="F10" s="25">
        <f t="shared" si="0"/>
        <v>235.13245558375635</v>
      </c>
      <c r="G10" s="17"/>
      <c r="H10" s="17"/>
      <c r="I10" s="55"/>
      <c r="J10" s="55"/>
    </row>
    <row r="11" spans="2:10" ht="18.75" x14ac:dyDescent="0.3">
      <c r="B11" s="26" t="s">
        <v>14</v>
      </c>
      <c r="C11" s="3">
        <v>8081</v>
      </c>
      <c r="D11" s="13">
        <v>16988</v>
      </c>
      <c r="E11" s="3">
        <v>1959404</v>
      </c>
      <c r="F11" s="25">
        <f t="shared" si="0"/>
        <v>242.47048632594976</v>
      </c>
      <c r="G11" s="17"/>
      <c r="H11" s="17"/>
      <c r="I11" s="55"/>
      <c r="J11" s="55"/>
    </row>
    <row r="12" spans="2:10" ht="18.75" x14ac:dyDescent="0.3">
      <c r="B12" s="26" t="s">
        <v>15</v>
      </c>
      <c r="C12" s="3">
        <v>2005</v>
      </c>
      <c r="D12" s="13">
        <v>4498</v>
      </c>
      <c r="E12" s="3">
        <v>521155</v>
      </c>
      <c r="F12" s="25">
        <f t="shared" si="0"/>
        <v>259.92768079800499</v>
      </c>
      <c r="G12" s="17"/>
      <c r="H12" s="17"/>
      <c r="I12" s="55"/>
      <c r="J12" s="55"/>
    </row>
    <row r="13" spans="2:10" ht="18.75" x14ac:dyDescent="0.3">
      <c r="B13" s="26" t="s">
        <v>16</v>
      </c>
      <c r="C13" s="3">
        <v>8545</v>
      </c>
      <c r="D13" s="13">
        <v>18717</v>
      </c>
      <c r="E13" s="3">
        <v>2168130</v>
      </c>
      <c r="F13" s="25">
        <f t="shared" si="0"/>
        <v>253.73083674663545</v>
      </c>
      <c r="G13" s="17"/>
      <c r="H13" s="17"/>
      <c r="I13" s="55"/>
      <c r="J13" s="55"/>
    </row>
    <row r="14" spans="2:10" ht="18.75" x14ac:dyDescent="0.3">
      <c r="B14" s="26" t="s">
        <v>17</v>
      </c>
      <c r="C14" s="3">
        <v>3083</v>
      </c>
      <c r="D14" s="13">
        <v>6110</v>
      </c>
      <c r="E14" s="3">
        <v>712919</v>
      </c>
      <c r="F14" s="25">
        <f t="shared" si="0"/>
        <v>231.24197210509243</v>
      </c>
      <c r="G14" s="17"/>
      <c r="H14" s="17"/>
      <c r="I14" s="55"/>
      <c r="J14" s="55"/>
    </row>
    <row r="15" spans="2:10" ht="19.5" thickBot="1" x14ac:dyDescent="0.35">
      <c r="B15" s="28" t="s">
        <v>18</v>
      </c>
      <c r="C15" s="4">
        <v>9873</v>
      </c>
      <c r="D15" s="13">
        <v>20140</v>
      </c>
      <c r="E15" s="11">
        <v>2372796</v>
      </c>
      <c r="F15" s="25">
        <f t="shared" si="0"/>
        <v>240.33181403828624</v>
      </c>
      <c r="G15" s="17"/>
      <c r="H15" s="17"/>
      <c r="I15" s="55"/>
      <c r="J15" s="55"/>
    </row>
    <row r="16" spans="2:10" ht="19.5" thickBot="1" x14ac:dyDescent="0.35">
      <c r="B16" s="29" t="s">
        <v>19</v>
      </c>
      <c r="C16" s="30">
        <f>SUM(C8:C15)</f>
        <v>51197</v>
      </c>
      <c r="D16" s="30">
        <f t="shared" ref="D16:E16" si="1">SUM(D8:D15)</f>
        <v>107627</v>
      </c>
      <c r="E16" s="30">
        <f t="shared" si="1"/>
        <v>12520431</v>
      </c>
      <c r="F16" s="31">
        <f t="shared" si="0"/>
        <v>244.55399730452956</v>
      </c>
      <c r="G16" s="17"/>
      <c r="H16" s="17"/>
      <c r="I16" s="55"/>
      <c r="J16" s="55"/>
    </row>
    <row r="17" spans="2:17" ht="19.5" thickBot="1" x14ac:dyDescent="0.35">
      <c r="B17" s="32"/>
      <c r="C17" s="33"/>
      <c r="D17" s="33"/>
      <c r="E17" s="33"/>
      <c r="F17" s="33"/>
      <c r="G17" s="2"/>
      <c r="H17" s="2"/>
      <c r="I17" s="55"/>
      <c r="J17" s="55"/>
      <c r="K17" s="2"/>
      <c r="L17" s="2"/>
      <c r="M17" s="2"/>
      <c r="N17" s="2"/>
      <c r="O17" s="2"/>
      <c r="P17" s="2"/>
      <c r="Q17" s="2"/>
    </row>
    <row r="18" spans="2:17" ht="19.5" thickBot="1" x14ac:dyDescent="0.35">
      <c r="B18" s="34" t="s">
        <v>20</v>
      </c>
      <c r="C18" s="35"/>
      <c r="D18" s="35"/>
      <c r="E18" s="35"/>
      <c r="F18" s="36"/>
      <c r="G18" s="2"/>
      <c r="H18" s="2"/>
      <c r="I18" s="55"/>
      <c r="J18" s="55"/>
      <c r="K18" s="2"/>
      <c r="L18" s="2"/>
      <c r="M18" s="2"/>
      <c r="N18" s="2"/>
      <c r="O18" s="2"/>
      <c r="P18" s="2"/>
      <c r="Q18" s="2"/>
    </row>
    <row r="19" spans="2:17" ht="18.75" x14ac:dyDescent="0.3">
      <c r="B19" s="37" t="s">
        <v>21</v>
      </c>
      <c r="C19" s="3">
        <v>14542</v>
      </c>
      <c r="D19" s="6">
        <v>28625</v>
      </c>
      <c r="E19" s="6">
        <v>3385349</v>
      </c>
      <c r="F19" s="27">
        <f t="shared" ref="F19:F32" si="2">E19/C19</f>
        <v>232.7980332829047</v>
      </c>
      <c r="G19" s="38"/>
      <c r="H19" s="38"/>
      <c r="I19" s="55"/>
      <c r="J19" s="55"/>
      <c r="K19" s="38"/>
      <c r="L19" s="38"/>
      <c r="M19" s="38"/>
      <c r="N19" s="38"/>
      <c r="O19" s="38"/>
      <c r="P19" s="38"/>
      <c r="Q19" s="38"/>
    </row>
    <row r="20" spans="2:17" ht="18.75" x14ac:dyDescent="0.3">
      <c r="B20" s="59" t="s">
        <v>22</v>
      </c>
      <c r="C20" s="3">
        <v>6981</v>
      </c>
      <c r="D20" s="3">
        <v>13136</v>
      </c>
      <c r="E20" s="3">
        <v>1558490</v>
      </c>
      <c r="F20" s="27">
        <f t="shared" si="2"/>
        <v>223.24738576135223</v>
      </c>
      <c r="G20" s="38"/>
      <c r="H20" s="38"/>
      <c r="I20" s="55"/>
      <c r="J20" s="55"/>
      <c r="K20" s="38"/>
      <c r="L20" s="38"/>
      <c r="M20" s="38"/>
      <c r="N20" s="38"/>
      <c r="O20" s="38"/>
      <c r="P20" s="38"/>
      <c r="Q20" s="38"/>
    </row>
    <row r="21" spans="2:17" ht="18.75" x14ac:dyDescent="0.3">
      <c r="B21" s="58" t="s">
        <v>23</v>
      </c>
      <c r="C21" s="9">
        <v>5928</v>
      </c>
      <c r="D21" s="3">
        <v>12021</v>
      </c>
      <c r="E21" s="9">
        <v>1402379</v>
      </c>
      <c r="F21" s="27">
        <f t="shared" si="2"/>
        <v>236.56865721997301</v>
      </c>
      <c r="G21" s="2"/>
      <c r="H21" s="2"/>
      <c r="I21" s="55"/>
      <c r="J21" s="55"/>
      <c r="K21" s="2"/>
      <c r="L21" s="2"/>
      <c r="M21" s="2"/>
      <c r="N21" s="2"/>
      <c r="O21" s="2"/>
      <c r="P21" s="2"/>
      <c r="Q21" s="2"/>
    </row>
    <row r="22" spans="2:17" ht="18.75" x14ac:dyDescent="0.3">
      <c r="B22" s="26" t="s">
        <v>24</v>
      </c>
      <c r="C22" s="9">
        <v>7654</v>
      </c>
      <c r="D22" s="3">
        <v>15817</v>
      </c>
      <c r="E22" s="9">
        <v>1824264</v>
      </c>
      <c r="F22" s="27">
        <f t="shared" si="2"/>
        <v>238.3412594721714</v>
      </c>
      <c r="G22" s="2"/>
      <c r="H22" s="2"/>
      <c r="I22" s="55"/>
      <c r="J22" s="55"/>
      <c r="K22" s="2"/>
      <c r="L22" s="2"/>
      <c r="M22" s="2"/>
      <c r="N22" s="2"/>
      <c r="O22" s="2"/>
      <c r="P22" s="2"/>
      <c r="Q22" s="2"/>
    </row>
    <row r="23" spans="2:17" ht="18.75" x14ac:dyDescent="0.3">
      <c r="B23" s="26" t="s">
        <v>25</v>
      </c>
      <c r="C23" s="9">
        <v>4747</v>
      </c>
      <c r="D23" s="3">
        <v>10365</v>
      </c>
      <c r="E23" s="9">
        <v>1188757</v>
      </c>
      <c r="F23" s="27">
        <f t="shared" si="2"/>
        <v>250.4227933431641</v>
      </c>
      <c r="G23" s="2"/>
      <c r="H23" s="2"/>
      <c r="I23" s="55"/>
      <c r="J23" s="55"/>
      <c r="K23" s="2"/>
      <c r="L23" s="2"/>
      <c r="M23" s="2"/>
      <c r="N23" s="2"/>
      <c r="O23" s="2"/>
      <c r="P23" s="2"/>
      <c r="Q23" s="2"/>
    </row>
    <row r="24" spans="2:17" ht="18.75" x14ac:dyDescent="0.3">
      <c r="B24" s="26" t="s">
        <v>26</v>
      </c>
      <c r="C24" s="9">
        <v>3225</v>
      </c>
      <c r="D24" s="3">
        <v>6886</v>
      </c>
      <c r="E24" s="9">
        <v>800362</v>
      </c>
      <c r="F24" s="27">
        <f t="shared" si="2"/>
        <v>248.17426356589147</v>
      </c>
      <c r="G24" s="2"/>
      <c r="H24" s="2"/>
      <c r="I24" s="55"/>
      <c r="J24" s="55"/>
      <c r="K24" s="2"/>
      <c r="L24" s="2"/>
      <c r="M24" s="2"/>
      <c r="N24" s="2"/>
      <c r="O24" s="2"/>
      <c r="P24" s="2"/>
      <c r="Q24" s="2"/>
    </row>
    <row r="25" spans="2:17" ht="18.75" x14ac:dyDescent="0.3">
      <c r="B25" s="26" t="s">
        <v>27</v>
      </c>
      <c r="C25" s="9">
        <v>8376</v>
      </c>
      <c r="D25" s="3">
        <v>17349</v>
      </c>
      <c r="E25" s="9">
        <v>2022693</v>
      </c>
      <c r="F25" s="27">
        <f t="shared" si="2"/>
        <v>241.48674785100286</v>
      </c>
      <c r="G25" s="2"/>
      <c r="H25" s="2"/>
      <c r="I25" s="55"/>
      <c r="J25" s="55"/>
      <c r="K25" s="2"/>
      <c r="L25" s="2"/>
      <c r="M25" s="2"/>
      <c r="N25" s="2"/>
      <c r="O25" s="2"/>
      <c r="P25" s="2"/>
      <c r="Q25" s="2"/>
    </row>
    <row r="26" spans="2:17" ht="18.75" x14ac:dyDescent="0.3">
      <c r="B26" s="26" t="s">
        <v>28</v>
      </c>
      <c r="C26" s="9">
        <v>7376</v>
      </c>
      <c r="D26" s="3">
        <v>16000</v>
      </c>
      <c r="E26" s="9">
        <v>1856148</v>
      </c>
      <c r="F26" s="27">
        <f t="shared" si="2"/>
        <v>251.64696312364424</v>
      </c>
      <c r="G26" s="2"/>
      <c r="H26" s="2"/>
      <c r="I26" s="55"/>
      <c r="J26" s="55"/>
      <c r="K26" s="2"/>
      <c r="L26" s="2"/>
      <c r="M26" s="2"/>
      <c r="N26" s="2"/>
      <c r="O26" s="2"/>
      <c r="P26" s="2"/>
      <c r="Q26" s="2"/>
    </row>
    <row r="27" spans="2:17" ht="18.75" x14ac:dyDescent="0.3">
      <c r="B27" s="26" t="s">
        <v>29</v>
      </c>
      <c r="C27" s="9">
        <v>9673</v>
      </c>
      <c r="D27" s="3">
        <v>19540</v>
      </c>
      <c r="E27" s="9">
        <v>2275852</v>
      </c>
      <c r="F27" s="27">
        <f t="shared" si="2"/>
        <v>235.27881732657914</v>
      </c>
      <c r="G27" s="2"/>
      <c r="H27" s="2"/>
      <c r="I27" s="55"/>
      <c r="J27" s="55"/>
      <c r="K27" s="2"/>
      <c r="L27" s="2"/>
      <c r="M27" s="2"/>
      <c r="N27" s="2"/>
      <c r="O27" s="2"/>
      <c r="P27" s="2"/>
      <c r="Q27" s="2"/>
    </row>
    <row r="28" spans="2:17" ht="18.75" x14ac:dyDescent="0.3">
      <c r="B28" s="26" t="s">
        <v>30</v>
      </c>
      <c r="C28" s="9">
        <v>6514</v>
      </c>
      <c r="D28" s="3">
        <v>15022</v>
      </c>
      <c r="E28" s="9">
        <v>1713028</v>
      </c>
      <c r="F28" s="27">
        <f t="shared" si="2"/>
        <v>262.97635861221983</v>
      </c>
      <c r="G28" s="2"/>
      <c r="H28" s="2"/>
      <c r="I28" s="55"/>
      <c r="J28" s="55"/>
      <c r="K28" s="2"/>
      <c r="L28" s="2"/>
      <c r="M28" s="2"/>
      <c r="N28" s="2"/>
      <c r="O28" s="2"/>
      <c r="P28" s="2"/>
      <c r="Q28" s="2"/>
    </row>
    <row r="29" spans="2:17" ht="18.75" x14ac:dyDescent="0.3">
      <c r="B29" s="26" t="s">
        <v>31</v>
      </c>
      <c r="C29" s="9">
        <v>5596</v>
      </c>
      <c r="D29" s="3">
        <v>12070</v>
      </c>
      <c r="E29" s="9">
        <v>1388563</v>
      </c>
      <c r="F29" s="27">
        <f t="shared" si="2"/>
        <v>248.13491779842744</v>
      </c>
      <c r="G29" s="2"/>
      <c r="H29" s="2"/>
      <c r="I29" s="55"/>
      <c r="J29" s="55"/>
      <c r="K29" s="2"/>
      <c r="L29" s="2"/>
      <c r="M29" s="2"/>
      <c r="N29" s="2"/>
      <c r="O29" s="2"/>
      <c r="P29" s="2"/>
      <c r="Q29" s="2"/>
    </row>
    <row r="30" spans="2:17" ht="18.75" x14ac:dyDescent="0.3">
      <c r="B30" s="39" t="s">
        <v>32</v>
      </c>
      <c r="C30" s="8">
        <v>5474</v>
      </c>
      <c r="D30" s="13">
        <v>12134</v>
      </c>
      <c r="E30" s="8">
        <v>1412918</v>
      </c>
      <c r="F30" s="27">
        <f t="shared" si="2"/>
        <v>258.11435878699308</v>
      </c>
      <c r="G30" s="2"/>
      <c r="H30" s="2"/>
      <c r="I30" s="55"/>
      <c r="J30" s="55"/>
      <c r="K30" s="2"/>
      <c r="L30" s="2"/>
      <c r="M30" s="2"/>
      <c r="N30" s="2"/>
      <c r="O30" s="2"/>
      <c r="P30" s="2"/>
      <c r="Q30" s="2"/>
    </row>
    <row r="31" spans="2:17" ht="19.5" thickBot="1" x14ac:dyDescent="0.35">
      <c r="B31" s="39" t="s">
        <v>33</v>
      </c>
      <c r="C31" s="56">
        <v>1923</v>
      </c>
      <c r="D31" s="5">
        <v>4142</v>
      </c>
      <c r="E31" s="57">
        <v>484774</v>
      </c>
      <c r="F31" s="27">
        <f t="shared" si="2"/>
        <v>252.09256370254809</v>
      </c>
      <c r="G31" s="2"/>
      <c r="H31" s="2"/>
      <c r="I31" s="55"/>
      <c r="J31" s="55"/>
      <c r="K31" s="2"/>
      <c r="L31" s="2"/>
      <c r="M31" s="2"/>
      <c r="N31" s="2"/>
      <c r="O31" s="2"/>
      <c r="P31" s="2"/>
      <c r="Q31" s="2"/>
    </row>
    <row r="32" spans="2:17" ht="19.5" thickBot="1" x14ac:dyDescent="0.35">
      <c r="B32" s="29" t="s">
        <v>34</v>
      </c>
      <c r="C32" s="40">
        <f>SUM(C19:C31)</f>
        <v>88009</v>
      </c>
      <c r="D32" s="40">
        <f t="shared" ref="D32:E32" si="3">SUM(D19:D31)</f>
        <v>183107</v>
      </c>
      <c r="E32" s="40">
        <f t="shared" si="3"/>
        <v>21313577</v>
      </c>
      <c r="F32" s="31">
        <f t="shared" si="2"/>
        <v>242.1749707416287</v>
      </c>
      <c r="G32" s="2"/>
      <c r="H32" s="2"/>
      <c r="I32" s="55"/>
      <c r="J32" s="55"/>
      <c r="K32" s="2"/>
      <c r="L32" s="2"/>
      <c r="M32" s="2"/>
      <c r="N32" s="2"/>
      <c r="O32" s="2"/>
      <c r="P32" s="2"/>
      <c r="Q32" s="2"/>
    </row>
    <row r="33" spans="2:10" ht="19.5" thickBot="1" x14ac:dyDescent="0.35">
      <c r="B33" s="32"/>
      <c r="C33" s="41"/>
      <c r="D33" s="41"/>
      <c r="E33" s="41"/>
      <c r="F33" s="33"/>
      <c r="G33" s="17"/>
      <c r="H33" s="17"/>
      <c r="I33" s="55"/>
      <c r="J33" s="55"/>
    </row>
    <row r="34" spans="2:10" ht="19.5" thickBot="1" x14ac:dyDescent="0.35">
      <c r="B34" s="21" t="s">
        <v>35</v>
      </c>
      <c r="C34" s="42"/>
      <c r="D34" s="42"/>
      <c r="E34" s="42"/>
      <c r="F34" s="43"/>
      <c r="G34" s="17"/>
      <c r="H34" s="17"/>
      <c r="I34" s="55"/>
      <c r="J34" s="55"/>
    </row>
    <row r="35" spans="2:10" ht="18.75" x14ac:dyDescent="0.3">
      <c r="B35" s="24" t="s">
        <v>36</v>
      </c>
      <c r="C35" s="16">
        <v>8643</v>
      </c>
      <c r="D35" s="7">
        <v>18355</v>
      </c>
      <c r="E35" s="8">
        <v>2126605</v>
      </c>
      <c r="F35" s="27">
        <f t="shared" ref="F35:F48" si="4">E35/C35</f>
        <v>246.04940414208031</v>
      </c>
      <c r="G35" s="17"/>
      <c r="H35" s="17"/>
      <c r="I35" s="55"/>
      <c r="J35" s="55"/>
    </row>
    <row r="36" spans="2:10" ht="18.75" x14ac:dyDescent="0.3">
      <c r="B36" s="26" t="s">
        <v>37</v>
      </c>
      <c r="C36" s="9">
        <v>8742</v>
      </c>
      <c r="D36" s="7">
        <v>17606</v>
      </c>
      <c r="E36" s="9">
        <v>2043400</v>
      </c>
      <c r="F36" s="27">
        <f t="shared" si="4"/>
        <v>233.74513841226263</v>
      </c>
      <c r="G36" s="17"/>
      <c r="H36" s="17"/>
      <c r="I36" s="55"/>
      <c r="J36" s="55"/>
    </row>
    <row r="37" spans="2:10" ht="18.75" x14ac:dyDescent="0.3">
      <c r="B37" s="26" t="s">
        <v>38</v>
      </c>
      <c r="C37" s="9">
        <v>10055</v>
      </c>
      <c r="D37" s="7">
        <v>20928</v>
      </c>
      <c r="E37" s="9">
        <v>2410266</v>
      </c>
      <c r="F37" s="27">
        <f t="shared" si="4"/>
        <v>239.70820487319742</v>
      </c>
      <c r="G37" s="17"/>
      <c r="H37" s="17"/>
      <c r="I37" s="55"/>
      <c r="J37" s="55"/>
    </row>
    <row r="38" spans="2:10" ht="18.75" x14ac:dyDescent="0.3">
      <c r="B38" s="26" t="s">
        <v>39</v>
      </c>
      <c r="C38" s="9">
        <v>5099</v>
      </c>
      <c r="D38" s="7">
        <v>10855</v>
      </c>
      <c r="E38" s="9">
        <v>1272217</v>
      </c>
      <c r="F38" s="27">
        <f t="shared" si="4"/>
        <v>249.50323592861346</v>
      </c>
      <c r="G38" s="17"/>
      <c r="H38" s="17"/>
      <c r="I38" s="55"/>
      <c r="J38" s="55"/>
    </row>
    <row r="39" spans="2:10" ht="18.75" x14ac:dyDescent="0.3">
      <c r="B39" s="26" t="s">
        <v>40</v>
      </c>
      <c r="C39" s="9">
        <v>7830</v>
      </c>
      <c r="D39" s="7">
        <v>17100</v>
      </c>
      <c r="E39" s="9">
        <v>1970764</v>
      </c>
      <c r="F39" s="27">
        <f t="shared" si="4"/>
        <v>251.69399744572158</v>
      </c>
      <c r="G39" s="17"/>
      <c r="H39" s="17"/>
      <c r="I39" s="55"/>
      <c r="J39" s="55"/>
    </row>
    <row r="40" spans="2:10" ht="18.75" x14ac:dyDescent="0.3">
      <c r="B40" s="26" t="s">
        <v>41</v>
      </c>
      <c r="C40" s="9">
        <v>5696</v>
      </c>
      <c r="D40" s="7">
        <v>11792</v>
      </c>
      <c r="E40" s="9">
        <v>1351855</v>
      </c>
      <c r="F40" s="27">
        <f t="shared" si="4"/>
        <v>237.33409410112358</v>
      </c>
      <c r="G40" s="17"/>
      <c r="H40" s="17"/>
      <c r="I40" s="55"/>
      <c r="J40" s="55"/>
    </row>
    <row r="41" spans="2:10" ht="18.75" x14ac:dyDescent="0.3">
      <c r="B41" s="26" t="s">
        <v>42</v>
      </c>
      <c r="C41" s="9">
        <v>6931</v>
      </c>
      <c r="D41" s="7">
        <v>15192</v>
      </c>
      <c r="E41" s="9">
        <v>1729785</v>
      </c>
      <c r="F41" s="27">
        <f t="shared" si="4"/>
        <v>249.57221180204877</v>
      </c>
      <c r="G41" s="17"/>
      <c r="H41" s="17"/>
      <c r="I41" s="55"/>
      <c r="J41" s="55"/>
    </row>
    <row r="42" spans="2:10" ht="18.75" x14ac:dyDescent="0.3">
      <c r="B42" s="26" t="s">
        <v>43</v>
      </c>
      <c r="C42" s="9">
        <v>10058</v>
      </c>
      <c r="D42" s="7">
        <v>22298</v>
      </c>
      <c r="E42" s="9">
        <v>2557413</v>
      </c>
      <c r="F42" s="27">
        <f t="shared" si="4"/>
        <v>254.26655398687612</v>
      </c>
      <c r="G42" s="17"/>
      <c r="H42" s="17"/>
      <c r="I42" s="55"/>
      <c r="J42" s="55"/>
    </row>
    <row r="43" spans="2:10" ht="18.75" x14ac:dyDescent="0.3">
      <c r="B43" s="26" t="s">
        <v>44</v>
      </c>
      <c r="C43" s="9">
        <v>6750</v>
      </c>
      <c r="D43" s="7">
        <v>14419</v>
      </c>
      <c r="E43" s="9">
        <v>1660896</v>
      </c>
      <c r="F43" s="27">
        <f t="shared" si="4"/>
        <v>246.05866666666665</v>
      </c>
      <c r="G43" s="17"/>
      <c r="H43" s="17"/>
      <c r="I43" s="55"/>
      <c r="J43" s="55"/>
    </row>
    <row r="44" spans="2:10" ht="18.75" x14ac:dyDescent="0.3">
      <c r="B44" s="26" t="s">
        <v>45</v>
      </c>
      <c r="C44" s="9">
        <v>5428</v>
      </c>
      <c r="D44" s="7">
        <v>11167</v>
      </c>
      <c r="E44" s="9">
        <v>1275894</v>
      </c>
      <c r="F44" s="27">
        <f t="shared" si="4"/>
        <v>235.05784819454681</v>
      </c>
      <c r="G44" s="17"/>
      <c r="H44" s="17"/>
      <c r="I44" s="55"/>
      <c r="J44" s="55"/>
    </row>
    <row r="45" spans="2:10" ht="18.75" x14ac:dyDescent="0.3">
      <c r="B45" s="26" t="s">
        <v>46</v>
      </c>
      <c r="C45" s="9">
        <v>7249</v>
      </c>
      <c r="D45" s="7">
        <v>15718</v>
      </c>
      <c r="E45" s="9">
        <v>1811756</v>
      </c>
      <c r="F45" s="27">
        <f t="shared" si="4"/>
        <v>249.93185266933369</v>
      </c>
      <c r="G45" s="17"/>
      <c r="H45" s="17"/>
      <c r="I45" s="55"/>
      <c r="J45" s="55"/>
    </row>
    <row r="46" spans="2:10" ht="18.75" x14ac:dyDescent="0.3">
      <c r="B46" s="39" t="s">
        <v>47</v>
      </c>
      <c r="C46" s="9">
        <v>6604</v>
      </c>
      <c r="D46" s="7">
        <v>13722</v>
      </c>
      <c r="E46" s="12">
        <v>1603439</v>
      </c>
      <c r="F46" s="27">
        <f t="shared" si="4"/>
        <v>242.79815263476681</v>
      </c>
      <c r="G46" s="17"/>
      <c r="H46" s="17"/>
      <c r="I46" s="55"/>
      <c r="J46" s="55"/>
    </row>
    <row r="47" spans="2:10" ht="19.5" thickBot="1" x14ac:dyDescent="0.35">
      <c r="B47" s="39" t="s">
        <v>48</v>
      </c>
      <c r="C47" s="56">
        <v>4983</v>
      </c>
      <c r="D47" s="7">
        <v>10289</v>
      </c>
      <c r="E47" s="12">
        <v>1186190</v>
      </c>
      <c r="F47" s="27">
        <f t="shared" si="4"/>
        <v>238.04736102749348</v>
      </c>
      <c r="G47" s="17"/>
      <c r="H47" s="17"/>
      <c r="I47" s="55"/>
      <c r="J47" s="55"/>
    </row>
    <row r="48" spans="2:10" ht="19.5" thickBot="1" x14ac:dyDescent="0.35">
      <c r="B48" s="29" t="s">
        <v>49</v>
      </c>
      <c r="C48" s="40">
        <f>SUM(C35:C47)</f>
        <v>94068</v>
      </c>
      <c r="D48" s="40">
        <f t="shared" ref="D48:E48" si="5">SUM(D35:D47)</f>
        <v>199441</v>
      </c>
      <c r="E48" s="40">
        <f t="shared" si="5"/>
        <v>23000480</v>
      </c>
      <c r="F48" s="31">
        <f t="shared" si="4"/>
        <v>244.50907853892929</v>
      </c>
      <c r="G48" s="17"/>
      <c r="H48" s="17"/>
      <c r="I48" s="55"/>
      <c r="J48" s="55"/>
    </row>
    <row r="49" spans="2:10" ht="19.5" thickBot="1" x14ac:dyDescent="0.35">
      <c r="B49" s="44"/>
      <c r="C49" s="45"/>
      <c r="D49" s="45"/>
      <c r="E49" s="45"/>
      <c r="F49" s="46"/>
      <c r="G49" s="17"/>
      <c r="H49" s="17"/>
      <c r="I49" s="55"/>
      <c r="J49" s="55"/>
    </row>
    <row r="50" spans="2:10" ht="19.5" thickBot="1" x14ac:dyDescent="0.35">
      <c r="B50" s="21" t="s">
        <v>50</v>
      </c>
      <c r="C50" s="42"/>
      <c r="D50" s="42"/>
      <c r="E50" s="42"/>
      <c r="F50" s="43"/>
      <c r="G50" s="17"/>
      <c r="H50" s="17"/>
      <c r="I50" s="55"/>
      <c r="J50" s="55"/>
    </row>
    <row r="51" spans="2:10" ht="18.75" x14ac:dyDescent="0.3">
      <c r="B51" s="24" t="s">
        <v>51</v>
      </c>
      <c r="C51" s="16">
        <v>5306</v>
      </c>
      <c r="D51" s="7">
        <v>11167</v>
      </c>
      <c r="E51" s="8">
        <v>1294835</v>
      </c>
      <c r="F51" s="27">
        <f t="shared" ref="F51:F58" si="6">E51/C51</f>
        <v>244.03222766679232</v>
      </c>
      <c r="G51" s="17"/>
      <c r="H51" s="17"/>
      <c r="I51" s="55"/>
      <c r="J51" s="55"/>
    </row>
    <row r="52" spans="2:10" ht="18.75" x14ac:dyDescent="0.3">
      <c r="B52" s="26" t="s">
        <v>52</v>
      </c>
      <c r="C52" s="9">
        <v>7839</v>
      </c>
      <c r="D52" s="7">
        <v>17480</v>
      </c>
      <c r="E52" s="9">
        <v>2029669</v>
      </c>
      <c r="F52" s="27">
        <f t="shared" si="6"/>
        <v>258.91937747161626</v>
      </c>
      <c r="G52" s="17"/>
      <c r="H52" s="17"/>
      <c r="I52" s="55"/>
      <c r="J52" s="55"/>
    </row>
    <row r="53" spans="2:10" ht="18.75" x14ac:dyDescent="0.3">
      <c r="B53" s="26" t="s">
        <v>53</v>
      </c>
      <c r="C53" s="9">
        <v>21396</v>
      </c>
      <c r="D53" s="7">
        <v>43450</v>
      </c>
      <c r="E53" s="9">
        <v>5002552</v>
      </c>
      <c r="F53" s="27">
        <f t="shared" si="6"/>
        <v>233.80781454477471</v>
      </c>
      <c r="G53" s="17"/>
      <c r="H53" s="75"/>
      <c r="I53" s="55"/>
      <c r="J53" s="55"/>
    </row>
    <row r="54" spans="2:10" ht="18.75" x14ac:dyDescent="0.3">
      <c r="B54" s="26" t="s">
        <v>54</v>
      </c>
      <c r="C54" s="9">
        <v>6872</v>
      </c>
      <c r="D54" s="7">
        <v>14817</v>
      </c>
      <c r="E54" s="9">
        <v>1688941</v>
      </c>
      <c r="F54" s="27">
        <f t="shared" si="6"/>
        <v>245.7713911525029</v>
      </c>
      <c r="G54" s="17"/>
      <c r="H54" s="17"/>
      <c r="I54" s="55"/>
      <c r="J54" s="55"/>
    </row>
    <row r="55" spans="2:10" ht="18.75" x14ac:dyDescent="0.3">
      <c r="B55" s="26" t="s">
        <v>55</v>
      </c>
      <c r="C55" s="9">
        <v>5403</v>
      </c>
      <c r="D55" s="7">
        <v>11035</v>
      </c>
      <c r="E55" s="9">
        <v>1297538</v>
      </c>
      <c r="F55" s="27">
        <f t="shared" si="6"/>
        <v>240.15139737183046</v>
      </c>
      <c r="G55" s="17"/>
      <c r="H55" s="75"/>
      <c r="I55" s="55"/>
      <c r="J55" s="55"/>
    </row>
    <row r="56" spans="2:10" ht="18.75" x14ac:dyDescent="0.3">
      <c r="B56" s="26" t="s">
        <v>56</v>
      </c>
      <c r="C56" s="9">
        <v>5549</v>
      </c>
      <c r="D56" s="7">
        <v>11446</v>
      </c>
      <c r="E56" s="9">
        <v>1316133</v>
      </c>
      <c r="F56" s="27">
        <f t="shared" si="6"/>
        <v>237.18381690394665</v>
      </c>
      <c r="G56" s="17"/>
      <c r="H56" s="17"/>
      <c r="I56" s="55"/>
      <c r="J56" s="55"/>
    </row>
    <row r="57" spans="2:10" ht="19.5" thickBot="1" x14ac:dyDescent="0.35">
      <c r="B57" s="26" t="s">
        <v>57</v>
      </c>
      <c r="C57" s="10">
        <v>7659</v>
      </c>
      <c r="D57" s="7">
        <v>15628</v>
      </c>
      <c r="E57" s="9">
        <v>1792283</v>
      </c>
      <c r="F57" s="27">
        <f t="shared" si="6"/>
        <v>234.01005353179266</v>
      </c>
      <c r="G57" s="17"/>
      <c r="H57" s="17"/>
      <c r="I57" s="55"/>
      <c r="J57" s="55"/>
    </row>
    <row r="58" spans="2:10" ht="19.5" thickBot="1" x14ac:dyDescent="0.35">
      <c r="B58" s="29" t="s">
        <v>49</v>
      </c>
      <c r="C58" s="40">
        <f>SUM(C51:C57)</f>
        <v>60024</v>
      </c>
      <c r="D58" s="40">
        <f t="shared" ref="D58:E58" si="7">SUM(D51:D57)</f>
        <v>125023</v>
      </c>
      <c r="E58" s="40">
        <f t="shared" si="7"/>
        <v>14421951</v>
      </c>
      <c r="F58" s="31">
        <f t="shared" si="6"/>
        <v>240.26974210315873</v>
      </c>
      <c r="G58" s="17"/>
      <c r="H58" s="17"/>
      <c r="I58" s="55"/>
      <c r="J58" s="55"/>
    </row>
    <row r="59" spans="2:10" ht="19.5" thickBot="1" x14ac:dyDescent="0.35">
      <c r="B59" s="44"/>
      <c r="C59" s="45"/>
      <c r="D59" s="45"/>
      <c r="E59" s="45"/>
      <c r="F59" s="46"/>
      <c r="G59" s="17"/>
      <c r="H59" s="17"/>
      <c r="I59" s="55"/>
      <c r="J59" s="55"/>
    </row>
    <row r="60" spans="2:10" ht="19.5" thickBot="1" x14ac:dyDescent="0.35">
      <c r="B60" s="21" t="s">
        <v>58</v>
      </c>
      <c r="C60" s="42"/>
      <c r="D60" s="42"/>
      <c r="E60" s="42"/>
      <c r="F60" s="43"/>
      <c r="G60" s="17"/>
      <c r="H60" s="17"/>
      <c r="I60" s="55"/>
      <c r="J60" s="55"/>
    </row>
    <row r="61" spans="2:10" ht="18.75" x14ac:dyDescent="0.3">
      <c r="B61" s="24" t="s">
        <v>59</v>
      </c>
      <c r="C61" s="16">
        <v>8741</v>
      </c>
      <c r="D61" s="7">
        <v>18678</v>
      </c>
      <c r="E61" s="8">
        <v>2146112</v>
      </c>
      <c r="F61" s="27">
        <f t="shared" ref="F61:F68" si="8">E61/C61</f>
        <v>245.52248026541585</v>
      </c>
      <c r="G61" s="17"/>
      <c r="H61" s="17"/>
      <c r="I61" s="55"/>
      <c r="J61" s="55"/>
    </row>
    <row r="62" spans="2:10" ht="18.75" x14ac:dyDescent="0.3">
      <c r="B62" s="26" t="s">
        <v>60</v>
      </c>
      <c r="C62" s="9">
        <v>9522</v>
      </c>
      <c r="D62" s="7">
        <v>19987</v>
      </c>
      <c r="E62" s="9">
        <v>2306284</v>
      </c>
      <c r="F62" s="27">
        <f t="shared" si="8"/>
        <v>242.2058391094308</v>
      </c>
      <c r="G62" s="17"/>
      <c r="H62" s="17"/>
      <c r="I62" s="55"/>
      <c r="J62" s="55"/>
    </row>
    <row r="63" spans="2:10" ht="18.75" x14ac:dyDescent="0.3">
      <c r="B63" s="26" t="s">
        <v>61</v>
      </c>
      <c r="C63" s="9">
        <v>11282</v>
      </c>
      <c r="D63" s="7">
        <v>22820</v>
      </c>
      <c r="E63" s="9">
        <v>2631270</v>
      </c>
      <c r="F63" s="27">
        <f t="shared" si="8"/>
        <v>233.22726466938485</v>
      </c>
      <c r="G63" s="17"/>
      <c r="H63" s="17"/>
      <c r="I63" s="55"/>
      <c r="J63" s="55"/>
    </row>
    <row r="64" spans="2:10" ht="18.75" x14ac:dyDescent="0.3">
      <c r="B64" s="26" t="s">
        <v>62</v>
      </c>
      <c r="C64" s="9">
        <v>5159</v>
      </c>
      <c r="D64" s="7">
        <v>11566</v>
      </c>
      <c r="E64" s="9">
        <v>1344582</v>
      </c>
      <c r="F64" s="27">
        <f t="shared" si="8"/>
        <v>260.62841635975963</v>
      </c>
      <c r="G64" s="17"/>
      <c r="H64" s="17"/>
      <c r="I64" s="55"/>
      <c r="J64" s="55"/>
    </row>
    <row r="65" spans="2:10" ht="18.75" x14ac:dyDescent="0.3">
      <c r="B65" s="26" t="s">
        <v>63</v>
      </c>
      <c r="C65" s="9">
        <v>3868</v>
      </c>
      <c r="D65" s="7">
        <v>8050</v>
      </c>
      <c r="E65" s="9">
        <v>923038</v>
      </c>
      <c r="F65" s="27">
        <f t="shared" si="8"/>
        <v>238.63443640124095</v>
      </c>
      <c r="G65" s="17"/>
      <c r="H65" s="17"/>
      <c r="I65" s="55"/>
      <c r="J65" s="55"/>
    </row>
    <row r="66" spans="2:10" ht="18.75" x14ac:dyDescent="0.3">
      <c r="B66" s="26" t="s">
        <v>64</v>
      </c>
      <c r="C66" s="9">
        <v>9724</v>
      </c>
      <c r="D66" s="7">
        <v>20442</v>
      </c>
      <c r="E66" s="9">
        <v>2346915</v>
      </c>
      <c r="F66" s="27">
        <f t="shared" si="8"/>
        <v>241.35283833813244</v>
      </c>
      <c r="G66" s="17"/>
      <c r="H66" s="17"/>
      <c r="I66" s="55"/>
      <c r="J66" s="55"/>
    </row>
    <row r="67" spans="2:10" ht="19.5" thickBot="1" x14ac:dyDescent="0.35">
      <c r="B67" s="26" t="s">
        <v>66</v>
      </c>
      <c r="C67" s="9">
        <v>9103</v>
      </c>
      <c r="D67" s="7">
        <v>18609</v>
      </c>
      <c r="E67" s="9">
        <v>2162192</v>
      </c>
      <c r="F67" s="27">
        <f t="shared" si="8"/>
        <v>237.52521146874656</v>
      </c>
      <c r="G67" s="17"/>
      <c r="H67" s="17"/>
      <c r="I67" s="55"/>
      <c r="J67" s="55"/>
    </row>
    <row r="68" spans="2:10" ht="19.5" thickBot="1" x14ac:dyDescent="0.35">
      <c r="B68" s="29" t="s">
        <v>49</v>
      </c>
      <c r="C68" s="40">
        <f>SUM(C61:C67)</f>
        <v>57399</v>
      </c>
      <c r="D68" s="40">
        <f>SUM(D61:D67)</f>
        <v>120152</v>
      </c>
      <c r="E68" s="40">
        <f>SUM(E61:E67)</f>
        <v>13860393</v>
      </c>
      <c r="F68" s="31">
        <f t="shared" si="8"/>
        <v>241.47446819631003</v>
      </c>
      <c r="G68" s="17"/>
      <c r="H68" s="17"/>
      <c r="I68" s="55"/>
      <c r="J68" s="55"/>
    </row>
    <row r="69" spans="2:10" ht="19.5" thickBot="1" x14ac:dyDescent="0.35">
      <c r="B69" s="44"/>
      <c r="C69" s="45"/>
      <c r="D69" s="45"/>
      <c r="E69" s="45"/>
      <c r="F69" s="46"/>
      <c r="G69" s="17"/>
      <c r="H69" s="17"/>
      <c r="I69" s="55"/>
      <c r="J69" s="55"/>
    </row>
    <row r="70" spans="2:10" ht="19.5" thickBot="1" x14ac:dyDescent="0.35">
      <c r="B70" s="21" t="s">
        <v>67</v>
      </c>
      <c r="C70" s="42"/>
      <c r="D70" s="42"/>
      <c r="E70" s="42"/>
      <c r="F70" s="43"/>
      <c r="G70" s="17"/>
      <c r="H70" s="17"/>
      <c r="I70" s="55"/>
      <c r="J70" s="55"/>
    </row>
    <row r="71" spans="2:10" ht="18.75" x14ac:dyDescent="0.3">
      <c r="B71" s="24" t="s">
        <v>68</v>
      </c>
      <c r="C71" s="16">
        <v>3970</v>
      </c>
      <c r="D71" s="7">
        <v>8515</v>
      </c>
      <c r="E71" s="8">
        <v>976551</v>
      </c>
      <c r="F71" s="27">
        <f t="shared" ref="F71:F77" si="9">E71/C71</f>
        <v>245.98261964735516</v>
      </c>
      <c r="G71" s="17"/>
      <c r="H71" s="17"/>
      <c r="I71" s="55"/>
      <c r="J71" s="55"/>
    </row>
    <row r="72" spans="2:10" ht="18.75" x14ac:dyDescent="0.3">
      <c r="B72" s="26" t="s">
        <v>69</v>
      </c>
      <c r="C72" s="9">
        <v>6960</v>
      </c>
      <c r="D72" s="7">
        <v>13647</v>
      </c>
      <c r="E72" s="9">
        <v>1557776</v>
      </c>
      <c r="F72" s="27">
        <f t="shared" si="9"/>
        <v>223.8183908045977</v>
      </c>
      <c r="G72" s="17"/>
      <c r="H72" s="17"/>
      <c r="I72" s="55"/>
      <c r="J72" s="55"/>
    </row>
    <row r="73" spans="2:10" ht="18.75" x14ac:dyDescent="0.3">
      <c r="B73" s="26" t="s">
        <v>67</v>
      </c>
      <c r="C73" s="9">
        <v>8080</v>
      </c>
      <c r="D73" s="7">
        <v>17048</v>
      </c>
      <c r="E73" s="9">
        <v>1954378</v>
      </c>
      <c r="F73" s="27">
        <f t="shared" si="9"/>
        <v>241.87846534653465</v>
      </c>
      <c r="G73" s="17"/>
      <c r="H73" s="17"/>
      <c r="I73" s="55"/>
      <c r="J73" s="55"/>
    </row>
    <row r="74" spans="2:10" ht="18.75" x14ac:dyDescent="0.3">
      <c r="B74" s="26" t="s">
        <v>70</v>
      </c>
      <c r="C74" s="9">
        <v>4243</v>
      </c>
      <c r="D74" s="7">
        <v>8742</v>
      </c>
      <c r="E74" s="9">
        <v>1005814</v>
      </c>
      <c r="F74" s="27">
        <f t="shared" si="9"/>
        <v>237.0525571529578</v>
      </c>
      <c r="G74" s="17"/>
      <c r="H74" s="17"/>
      <c r="I74" s="55"/>
      <c r="J74" s="55"/>
    </row>
    <row r="75" spans="2:10" ht="18.75" x14ac:dyDescent="0.3">
      <c r="B75" s="26" t="s">
        <v>71</v>
      </c>
      <c r="C75" s="9">
        <v>6206</v>
      </c>
      <c r="D75" s="7">
        <v>12990</v>
      </c>
      <c r="E75" s="9">
        <v>1490912</v>
      </c>
      <c r="F75" s="27">
        <f t="shared" si="9"/>
        <v>240.2371898163068</v>
      </c>
      <c r="G75" s="17"/>
      <c r="H75" s="17"/>
      <c r="I75" s="55"/>
      <c r="J75" s="55"/>
    </row>
    <row r="76" spans="2:10" ht="19.5" thickBot="1" x14ac:dyDescent="0.35">
      <c r="B76" s="28" t="s">
        <v>72</v>
      </c>
      <c r="C76" s="10">
        <v>3953</v>
      </c>
      <c r="D76" s="7">
        <v>8604</v>
      </c>
      <c r="E76" s="10">
        <v>971574</v>
      </c>
      <c r="F76" s="27">
        <f t="shared" si="9"/>
        <v>245.7814318239312</v>
      </c>
      <c r="G76" s="17"/>
      <c r="H76" s="17"/>
      <c r="I76" s="55"/>
      <c r="J76" s="55"/>
    </row>
    <row r="77" spans="2:10" ht="19.5" thickBot="1" x14ac:dyDescent="0.35">
      <c r="B77" s="29" t="s">
        <v>49</v>
      </c>
      <c r="C77" s="40">
        <f>SUM(C71:C76)</f>
        <v>33412</v>
      </c>
      <c r="D77" s="40">
        <f t="shared" ref="D77:E77" si="10">SUM(D71:D76)</f>
        <v>69546</v>
      </c>
      <c r="E77" s="40">
        <f t="shared" si="10"/>
        <v>7957005</v>
      </c>
      <c r="F77" s="31">
        <f t="shared" si="9"/>
        <v>238.14812043577157</v>
      </c>
      <c r="G77" s="17"/>
      <c r="H77" s="17"/>
      <c r="I77" s="55"/>
      <c r="J77" s="55"/>
    </row>
    <row r="78" spans="2:10" ht="19.5" thickBot="1" x14ac:dyDescent="0.35">
      <c r="B78" s="44"/>
      <c r="C78" s="45"/>
      <c r="D78" s="45"/>
      <c r="E78" s="45"/>
      <c r="F78" s="46"/>
      <c r="G78" s="17"/>
      <c r="H78" s="17"/>
      <c r="I78" s="55"/>
      <c r="J78" s="55"/>
    </row>
    <row r="79" spans="2:10" ht="19.5" thickBot="1" x14ac:dyDescent="0.35">
      <c r="B79" s="21" t="s">
        <v>73</v>
      </c>
      <c r="C79" s="42"/>
      <c r="D79" s="42"/>
      <c r="E79" s="42"/>
      <c r="F79" s="43"/>
      <c r="G79" s="17"/>
      <c r="H79" s="17"/>
      <c r="I79" s="55"/>
      <c r="J79" s="55"/>
    </row>
    <row r="80" spans="2:10" ht="18.75" x14ac:dyDescent="0.3">
      <c r="B80" s="24" t="s">
        <v>74</v>
      </c>
      <c r="C80" s="16">
        <v>2451</v>
      </c>
      <c r="D80" s="7">
        <v>4967</v>
      </c>
      <c r="E80" s="8">
        <v>568278</v>
      </c>
      <c r="F80" s="27">
        <f t="shared" ref="F80:F90" si="11">E80/C80</f>
        <v>231.85556915544674</v>
      </c>
      <c r="G80" s="17"/>
      <c r="H80" s="17"/>
      <c r="I80" s="55"/>
      <c r="J80" s="55"/>
    </row>
    <row r="81" spans="2:10" ht="18.75" x14ac:dyDescent="0.3">
      <c r="B81" s="26" t="s">
        <v>75</v>
      </c>
      <c r="C81" s="9">
        <v>246</v>
      </c>
      <c r="D81" s="7">
        <v>542</v>
      </c>
      <c r="E81" s="9">
        <v>58984</v>
      </c>
      <c r="F81" s="27">
        <f t="shared" si="11"/>
        <v>239.77235772357724</v>
      </c>
      <c r="G81" s="17"/>
      <c r="H81" s="17"/>
      <c r="I81" s="55"/>
      <c r="J81" s="55"/>
    </row>
    <row r="82" spans="2:10" ht="18.75" x14ac:dyDescent="0.3">
      <c r="B82" s="26" t="s">
        <v>76</v>
      </c>
      <c r="C82" s="9">
        <v>6770</v>
      </c>
      <c r="D82" s="7">
        <v>13961</v>
      </c>
      <c r="E82" s="9">
        <v>1622063</v>
      </c>
      <c r="F82" s="27">
        <f t="shared" si="11"/>
        <v>239.59571639586412</v>
      </c>
      <c r="G82" s="17"/>
      <c r="H82" s="17"/>
      <c r="I82" s="55"/>
      <c r="J82" s="55"/>
    </row>
    <row r="83" spans="2:10" ht="18.75" x14ac:dyDescent="0.3">
      <c r="B83" s="26" t="s">
        <v>73</v>
      </c>
      <c r="C83" s="9">
        <v>11199</v>
      </c>
      <c r="D83" s="7">
        <v>22151</v>
      </c>
      <c r="E83" s="9">
        <v>2572148</v>
      </c>
      <c r="F83" s="27">
        <f t="shared" si="11"/>
        <v>229.67657826591659</v>
      </c>
      <c r="G83" s="17"/>
      <c r="H83" s="17"/>
      <c r="I83" s="55"/>
      <c r="J83" s="55"/>
    </row>
    <row r="84" spans="2:10" ht="18.75" x14ac:dyDescent="0.3">
      <c r="B84" s="26" t="s">
        <v>77</v>
      </c>
      <c r="C84" s="9">
        <v>8137</v>
      </c>
      <c r="D84" s="7">
        <v>17013</v>
      </c>
      <c r="E84" s="9">
        <v>1978500</v>
      </c>
      <c r="F84" s="27">
        <f t="shared" si="11"/>
        <v>243.14858055794519</v>
      </c>
      <c r="G84" s="17"/>
      <c r="H84" s="17"/>
      <c r="I84" s="55"/>
      <c r="J84" s="55"/>
    </row>
    <row r="85" spans="2:10" ht="18.75" x14ac:dyDescent="0.3">
      <c r="B85" s="26" t="s">
        <v>78</v>
      </c>
      <c r="C85" s="9">
        <v>7311</v>
      </c>
      <c r="D85" s="7">
        <v>14901</v>
      </c>
      <c r="E85" s="9">
        <v>1733639</v>
      </c>
      <c r="F85" s="27">
        <f t="shared" si="11"/>
        <v>237.12747914102039</v>
      </c>
      <c r="G85" s="17"/>
      <c r="H85" s="17"/>
      <c r="I85" s="55"/>
      <c r="J85" s="55"/>
    </row>
    <row r="86" spans="2:10" ht="18.75" x14ac:dyDescent="0.3">
      <c r="B86" s="26" t="s">
        <v>79</v>
      </c>
      <c r="C86" s="9">
        <v>2897</v>
      </c>
      <c r="D86" s="7">
        <v>5954</v>
      </c>
      <c r="E86" s="9">
        <v>684152</v>
      </c>
      <c r="F86" s="27">
        <f t="shared" si="11"/>
        <v>236.15878494994823</v>
      </c>
      <c r="G86" s="17"/>
      <c r="H86" s="17"/>
      <c r="I86" s="55"/>
      <c r="J86" s="55"/>
    </row>
    <row r="87" spans="2:10" ht="18.75" x14ac:dyDescent="0.3">
      <c r="B87" s="26" t="s">
        <v>80</v>
      </c>
      <c r="C87" s="9">
        <v>5477</v>
      </c>
      <c r="D87" s="7">
        <v>11453</v>
      </c>
      <c r="E87" s="9">
        <v>1322953</v>
      </c>
      <c r="F87" s="27">
        <f t="shared" si="11"/>
        <v>241.54701478911812</v>
      </c>
      <c r="G87" s="17"/>
      <c r="H87" s="17"/>
      <c r="I87" s="55"/>
      <c r="J87" s="55"/>
    </row>
    <row r="88" spans="2:10" ht="18.75" x14ac:dyDescent="0.3">
      <c r="B88" s="26" t="s">
        <v>81</v>
      </c>
      <c r="C88" s="9">
        <v>2050</v>
      </c>
      <c r="D88" s="7">
        <v>4089</v>
      </c>
      <c r="E88" s="9">
        <v>479272</v>
      </c>
      <c r="F88" s="27">
        <f t="shared" si="11"/>
        <v>233.79121951219511</v>
      </c>
      <c r="G88" s="17"/>
      <c r="H88" s="17"/>
      <c r="I88" s="55"/>
      <c r="J88" s="55"/>
    </row>
    <row r="89" spans="2:10" ht="19.5" thickBot="1" x14ac:dyDescent="0.35">
      <c r="B89" s="28" t="s">
        <v>82</v>
      </c>
      <c r="C89" s="10">
        <v>9293</v>
      </c>
      <c r="D89" s="7">
        <v>18746</v>
      </c>
      <c r="E89" s="10">
        <v>2165030</v>
      </c>
      <c r="F89" s="27">
        <f t="shared" si="11"/>
        <v>232.97428171742172</v>
      </c>
      <c r="G89" s="17"/>
      <c r="H89" s="17"/>
      <c r="I89" s="55"/>
      <c r="J89" s="55"/>
    </row>
    <row r="90" spans="2:10" ht="19.5" thickBot="1" x14ac:dyDescent="0.35">
      <c r="B90" s="29" t="s">
        <v>49</v>
      </c>
      <c r="C90" s="40">
        <f>SUM(C80:C89)</f>
        <v>55831</v>
      </c>
      <c r="D90" s="40">
        <f t="shared" ref="D90:E90" si="12">SUM(D80:D89)</f>
        <v>113777</v>
      </c>
      <c r="E90" s="40">
        <f t="shared" si="12"/>
        <v>13185019</v>
      </c>
      <c r="F90" s="31">
        <f t="shared" si="11"/>
        <v>236.15946338055917</v>
      </c>
      <c r="G90" s="17"/>
      <c r="H90" s="17"/>
      <c r="I90" s="55"/>
      <c r="J90" s="55"/>
    </row>
    <row r="91" spans="2:10" ht="19.5" thickBot="1" x14ac:dyDescent="0.35">
      <c r="B91" s="44"/>
      <c r="C91" s="45"/>
      <c r="D91" s="45"/>
      <c r="E91" s="45"/>
      <c r="F91" s="46"/>
      <c r="G91" s="17"/>
      <c r="H91" s="17"/>
      <c r="I91" s="55"/>
      <c r="J91" s="55"/>
    </row>
    <row r="92" spans="2:10" ht="19.5" thickBot="1" x14ac:dyDescent="0.35">
      <c r="B92" s="21" t="s">
        <v>83</v>
      </c>
      <c r="C92" s="42"/>
      <c r="D92" s="42"/>
      <c r="E92" s="42"/>
      <c r="F92" s="43"/>
      <c r="G92" s="17"/>
      <c r="H92" s="17"/>
      <c r="I92" s="55"/>
      <c r="J92" s="55"/>
    </row>
    <row r="93" spans="2:10" ht="18.75" x14ac:dyDescent="0.3">
      <c r="B93" s="24" t="s">
        <v>84</v>
      </c>
      <c r="C93" s="16">
        <v>5618</v>
      </c>
      <c r="D93" s="7">
        <v>11462</v>
      </c>
      <c r="E93" s="8">
        <v>1314368</v>
      </c>
      <c r="F93" s="27">
        <f t="shared" ref="F93:F101" si="13">E93/C93</f>
        <v>233.95656817372731</v>
      </c>
      <c r="G93" s="17"/>
      <c r="H93" s="17"/>
      <c r="I93" s="55"/>
      <c r="J93" s="55"/>
    </row>
    <row r="94" spans="2:10" ht="18.75" x14ac:dyDescent="0.3">
      <c r="B94" s="26" t="s">
        <v>85</v>
      </c>
      <c r="C94" s="9">
        <v>7526</v>
      </c>
      <c r="D94" s="7">
        <v>15897</v>
      </c>
      <c r="E94" s="9">
        <v>1841805</v>
      </c>
      <c r="F94" s="27">
        <f t="shared" si="13"/>
        <v>244.72561785809194</v>
      </c>
      <c r="G94" s="17"/>
      <c r="H94" s="17"/>
      <c r="I94" s="55"/>
      <c r="J94" s="55"/>
    </row>
    <row r="95" spans="2:10" ht="18.75" x14ac:dyDescent="0.3">
      <c r="B95" s="26" t="s">
        <v>86</v>
      </c>
      <c r="C95" s="9">
        <v>4076</v>
      </c>
      <c r="D95" s="7">
        <v>8651</v>
      </c>
      <c r="E95" s="9">
        <v>1002074</v>
      </c>
      <c r="F95" s="27">
        <f t="shared" si="13"/>
        <v>245.84739941118744</v>
      </c>
      <c r="G95" s="17"/>
      <c r="H95" s="17"/>
      <c r="I95" s="55"/>
      <c r="J95" s="55"/>
    </row>
    <row r="96" spans="2:10" ht="18.75" x14ac:dyDescent="0.3">
      <c r="B96" s="26" t="s">
        <v>87</v>
      </c>
      <c r="C96" s="9">
        <v>2665</v>
      </c>
      <c r="D96" s="7">
        <v>5064</v>
      </c>
      <c r="E96" s="9">
        <v>587976</v>
      </c>
      <c r="F96" s="27">
        <f t="shared" si="13"/>
        <v>220.62889305816134</v>
      </c>
      <c r="G96" s="17"/>
      <c r="H96" s="17"/>
      <c r="I96" s="55"/>
      <c r="J96" s="55"/>
    </row>
    <row r="97" spans="2:10" ht="18.75" x14ac:dyDescent="0.3">
      <c r="B97" s="26" t="s">
        <v>88</v>
      </c>
      <c r="C97" s="9">
        <v>5105</v>
      </c>
      <c r="D97" s="7">
        <v>10915</v>
      </c>
      <c r="E97" s="9">
        <v>1266058</v>
      </c>
      <c r="F97" s="27">
        <f t="shared" si="13"/>
        <v>248.00352595494613</v>
      </c>
      <c r="G97" s="17"/>
      <c r="H97" s="17"/>
      <c r="I97" s="55"/>
      <c r="J97" s="55"/>
    </row>
    <row r="98" spans="2:10" ht="18.75" x14ac:dyDescent="0.3">
      <c r="B98" s="26" t="s">
        <v>89</v>
      </c>
      <c r="C98" s="9">
        <v>1149</v>
      </c>
      <c r="D98" s="7">
        <v>2744</v>
      </c>
      <c r="E98" s="9">
        <v>314554</v>
      </c>
      <c r="F98" s="27">
        <f t="shared" si="13"/>
        <v>273.76327241079201</v>
      </c>
      <c r="G98" s="17"/>
      <c r="H98" s="17"/>
      <c r="I98" s="55"/>
      <c r="J98" s="55"/>
    </row>
    <row r="99" spans="2:10" ht="18.75" x14ac:dyDescent="0.3">
      <c r="B99" s="26" t="s">
        <v>90</v>
      </c>
      <c r="C99" s="9">
        <v>15375</v>
      </c>
      <c r="D99" s="7">
        <v>30493</v>
      </c>
      <c r="E99" s="9">
        <v>3579295</v>
      </c>
      <c r="F99" s="27">
        <f t="shared" si="13"/>
        <v>232.79967479674798</v>
      </c>
      <c r="G99" s="17"/>
      <c r="H99" s="17"/>
      <c r="I99" s="55"/>
      <c r="J99" s="55"/>
    </row>
    <row r="100" spans="2:10" ht="18.75" x14ac:dyDescent="0.3">
      <c r="B100" s="47" t="s">
        <v>92</v>
      </c>
      <c r="C100" s="9">
        <v>4310</v>
      </c>
      <c r="D100" s="7">
        <v>9223</v>
      </c>
      <c r="E100" s="9">
        <v>1053080</v>
      </c>
      <c r="F100" s="27">
        <f t="shared" si="13"/>
        <v>244.33410672853827</v>
      </c>
      <c r="G100" s="17"/>
      <c r="H100" s="17"/>
      <c r="I100" s="55"/>
      <c r="J100" s="55"/>
    </row>
    <row r="101" spans="2:10" ht="19.5" thickBot="1" x14ac:dyDescent="0.35">
      <c r="B101" s="26" t="s">
        <v>93</v>
      </c>
      <c r="C101" s="10">
        <v>6458</v>
      </c>
      <c r="D101" s="7">
        <v>13428</v>
      </c>
      <c r="E101" s="9">
        <v>1546058</v>
      </c>
      <c r="F101" s="27">
        <f t="shared" si="13"/>
        <v>239.4019820377826</v>
      </c>
      <c r="G101" s="17"/>
      <c r="H101" s="17"/>
      <c r="I101" s="55"/>
      <c r="J101" s="55"/>
    </row>
    <row r="102" spans="2:10" ht="19.5" thickBot="1" x14ac:dyDescent="0.35">
      <c r="B102" s="29" t="s">
        <v>49</v>
      </c>
      <c r="C102" s="40">
        <f>SUM(C93:C101)</f>
        <v>52282</v>
      </c>
      <c r="D102" s="40">
        <f t="shared" ref="D102:E102" si="14">SUM(D93:D101)</f>
        <v>107877</v>
      </c>
      <c r="E102" s="40">
        <f t="shared" si="14"/>
        <v>12505268</v>
      </c>
      <c r="F102" s="31">
        <f t="shared" ref="F102" si="15">E102/C102</f>
        <v>239.18878390268162</v>
      </c>
      <c r="G102" s="17"/>
      <c r="H102" s="17"/>
      <c r="I102" s="55"/>
      <c r="J102" s="55"/>
    </row>
    <row r="103" spans="2:10" ht="19.5" thickBot="1" x14ac:dyDescent="0.35">
      <c r="B103" s="44"/>
      <c r="C103" s="45"/>
      <c r="D103" s="45"/>
      <c r="E103" s="45"/>
      <c r="F103" s="46"/>
      <c r="G103" s="17"/>
      <c r="H103" s="17"/>
      <c r="I103" s="55"/>
      <c r="J103" s="55"/>
    </row>
    <row r="104" spans="2:10" ht="19.5" thickBot="1" x14ac:dyDescent="0.35">
      <c r="B104" s="34" t="s">
        <v>94</v>
      </c>
      <c r="C104" s="42"/>
      <c r="D104" s="42"/>
      <c r="E104" s="42"/>
      <c r="F104" s="43"/>
      <c r="G104" s="17"/>
      <c r="H104" s="17"/>
      <c r="I104" s="55"/>
      <c r="J104" s="55"/>
    </row>
    <row r="105" spans="2:10" ht="18.75" x14ac:dyDescent="0.3">
      <c r="B105" s="48" t="s">
        <v>95</v>
      </c>
      <c r="C105" s="60">
        <v>3893</v>
      </c>
      <c r="D105" s="7">
        <v>9282</v>
      </c>
      <c r="E105" s="8">
        <v>1074670</v>
      </c>
      <c r="F105" s="27">
        <f t="shared" ref="F105:F118" si="16">E105/C105</f>
        <v>276.05188800410997</v>
      </c>
      <c r="G105" s="17"/>
      <c r="H105" s="17"/>
      <c r="I105" s="55"/>
      <c r="J105" s="55"/>
    </row>
    <row r="106" spans="2:10" ht="18.75" x14ac:dyDescent="0.3">
      <c r="B106" s="49" t="s">
        <v>96</v>
      </c>
      <c r="C106" s="9">
        <v>5653</v>
      </c>
      <c r="D106" s="7">
        <v>11520</v>
      </c>
      <c r="E106" s="8">
        <v>1325002</v>
      </c>
      <c r="F106" s="27">
        <f t="shared" si="16"/>
        <v>234.38917388996992</v>
      </c>
      <c r="G106" s="17"/>
      <c r="H106" s="17"/>
      <c r="I106" s="55"/>
      <c r="J106" s="55"/>
    </row>
    <row r="107" spans="2:10" ht="18.75" x14ac:dyDescent="0.3">
      <c r="B107" s="49" t="s">
        <v>97</v>
      </c>
      <c r="C107" s="9">
        <v>872</v>
      </c>
      <c r="D107" s="7">
        <v>1977</v>
      </c>
      <c r="E107" s="9">
        <v>235311</v>
      </c>
      <c r="F107" s="27">
        <f t="shared" si="16"/>
        <v>269.85206422018348</v>
      </c>
      <c r="G107" s="17"/>
      <c r="H107" s="17"/>
      <c r="I107" s="55"/>
      <c r="J107" s="55"/>
    </row>
    <row r="108" spans="2:10" ht="18.75" x14ac:dyDescent="0.3">
      <c r="B108" s="49" t="s">
        <v>98</v>
      </c>
      <c r="C108" s="9">
        <v>7572</v>
      </c>
      <c r="D108" s="7">
        <v>16330</v>
      </c>
      <c r="E108" s="9">
        <v>1874699</v>
      </c>
      <c r="F108" s="27">
        <f t="shared" si="16"/>
        <v>247.58306920232434</v>
      </c>
      <c r="G108" s="17"/>
      <c r="H108" s="17"/>
      <c r="I108" s="55"/>
      <c r="J108" s="55"/>
    </row>
    <row r="109" spans="2:10" ht="18.75" x14ac:dyDescent="0.3">
      <c r="B109" s="26" t="s">
        <v>99</v>
      </c>
      <c r="C109" s="9">
        <v>4705</v>
      </c>
      <c r="D109" s="7">
        <v>10314</v>
      </c>
      <c r="E109" s="9">
        <v>1188528</v>
      </c>
      <c r="F109" s="27">
        <f t="shared" si="16"/>
        <v>252.609564293305</v>
      </c>
      <c r="G109" s="17"/>
      <c r="H109" s="17"/>
      <c r="I109" s="55"/>
      <c r="J109" s="55"/>
    </row>
    <row r="110" spans="2:10" ht="18.75" x14ac:dyDescent="0.3">
      <c r="B110" s="26" t="s">
        <v>100</v>
      </c>
      <c r="C110" s="9">
        <v>3740</v>
      </c>
      <c r="D110" s="7">
        <v>8900</v>
      </c>
      <c r="E110" s="9">
        <v>1028027</v>
      </c>
      <c r="F110" s="27">
        <f t="shared" si="16"/>
        <v>274.87352941176471</v>
      </c>
      <c r="G110" s="17"/>
      <c r="H110" s="17"/>
      <c r="I110" s="55"/>
      <c r="J110" s="55"/>
    </row>
    <row r="111" spans="2:10" ht="18.75" x14ac:dyDescent="0.3">
      <c r="B111" s="26" t="s">
        <v>101</v>
      </c>
      <c r="C111" s="9">
        <v>8758</v>
      </c>
      <c r="D111" s="7">
        <v>19849</v>
      </c>
      <c r="E111" s="9">
        <v>2265804</v>
      </c>
      <c r="F111" s="27">
        <f t="shared" si="16"/>
        <v>258.71249143640102</v>
      </c>
      <c r="G111" s="17"/>
      <c r="H111" s="17"/>
      <c r="I111" s="55"/>
      <c r="J111" s="55"/>
    </row>
    <row r="112" spans="2:10" ht="18.75" x14ac:dyDescent="0.3">
      <c r="B112" s="26" t="s">
        <v>102</v>
      </c>
      <c r="C112" s="9">
        <v>5797</v>
      </c>
      <c r="D112" s="7">
        <v>13255</v>
      </c>
      <c r="E112" s="9">
        <v>1518148</v>
      </c>
      <c r="F112" s="27">
        <f t="shared" si="16"/>
        <v>261.88511298947731</v>
      </c>
      <c r="G112" s="17"/>
      <c r="H112" s="17"/>
      <c r="I112" s="55"/>
      <c r="J112" s="55"/>
    </row>
    <row r="113" spans="2:10" ht="18.75" x14ac:dyDescent="0.3">
      <c r="B113" s="26" t="s">
        <v>103</v>
      </c>
      <c r="C113" s="9">
        <v>5068</v>
      </c>
      <c r="D113" s="7">
        <v>11932</v>
      </c>
      <c r="E113" s="9">
        <v>1355262</v>
      </c>
      <c r="F113" s="27">
        <f t="shared" si="16"/>
        <v>267.41554853985792</v>
      </c>
      <c r="G113" s="17"/>
      <c r="H113" s="17"/>
      <c r="I113" s="55"/>
      <c r="J113" s="55"/>
    </row>
    <row r="114" spans="2:10" ht="18.75" x14ac:dyDescent="0.3">
      <c r="B114" s="26" t="s">
        <v>104</v>
      </c>
      <c r="C114" s="9">
        <v>7231</v>
      </c>
      <c r="D114" s="7">
        <v>14554</v>
      </c>
      <c r="E114" s="9">
        <v>1694679</v>
      </c>
      <c r="F114" s="27">
        <f t="shared" si="16"/>
        <v>234.36302032913844</v>
      </c>
      <c r="G114" s="17"/>
      <c r="H114" s="17"/>
      <c r="I114" s="55"/>
      <c r="J114" s="55"/>
    </row>
    <row r="115" spans="2:10" ht="18.75" x14ac:dyDescent="0.3">
      <c r="B115" s="26" t="s">
        <v>105</v>
      </c>
      <c r="C115" s="9">
        <v>8477</v>
      </c>
      <c r="D115" s="7">
        <v>19692</v>
      </c>
      <c r="E115" s="9">
        <v>2267953</v>
      </c>
      <c r="F115" s="27">
        <f t="shared" si="16"/>
        <v>267.54193700601627</v>
      </c>
      <c r="G115" s="17"/>
      <c r="H115" s="17"/>
      <c r="I115" s="55"/>
      <c r="J115" s="55"/>
    </row>
    <row r="116" spans="2:10" ht="18.75" x14ac:dyDescent="0.3">
      <c r="B116" s="26" t="s">
        <v>106</v>
      </c>
      <c r="C116" s="9">
        <v>16260</v>
      </c>
      <c r="D116" s="7">
        <v>35487</v>
      </c>
      <c r="E116" s="9">
        <v>4148644</v>
      </c>
      <c r="F116" s="27">
        <f t="shared" si="16"/>
        <v>255.14415744157441</v>
      </c>
      <c r="G116" s="17"/>
      <c r="H116" s="17"/>
      <c r="I116" s="55"/>
      <c r="J116" s="55"/>
    </row>
    <row r="117" spans="2:10" ht="18.75" x14ac:dyDescent="0.3">
      <c r="B117" s="26" t="s">
        <v>107</v>
      </c>
      <c r="C117" s="9">
        <v>5386</v>
      </c>
      <c r="D117" s="7">
        <v>12371</v>
      </c>
      <c r="E117" s="9">
        <v>1424489</v>
      </c>
      <c r="F117" s="27">
        <f t="shared" si="16"/>
        <v>264.47994801336802</v>
      </c>
      <c r="G117" s="17"/>
      <c r="H117" s="17"/>
      <c r="I117" s="55"/>
      <c r="J117" s="55"/>
    </row>
    <row r="118" spans="2:10" ht="19.5" thickBot="1" x14ac:dyDescent="0.35">
      <c r="B118" s="26" t="s">
        <v>108</v>
      </c>
      <c r="C118" s="10">
        <v>8280</v>
      </c>
      <c r="D118" s="7">
        <v>17698</v>
      </c>
      <c r="E118" s="9">
        <v>2039664</v>
      </c>
      <c r="F118" s="27">
        <f t="shared" si="16"/>
        <v>246.33623188405798</v>
      </c>
      <c r="G118" s="17"/>
      <c r="H118" s="17"/>
      <c r="I118" s="55"/>
      <c r="J118" s="55"/>
    </row>
    <row r="119" spans="2:10" ht="19.5" thickBot="1" x14ac:dyDescent="0.35">
      <c r="B119" s="29" t="s">
        <v>49</v>
      </c>
      <c r="C119" s="40">
        <f>SUM(C105:C118)</f>
        <v>91692</v>
      </c>
      <c r="D119" s="40">
        <f t="shared" ref="D119:E119" si="17">SUM(D105:D118)</f>
        <v>203161</v>
      </c>
      <c r="E119" s="40">
        <f t="shared" si="17"/>
        <v>23440880</v>
      </c>
      <c r="F119" s="31">
        <f t="shared" ref="F119" si="18">E119/C119</f>
        <v>255.64803908737949</v>
      </c>
      <c r="G119" s="17"/>
      <c r="H119" s="17"/>
      <c r="I119" s="55"/>
      <c r="J119" s="55"/>
    </row>
    <row r="120" spans="2:10" ht="19.5" thickBot="1" x14ac:dyDescent="0.35">
      <c r="B120" s="44"/>
      <c r="C120" s="45"/>
      <c r="D120" s="45"/>
      <c r="E120" s="45"/>
      <c r="F120" s="46"/>
      <c r="G120" s="17"/>
      <c r="H120" s="17"/>
      <c r="I120" s="55"/>
      <c r="J120" s="55"/>
    </row>
    <row r="121" spans="2:10" ht="19.5" thickBot="1" x14ac:dyDescent="0.35">
      <c r="B121" s="21" t="s">
        <v>109</v>
      </c>
      <c r="C121" s="42"/>
      <c r="D121" s="42"/>
      <c r="E121" s="42"/>
      <c r="F121" s="43"/>
      <c r="G121" s="17"/>
      <c r="H121" s="17"/>
      <c r="I121" s="55"/>
      <c r="J121" s="55"/>
    </row>
    <row r="122" spans="2:10" ht="18.75" x14ac:dyDescent="0.3">
      <c r="B122" s="24" t="s">
        <v>110</v>
      </c>
      <c r="C122" s="60">
        <v>1539</v>
      </c>
      <c r="D122" s="7">
        <v>3460</v>
      </c>
      <c r="E122" s="8">
        <v>402463</v>
      </c>
      <c r="F122" s="27">
        <f t="shared" ref="F122:F130" si="19">E122/C122</f>
        <v>261.50942170240415</v>
      </c>
      <c r="G122" s="17"/>
      <c r="H122" s="17"/>
      <c r="I122" s="55"/>
      <c r="J122" s="55"/>
    </row>
    <row r="123" spans="2:10" ht="18.75" x14ac:dyDescent="0.3">
      <c r="B123" s="26" t="s">
        <v>111</v>
      </c>
      <c r="C123" s="9">
        <v>4899</v>
      </c>
      <c r="D123" s="7">
        <v>9977</v>
      </c>
      <c r="E123" s="8">
        <v>1160189</v>
      </c>
      <c r="F123" s="27">
        <f t="shared" si="19"/>
        <v>236.82159624413146</v>
      </c>
      <c r="G123" s="17"/>
      <c r="H123" s="17"/>
      <c r="I123" s="55"/>
      <c r="J123" s="55"/>
    </row>
    <row r="124" spans="2:10" ht="18.75" x14ac:dyDescent="0.3">
      <c r="B124" s="26" t="s">
        <v>112</v>
      </c>
      <c r="C124" s="9">
        <v>1647</v>
      </c>
      <c r="D124" s="7">
        <v>3430</v>
      </c>
      <c r="E124" s="9">
        <v>398482</v>
      </c>
      <c r="F124" s="27">
        <f t="shared" si="19"/>
        <v>241.94414086217364</v>
      </c>
      <c r="G124" s="17"/>
      <c r="H124" s="17"/>
      <c r="I124" s="55"/>
      <c r="J124" s="55"/>
    </row>
    <row r="125" spans="2:10" ht="18.75" x14ac:dyDescent="0.3">
      <c r="B125" s="26" t="s">
        <v>113</v>
      </c>
      <c r="C125" s="9">
        <v>4850</v>
      </c>
      <c r="D125" s="7">
        <v>9604</v>
      </c>
      <c r="E125" s="9">
        <v>1123260</v>
      </c>
      <c r="F125" s="27">
        <f t="shared" si="19"/>
        <v>231.6</v>
      </c>
      <c r="G125" s="17"/>
      <c r="H125" s="17"/>
      <c r="I125" s="55"/>
      <c r="J125" s="55"/>
    </row>
    <row r="126" spans="2:10" ht="18.75" x14ac:dyDescent="0.3">
      <c r="B126" s="26" t="s">
        <v>114</v>
      </c>
      <c r="C126" s="9">
        <v>7643</v>
      </c>
      <c r="D126" s="7">
        <v>13247</v>
      </c>
      <c r="E126" s="9">
        <v>1629206</v>
      </c>
      <c r="F126" s="27">
        <f t="shared" si="19"/>
        <v>213.16315582886301</v>
      </c>
      <c r="G126" s="17"/>
      <c r="H126" s="17"/>
      <c r="I126" s="55"/>
      <c r="J126" s="55"/>
    </row>
    <row r="127" spans="2:10" ht="18.75" x14ac:dyDescent="0.3">
      <c r="B127" s="26" t="s">
        <v>115</v>
      </c>
      <c r="C127" s="9">
        <v>10674</v>
      </c>
      <c r="D127" s="7">
        <v>23142</v>
      </c>
      <c r="E127" s="9">
        <v>2712015</v>
      </c>
      <c r="F127" s="27">
        <f t="shared" si="19"/>
        <v>254.07672849915684</v>
      </c>
      <c r="G127" s="17"/>
      <c r="H127" s="17"/>
      <c r="I127" s="55"/>
      <c r="J127" s="55"/>
    </row>
    <row r="128" spans="2:10" ht="18.75" x14ac:dyDescent="0.3">
      <c r="B128" s="26" t="s">
        <v>116</v>
      </c>
      <c r="C128" s="9">
        <v>9541</v>
      </c>
      <c r="D128" s="7">
        <v>19788</v>
      </c>
      <c r="E128" s="9">
        <v>2308825</v>
      </c>
      <c r="F128" s="27">
        <f t="shared" si="19"/>
        <v>241.9898333508018</v>
      </c>
      <c r="G128" s="17"/>
      <c r="H128" s="17"/>
      <c r="I128" s="55"/>
      <c r="J128" s="55"/>
    </row>
    <row r="129" spans="2:10" ht="18.75" x14ac:dyDescent="0.3">
      <c r="B129" s="26" t="s">
        <v>117</v>
      </c>
      <c r="C129" s="9">
        <v>7275</v>
      </c>
      <c r="D129" s="7">
        <v>15953</v>
      </c>
      <c r="E129" s="9">
        <v>1871247</v>
      </c>
      <c r="F129" s="27">
        <f t="shared" si="19"/>
        <v>257.21608247422682</v>
      </c>
      <c r="G129" s="17"/>
      <c r="H129" s="17"/>
      <c r="I129" s="55"/>
      <c r="J129" s="55"/>
    </row>
    <row r="130" spans="2:10" ht="19.5" thickBot="1" x14ac:dyDescent="0.35">
      <c r="B130" s="47" t="s">
        <v>118</v>
      </c>
      <c r="C130" s="9">
        <v>14383</v>
      </c>
      <c r="D130" s="7">
        <v>27841</v>
      </c>
      <c r="E130" s="9">
        <v>3307224</v>
      </c>
      <c r="F130" s="27">
        <f t="shared" si="19"/>
        <v>229.93979002989641</v>
      </c>
      <c r="G130" s="17"/>
      <c r="H130" s="17"/>
      <c r="I130" s="55"/>
      <c r="J130" s="55"/>
    </row>
    <row r="131" spans="2:10" ht="19.5" thickBot="1" x14ac:dyDescent="0.35">
      <c r="B131" s="29" t="s">
        <v>49</v>
      </c>
      <c r="C131" s="40">
        <f>SUM(C122:C130)</f>
        <v>62451</v>
      </c>
      <c r="D131" s="40">
        <f>SUM(D122:D130)</f>
        <v>126442</v>
      </c>
      <c r="E131" s="40">
        <f>SUM(E122:E130)</f>
        <v>14912911</v>
      </c>
      <c r="F131" s="31">
        <f t="shared" ref="F131" si="20">E131/C131</f>
        <v>238.79379033161999</v>
      </c>
      <c r="G131" s="17"/>
      <c r="H131" s="17"/>
      <c r="I131" s="55"/>
      <c r="J131" s="55"/>
    </row>
    <row r="132" spans="2:10" ht="19.5" thickBot="1" x14ac:dyDescent="0.35">
      <c r="B132" s="44"/>
      <c r="C132" s="45"/>
      <c r="D132" s="45"/>
      <c r="E132" s="45"/>
      <c r="F132" s="46"/>
      <c r="G132" s="17"/>
      <c r="H132" s="17"/>
      <c r="I132" s="55"/>
      <c r="J132" s="55"/>
    </row>
    <row r="133" spans="2:10" ht="19.5" thickBot="1" x14ac:dyDescent="0.35">
      <c r="B133" s="52" t="s">
        <v>120</v>
      </c>
      <c r="C133" s="50">
        <f>SUM(C131+C119+C102+C90+C77+C68+C58+C48+C32+C16)</f>
        <v>646365</v>
      </c>
      <c r="D133" s="50">
        <f>SUM(D131+D119+D102+D90+D77+D68+D58+D48+D32+D16)</f>
        <v>1356153</v>
      </c>
      <c r="E133" s="50">
        <f>SUM(E131+E119+E102+E90+E77+E68+E58+E48+E32+E16)</f>
        <v>157117915</v>
      </c>
      <c r="F133" s="43">
        <f t="shared" ref="F133" si="21">E133/C133</f>
        <v>243.07924315208899</v>
      </c>
      <c r="G133" s="17"/>
      <c r="H133" s="17"/>
      <c r="I133" s="55"/>
      <c r="J133" s="55"/>
    </row>
    <row r="134" spans="2:10" ht="18.75" x14ac:dyDescent="0.3">
      <c r="B134" s="51"/>
      <c r="C134" s="17"/>
      <c r="D134" s="17"/>
      <c r="E134" s="17"/>
      <c r="F134" s="17"/>
      <c r="G134" s="17"/>
      <c r="H134" s="17"/>
      <c r="I134" s="53"/>
      <c r="J134" s="53"/>
    </row>
    <row r="135" spans="2:10" ht="18.75" x14ac:dyDescent="0.3">
      <c r="B135" s="51"/>
      <c r="C135" s="75"/>
      <c r="D135" s="75"/>
      <c r="E135" s="75"/>
      <c r="F135" s="17"/>
      <c r="G135" s="17"/>
      <c r="H135" s="17"/>
      <c r="I135" s="53"/>
      <c r="J135" s="53"/>
    </row>
    <row r="136" spans="2:10" ht="18.75" x14ac:dyDescent="0.3">
      <c r="B136" s="51"/>
      <c r="C136" s="17"/>
      <c r="D136" s="17"/>
      <c r="E136" s="17"/>
      <c r="F136" s="17"/>
      <c r="G136" s="17"/>
      <c r="H136" s="17"/>
      <c r="I136" s="53"/>
      <c r="J136" s="53"/>
    </row>
    <row r="137" spans="2:10" ht="18.75" x14ac:dyDescent="0.3">
      <c r="B137" s="51"/>
      <c r="C137" s="17"/>
      <c r="D137" s="17"/>
      <c r="E137" s="17"/>
      <c r="F137" s="17"/>
      <c r="G137" s="17"/>
      <c r="H137" s="17"/>
      <c r="I137" s="53"/>
      <c r="J137" s="53"/>
    </row>
    <row r="138" spans="2:10" ht="18.75" x14ac:dyDescent="0.3">
      <c r="B138" s="51"/>
      <c r="C138" s="17"/>
      <c r="D138" s="17"/>
      <c r="E138" s="17"/>
      <c r="F138" s="17"/>
      <c r="G138" s="17"/>
      <c r="H138" s="17"/>
      <c r="I138" s="53"/>
      <c r="J138" s="53"/>
    </row>
    <row r="139" spans="2:10" ht="18.75" x14ac:dyDescent="0.3">
      <c r="B139" s="51"/>
      <c r="C139" s="17"/>
      <c r="D139" s="17"/>
      <c r="E139" s="17"/>
      <c r="F139" s="17"/>
      <c r="G139" s="17"/>
      <c r="H139" s="17"/>
      <c r="I139" s="53"/>
      <c r="J139" s="53"/>
    </row>
  </sheetData>
  <mergeCells count="6">
    <mergeCell ref="I6:J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39"/>
  <sheetViews>
    <sheetView workbookViewId="0">
      <pane xSplit="2" ySplit="6" topLeftCell="C128" activePane="bottomRight" state="frozen"/>
      <selection pane="topRight" activeCell="C1" sqref="C1"/>
      <selection pane="bottomLeft" activeCell="A7" sqref="A7"/>
      <selection pane="bottomRight" activeCell="C133" sqref="C133"/>
    </sheetView>
  </sheetViews>
  <sheetFormatPr defaultRowHeight="15" x14ac:dyDescent="0.25"/>
  <cols>
    <col min="1" max="1" width="9.140625" style="1"/>
    <col min="2" max="2" width="18.7109375" style="1" bestFit="1" customWidth="1"/>
    <col min="3" max="3" width="10.5703125" style="1" bestFit="1" customWidth="1"/>
    <col min="4" max="4" width="12.7109375" style="1" bestFit="1" customWidth="1"/>
    <col min="5" max="5" width="15.7109375" style="1" bestFit="1" customWidth="1"/>
    <col min="6" max="6" width="15.85546875" style="1" customWidth="1"/>
    <col min="7" max="16384" width="9.140625" style="1"/>
  </cols>
  <sheetData>
    <row r="1" spans="2:10" ht="18.75" x14ac:dyDescent="0.3">
      <c r="B1" s="162" t="s">
        <v>0</v>
      </c>
      <c r="C1" s="162"/>
      <c r="D1" s="162"/>
      <c r="E1" s="162"/>
      <c r="F1" s="162"/>
      <c r="G1" s="17"/>
      <c r="H1" s="17"/>
      <c r="I1" s="17"/>
      <c r="J1" s="17"/>
    </row>
    <row r="2" spans="2:10" ht="18.75" x14ac:dyDescent="0.3">
      <c r="B2" s="162" t="s">
        <v>1</v>
      </c>
      <c r="C2" s="162"/>
      <c r="D2" s="162"/>
      <c r="E2" s="162"/>
      <c r="F2" s="162"/>
      <c r="G2" s="17"/>
      <c r="H2" s="17"/>
      <c r="I2" s="17"/>
      <c r="J2" s="17"/>
    </row>
    <row r="3" spans="2:10" ht="18.75" x14ac:dyDescent="0.3">
      <c r="B3" s="163" t="s">
        <v>2</v>
      </c>
      <c r="C3" s="163"/>
      <c r="D3" s="163"/>
      <c r="E3" s="163"/>
      <c r="F3" s="163"/>
      <c r="G3" s="17"/>
      <c r="H3" s="17"/>
      <c r="I3" s="17"/>
      <c r="J3" s="17"/>
    </row>
    <row r="4" spans="2:10" ht="18.75" x14ac:dyDescent="0.3">
      <c r="B4" s="162" t="s">
        <v>132</v>
      </c>
      <c r="C4" s="162"/>
      <c r="D4" s="162"/>
      <c r="E4" s="162"/>
      <c r="F4" s="162"/>
      <c r="G4" s="17"/>
      <c r="H4" s="17"/>
      <c r="I4" s="17"/>
      <c r="J4" s="17"/>
    </row>
    <row r="5" spans="2:10" ht="19.5" thickBot="1" x14ac:dyDescent="0.35">
      <c r="B5" s="164"/>
      <c r="C5" s="164"/>
      <c r="D5" s="164"/>
      <c r="E5" s="164"/>
      <c r="F5" s="164"/>
      <c r="G5" s="17"/>
      <c r="H5" s="17"/>
      <c r="I5" s="17"/>
      <c r="J5" s="17"/>
    </row>
    <row r="6" spans="2:10" ht="57" thickBot="1" x14ac:dyDescent="0.35">
      <c r="B6" s="18"/>
      <c r="C6" s="19" t="s">
        <v>3</v>
      </c>
      <c r="D6" s="20" t="s">
        <v>4</v>
      </c>
      <c r="E6" s="20" t="s">
        <v>5</v>
      </c>
      <c r="F6" s="20" t="s">
        <v>6</v>
      </c>
      <c r="G6" s="17"/>
      <c r="H6" s="17"/>
      <c r="I6" s="160" t="s">
        <v>7</v>
      </c>
      <c r="J6" s="161"/>
    </row>
    <row r="7" spans="2:10" ht="19.5" thickBot="1" x14ac:dyDescent="0.35">
      <c r="B7" s="21" t="s">
        <v>8</v>
      </c>
      <c r="C7" s="22"/>
      <c r="D7" s="22"/>
      <c r="E7" s="22"/>
      <c r="F7" s="23"/>
      <c r="G7" s="17"/>
      <c r="H7" s="17"/>
      <c r="I7" s="54" t="s">
        <v>9</v>
      </c>
      <c r="J7" s="54" t="s">
        <v>10</v>
      </c>
    </row>
    <row r="8" spans="2:10" ht="18.75" x14ac:dyDescent="0.3">
      <c r="B8" s="24" t="s">
        <v>11</v>
      </c>
      <c r="C8" s="15">
        <v>7544</v>
      </c>
      <c r="D8" s="13">
        <v>16792</v>
      </c>
      <c r="E8" s="14">
        <v>1931830</v>
      </c>
      <c r="F8" s="25">
        <f>E8/C8</f>
        <v>256.07502651113469</v>
      </c>
      <c r="G8" s="17"/>
      <c r="H8" s="17"/>
      <c r="I8" s="55"/>
      <c r="J8" s="55"/>
    </row>
    <row r="9" spans="2:10" ht="18.75" x14ac:dyDescent="0.3">
      <c r="B9" s="26" t="s">
        <v>12</v>
      </c>
      <c r="C9" s="3">
        <v>5797</v>
      </c>
      <c r="D9" s="13">
        <v>11893</v>
      </c>
      <c r="E9" s="3">
        <v>1410407</v>
      </c>
      <c r="F9" s="25">
        <f t="shared" ref="F9:F16" si="0">E9/C9</f>
        <v>243.29946524064172</v>
      </c>
      <c r="G9" s="17"/>
      <c r="H9" s="17"/>
      <c r="I9" s="55"/>
      <c r="J9" s="55"/>
    </row>
    <row r="10" spans="2:10" ht="18.75" x14ac:dyDescent="0.3">
      <c r="B10" s="26" t="s">
        <v>13</v>
      </c>
      <c r="C10" s="3">
        <v>6303</v>
      </c>
      <c r="D10" s="13">
        <v>12514</v>
      </c>
      <c r="E10" s="3">
        <v>1494224</v>
      </c>
      <c r="F10" s="25">
        <f t="shared" si="0"/>
        <v>237.06552435348246</v>
      </c>
      <c r="G10" s="17"/>
      <c r="H10" s="17"/>
      <c r="I10" s="55"/>
      <c r="J10" s="55"/>
    </row>
    <row r="11" spans="2:10" ht="18.75" x14ac:dyDescent="0.3">
      <c r="B11" s="26" t="s">
        <v>14</v>
      </c>
      <c r="C11" s="3">
        <v>8120</v>
      </c>
      <c r="D11" s="13">
        <v>17068</v>
      </c>
      <c r="E11" s="3">
        <v>1984384</v>
      </c>
      <c r="F11" s="25">
        <f t="shared" si="0"/>
        <v>244.38226600985223</v>
      </c>
      <c r="G11" s="17"/>
      <c r="H11" s="17"/>
      <c r="I11" s="55"/>
      <c r="J11" s="55"/>
    </row>
    <row r="12" spans="2:10" ht="18.75" x14ac:dyDescent="0.3">
      <c r="B12" s="26" t="s">
        <v>15</v>
      </c>
      <c r="C12" s="3">
        <v>2006</v>
      </c>
      <c r="D12" s="13">
        <v>4488</v>
      </c>
      <c r="E12" s="3">
        <v>522297</v>
      </c>
      <c r="F12" s="25">
        <f t="shared" si="0"/>
        <v>260.36739780658024</v>
      </c>
      <c r="G12" s="17"/>
      <c r="H12" s="17"/>
      <c r="I12" s="55"/>
      <c r="J12" s="55"/>
    </row>
    <row r="13" spans="2:10" ht="18.75" x14ac:dyDescent="0.3">
      <c r="B13" s="26" t="s">
        <v>16</v>
      </c>
      <c r="C13" s="3">
        <v>8589</v>
      </c>
      <c r="D13" s="13">
        <v>18753</v>
      </c>
      <c r="E13" s="3">
        <v>2190504</v>
      </c>
      <c r="F13" s="25">
        <f t="shared" si="0"/>
        <v>255.03597624869019</v>
      </c>
      <c r="G13" s="17"/>
      <c r="H13" s="17"/>
      <c r="I13" s="55"/>
      <c r="J13" s="55"/>
    </row>
    <row r="14" spans="2:10" ht="18.75" x14ac:dyDescent="0.3">
      <c r="B14" s="26" t="s">
        <v>17</v>
      </c>
      <c r="C14" s="3">
        <v>3075</v>
      </c>
      <c r="D14" s="13">
        <v>6114</v>
      </c>
      <c r="E14" s="3">
        <v>719028</v>
      </c>
      <c r="F14" s="25">
        <f t="shared" si="0"/>
        <v>233.83024390243904</v>
      </c>
      <c r="G14" s="17"/>
      <c r="H14" s="17"/>
      <c r="I14" s="55"/>
      <c r="J14" s="55"/>
    </row>
    <row r="15" spans="2:10" ht="19.5" thickBot="1" x14ac:dyDescent="0.35">
      <c r="B15" s="28" t="s">
        <v>18</v>
      </c>
      <c r="C15" s="4">
        <v>9861</v>
      </c>
      <c r="D15" s="13">
        <v>20141</v>
      </c>
      <c r="E15" s="11">
        <v>2394040</v>
      </c>
      <c r="F15" s="25">
        <f t="shared" si="0"/>
        <v>242.77862285772235</v>
      </c>
      <c r="G15" s="17"/>
      <c r="H15" s="17"/>
      <c r="I15" s="55"/>
      <c r="J15" s="55"/>
    </row>
    <row r="16" spans="2:10" ht="19.5" thickBot="1" x14ac:dyDescent="0.35">
      <c r="B16" s="29" t="s">
        <v>19</v>
      </c>
      <c r="C16" s="30">
        <f>SUM(C8:C15)</f>
        <v>51295</v>
      </c>
      <c r="D16" s="30">
        <f t="shared" ref="D16:E16" si="1">SUM(D8:D15)</f>
        <v>107763</v>
      </c>
      <c r="E16" s="30">
        <f t="shared" si="1"/>
        <v>12646714</v>
      </c>
      <c r="F16" s="31">
        <f t="shared" si="0"/>
        <v>246.54866946096109</v>
      </c>
      <c r="G16" s="17"/>
      <c r="H16" s="17"/>
      <c r="I16" s="55"/>
      <c r="J16" s="55"/>
    </row>
    <row r="17" spans="2:17" ht="19.5" thickBot="1" x14ac:dyDescent="0.35">
      <c r="B17" s="32"/>
      <c r="C17" s="33"/>
      <c r="D17" s="33"/>
      <c r="E17" s="33"/>
      <c r="F17" s="33"/>
      <c r="G17" s="2"/>
      <c r="H17" s="2"/>
      <c r="I17" s="55"/>
      <c r="J17" s="55"/>
      <c r="K17" s="2"/>
      <c r="L17" s="2"/>
      <c r="M17" s="2"/>
      <c r="N17" s="2"/>
      <c r="O17" s="2"/>
      <c r="P17" s="2"/>
      <c r="Q17" s="2"/>
    </row>
    <row r="18" spans="2:17" ht="19.5" thickBot="1" x14ac:dyDescent="0.35">
      <c r="B18" s="34" t="s">
        <v>20</v>
      </c>
      <c r="C18" s="35"/>
      <c r="D18" s="35"/>
      <c r="E18" s="35"/>
      <c r="F18" s="36"/>
      <c r="G18" s="2"/>
      <c r="H18" s="2"/>
      <c r="I18" s="55"/>
      <c r="J18" s="55"/>
      <c r="K18" s="2"/>
      <c r="L18" s="2"/>
      <c r="M18" s="2"/>
      <c r="N18" s="2"/>
      <c r="O18" s="2"/>
      <c r="P18" s="2"/>
      <c r="Q18" s="2"/>
    </row>
    <row r="19" spans="2:17" ht="18.75" x14ac:dyDescent="0.3">
      <c r="B19" s="37" t="s">
        <v>21</v>
      </c>
      <c r="C19" s="3">
        <v>14570</v>
      </c>
      <c r="D19" s="3">
        <v>28596</v>
      </c>
      <c r="E19" s="6">
        <v>3405843</v>
      </c>
      <c r="F19" s="27">
        <f t="shared" ref="F19:F32" si="2">E19/C19</f>
        <v>233.75724090597117</v>
      </c>
      <c r="G19" s="38"/>
      <c r="H19" s="38"/>
      <c r="I19" s="55"/>
      <c r="J19" s="55"/>
      <c r="K19" s="38"/>
      <c r="L19" s="38"/>
      <c r="M19" s="38"/>
      <c r="N19" s="38"/>
      <c r="O19" s="38"/>
      <c r="P19" s="38"/>
      <c r="Q19" s="38"/>
    </row>
    <row r="20" spans="2:17" ht="18.75" x14ac:dyDescent="0.3">
      <c r="B20" s="59" t="s">
        <v>22</v>
      </c>
      <c r="C20" s="3">
        <v>7021</v>
      </c>
      <c r="D20" s="3">
        <v>13161</v>
      </c>
      <c r="E20" s="3">
        <v>1573906</v>
      </c>
      <c r="F20" s="27">
        <f t="shared" si="2"/>
        <v>224.1712006836633</v>
      </c>
      <c r="G20" s="38"/>
      <c r="H20" s="38"/>
      <c r="I20" s="55"/>
      <c r="J20" s="55"/>
      <c r="K20" s="38"/>
      <c r="L20" s="38"/>
      <c r="M20" s="38"/>
      <c r="N20" s="38"/>
      <c r="O20" s="38"/>
      <c r="P20" s="38"/>
      <c r="Q20" s="38"/>
    </row>
    <row r="21" spans="2:17" ht="18.75" x14ac:dyDescent="0.3">
      <c r="B21" s="58" t="s">
        <v>23</v>
      </c>
      <c r="C21" s="9">
        <v>5956</v>
      </c>
      <c r="D21" s="3">
        <v>12078</v>
      </c>
      <c r="E21" s="9">
        <v>1417126</v>
      </c>
      <c r="F21" s="27">
        <f t="shared" si="2"/>
        <v>237.93250503693756</v>
      </c>
      <c r="G21" s="2"/>
      <c r="H21" s="2"/>
      <c r="I21" s="55"/>
      <c r="J21" s="55"/>
      <c r="K21" s="2"/>
      <c r="L21" s="2"/>
      <c r="M21" s="2"/>
      <c r="N21" s="2"/>
      <c r="O21" s="2"/>
      <c r="P21" s="2"/>
      <c r="Q21" s="2"/>
    </row>
    <row r="22" spans="2:17" ht="18.75" x14ac:dyDescent="0.3">
      <c r="B22" s="26" t="s">
        <v>24</v>
      </c>
      <c r="C22" s="9">
        <v>7650</v>
      </c>
      <c r="D22" s="3">
        <v>15811</v>
      </c>
      <c r="E22" s="9">
        <v>1840296</v>
      </c>
      <c r="F22" s="27">
        <f t="shared" si="2"/>
        <v>240.56156862745098</v>
      </c>
      <c r="G22" s="2"/>
      <c r="H22" s="2"/>
      <c r="I22" s="55"/>
      <c r="J22" s="55"/>
      <c r="K22" s="2"/>
      <c r="L22" s="2"/>
      <c r="M22" s="2"/>
      <c r="N22" s="2"/>
      <c r="O22" s="2"/>
      <c r="P22" s="2"/>
      <c r="Q22" s="2"/>
    </row>
    <row r="23" spans="2:17" ht="18.75" x14ac:dyDescent="0.3">
      <c r="B23" s="26" t="s">
        <v>25</v>
      </c>
      <c r="C23" s="9">
        <v>4756</v>
      </c>
      <c r="D23" s="3">
        <v>10369</v>
      </c>
      <c r="E23" s="9">
        <v>1197298</v>
      </c>
      <c r="F23" s="27">
        <f t="shared" si="2"/>
        <v>251.74474348191757</v>
      </c>
      <c r="G23" s="2"/>
      <c r="H23" s="2"/>
      <c r="I23" s="55"/>
      <c r="J23" s="55"/>
      <c r="K23" s="2"/>
      <c r="L23" s="2"/>
      <c r="M23" s="2"/>
      <c r="N23" s="2"/>
      <c r="O23" s="2"/>
      <c r="P23" s="2"/>
      <c r="Q23" s="2"/>
    </row>
    <row r="24" spans="2:17" ht="18.75" x14ac:dyDescent="0.3">
      <c r="B24" s="26" t="s">
        <v>26</v>
      </c>
      <c r="C24" s="9">
        <v>3226</v>
      </c>
      <c r="D24" s="3">
        <v>6889</v>
      </c>
      <c r="E24" s="9">
        <v>807124</v>
      </c>
      <c r="F24" s="27">
        <f t="shared" si="2"/>
        <v>250.19342839429635</v>
      </c>
      <c r="G24" s="2"/>
      <c r="H24" s="2"/>
      <c r="I24" s="55"/>
      <c r="J24" s="55"/>
      <c r="K24" s="2"/>
      <c r="L24" s="2"/>
      <c r="M24" s="2"/>
      <c r="N24" s="2"/>
      <c r="O24" s="2"/>
      <c r="P24" s="2"/>
      <c r="Q24" s="2"/>
    </row>
    <row r="25" spans="2:17" ht="18.75" x14ac:dyDescent="0.3">
      <c r="B25" s="26" t="s">
        <v>27</v>
      </c>
      <c r="C25" s="9">
        <v>8351</v>
      </c>
      <c r="D25" s="3">
        <v>17268</v>
      </c>
      <c r="E25" s="9">
        <v>2032985</v>
      </c>
      <c r="F25" s="27">
        <f t="shared" si="2"/>
        <v>243.44210274218656</v>
      </c>
      <c r="G25" s="2"/>
      <c r="H25" s="2"/>
      <c r="I25" s="55"/>
      <c r="J25" s="55"/>
      <c r="K25" s="2"/>
      <c r="L25" s="2"/>
      <c r="M25" s="2"/>
      <c r="N25" s="2"/>
      <c r="O25" s="2"/>
      <c r="P25" s="2"/>
      <c r="Q25" s="2"/>
    </row>
    <row r="26" spans="2:17" ht="18.75" x14ac:dyDescent="0.3">
      <c r="B26" s="26" t="s">
        <v>28</v>
      </c>
      <c r="C26" s="9">
        <v>7397</v>
      </c>
      <c r="D26" s="3">
        <v>16048</v>
      </c>
      <c r="E26" s="9">
        <v>1877062</v>
      </c>
      <c r="F26" s="27">
        <f t="shared" si="2"/>
        <v>253.75990266324186</v>
      </c>
      <c r="G26" s="2"/>
      <c r="H26" s="2"/>
      <c r="I26" s="55"/>
      <c r="J26" s="55"/>
      <c r="K26" s="2"/>
      <c r="L26" s="2"/>
      <c r="M26" s="2"/>
      <c r="N26" s="2"/>
      <c r="O26" s="2"/>
      <c r="P26" s="2"/>
      <c r="Q26" s="2"/>
    </row>
    <row r="27" spans="2:17" ht="18.75" x14ac:dyDescent="0.3">
      <c r="B27" s="26" t="s">
        <v>29</v>
      </c>
      <c r="C27" s="9">
        <v>9689</v>
      </c>
      <c r="D27" s="3">
        <v>19499</v>
      </c>
      <c r="E27" s="9">
        <v>2287603</v>
      </c>
      <c r="F27" s="27">
        <f t="shared" si="2"/>
        <v>236.10310661574982</v>
      </c>
      <c r="G27" s="2"/>
      <c r="H27" s="2"/>
      <c r="I27" s="55"/>
      <c r="J27" s="55"/>
      <c r="K27" s="2"/>
      <c r="L27" s="2"/>
      <c r="M27" s="2"/>
      <c r="N27" s="2"/>
      <c r="O27" s="2"/>
      <c r="P27" s="2"/>
      <c r="Q27" s="2"/>
    </row>
    <row r="28" spans="2:17" ht="18.75" x14ac:dyDescent="0.3">
      <c r="B28" s="26" t="s">
        <v>30</v>
      </c>
      <c r="C28" s="9">
        <v>6551</v>
      </c>
      <c r="D28" s="3">
        <v>15091</v>
      </c>
      <c r="E28" s="9">
        <v>1731286</v>
      </c>
      <c r="F28" s="27">
        <f t="shared" si="2"/>
        <v>264.27812547702644</v>
      </c>
      <c r="G28" s="2"/>
      <c r="H28" s="2"/>
      <c r="I28" s="55"/>
      <c r="J28" s="55"/>
      <c r="K28" s="2"/>
      <c r="L28" s="2"/>
      <c r="M28" s="2"/>
      <c r="N28" s="2"/>
      <c r="O28" s="2"/>
      <c r="P28" s="2"/>
      <c r="Q28" s="2"/>
    </row>
    <row r="29" spans="2:17" ht="18.75" x14ac:dyDescent="0.3">
      <c r="B29" s="26" t="s">
        <v>31</v>
      </c>
      <c r="C29" s="9">
        <v>5630</v>
      </c>
      <c r="D29" s="3">
        <v>12121</v>
      </c>
      <c r="E29" s="9">
        <v>1404798</v>
      </c>
      <c r="F29" s="27">
        <f t="shared" si="2"/>
        <v>249.52007104795737</v>
      </c>
      <c r="G29" s="2"/>
      <c r="H29" s="2"/>
      <c r="I29" s="55"/>
      <c r="J29" s="55"/>
      <c r="K29" s="2"/>
      <c r="L29" s="2"/>
      <c r="M29" s="2"/>
      <c r="N29" s="2"/>
      <c r="O29" s="2"/>
      <c r="P29" s="2"/>
      <c r="Q29" s="2"/>
    </row>
    <row r="30" spans="2:17" ht="18.75" x14ac:dyDescent="0.3">
      <c r="B30" s="39" t="s">
        <v>32</v>
      </c>
      <c r="C30" s="8">
        <v>5461</v>
      </c>
      <c r="D30" s="13">
        <v>12069</v>
      </c>
      <c r="E30" s="8">
        <v>1417382</v>
      </c>
      <c r="F30" s="27">
        <f t="shared" si="2"/>
        <v>259.54623695293901</v>
      </c>
      <c r="G30" s="2"/>
      <c r="H30" s="2"/>
      <c r="I30" s="55"/>
      <c r="J30" s="55"/>
      <c r="K30" s="2"/>
      <c r="L30" s="2"/>
      <c r="M30" s="2"/>
      <c r="N30" s="2"/>
      <c r="O30" s="2"/>
      <c r="P30" s="2"/>
      <c r="Q30" s="2"/>
    </row>
    <row r="31" spans="2:17" ht="19.5" thickBot="1" x14ac:dyDescent="0.35">
      <c r="B31" s="39" t="s">
        <v>33</v>
      </c>
      <c r="C31" s="56">
        <v>1910</v>
      </c>
      <c r="D31" s="5">
        <v>4099</v>
      </c>
      <c r="E31" s="57">
        <v>483282</v>
      </c>
      <c r="F31" s="27">
        <f t="shared" si="2"/>
        <v>253.02722513089006</v>
      </c>
      <c r="G31" s="2"/>
      <c r="H31" s="2"/>
      <c r="I31" s="55"/>
      <c r="J31" s="55"/>
      <c r="K31" s="2"/>
      <c r="L31" s="2"/>
      <c r="M31" s="2"/>
      <c r="N31" s="2"/>
      <c r="O31" s="2"/>
      <c r="P31" s="2"/>
      <c r="Q31" s="2"/>
    </row>
    <row r="32" spans="2:17" ht="19.5" thickBot="1" x14ac:dyDescent="0.35">
      <c r="B32" s="29" t="s">
        <v>34</v>
      </c>
      <c r="C32" s="40">
        <f>SUM(C19:C31)</f>
        <v>88168</v>
      </c>
      <c r="D32" s="40">
        <f t="shared" ref="D32:E32" si="3">SUM(D19:D31)</f>
        <v>183099</v>
      </c>
      <c r="E32" s="40">
        <f t="shared" si="3"/>
        <v>21475991</v>
      </c>
      <c r="F32" s="31">
        <f t="shared" si="2"/>
        <v>243.58033526903185</v>
      </c>
      <c r="G32" s="2"/>
      <c r="H32" s="2"/>
      <c r="I32" s="55"/>
      <c r="J32" s="55"/>
      <c r="K32" s="2"/>
      <c r="L32" s="2"/>
      <c r="M32" s="2"/>
      <c r="N32" s="2"/>
      <c r="O32" s="2"/>
      <c r="P32" s="2"/>
      <c r="Q32" s="2"/>
    </row>
    <row r="33" spans="2:10" ht="19.5" thickBot="1" x14ac:dyDescent="0.35">
      <c r="B33" s="32"/>
      <c r="C33" s="41"/>
      <c r="D33" s="41"/>
      <c r="E33" s="41"/>
      <c r="F33" s="33"/>
      <c r="G33" s="17"/>
      <c r="H33" s="17"/>
      <c r="I33" s="55"/>
      <c r="J33" s="55"/>
    </row>
    <row r="34" spans="2:10" ht="19.5" thickBot="1" x14ac:dyDescent="0.35">
      <c r="B34" s="21" t="s">
        <v>35</v>
      </c>
      <c r="C34" s="42"/>
      <c r="D34" s="42"/>
      <c r="E34" s="42"/>
      <c r="F34" s="43"/>
      <c r="G34" s="17"/>
      <c r="H34" s="17"/>
      <c r="I34" s="55"/>
      <c r="J34" s="55"/>
    </row>
    <row r="35" spans="2:10" ht="18.75" x14ac:dyDescent="0.3">
      <c r="B35" s="24" t="s">
        <v>36</v>
      </c>
      <c r="C35" s="16">
        <v>8681</v>
      </c>
      <c r="D35" s="7">
        <v>18376</v>
      </c>
      <c r="E35" s="8">
        <v>2140981</v>
      </c>
      <c r="F35" s="27">
        <f t="shared" ref="F35:F48" si="4">E35/C35</f>
        <v>246.62838382674806</v>
      </c>
      <c r="G35" s="17"/>
      <c r="H35" s="17"/>
      <c r="I35" s="55"/>
      <c r="J35" s="55"/>
    </row>
    <row r="36" spans="2:10" ht="18.75" x14ac:dyDescent="0.3">
      <c r="B36" s="26" t="s">
        <v>37</v>
      </c>
      <c r="C36" s="9">
        <v>8778</v>
      </c>
      <c r="D36" s="7">
        <v>17704</v>
      </c>
      <c r="E36" s="9">
        <v>2069483</v>
      </c>
      <c r="F36" s="27">
        <f t="shared" si="4"/>
        <v>235.75791752107543</v>
      </c>
      <c r="G36" s="17"/>
      <c r="H36" s="17"/>
      <c r="I36" s="55"/>
      <c r="J36" s="55"/>
    </row>
    <row r="37" spans="2:10" ht="18.75" x14ac:dyDescent="0.3">
      <c r="B37" s="26" t="s">
        <v>38</v>
      </c>
      <c r="C37" s="9">
        <v>10055</v>
      </c>
      <c r="D37" s="7">
        <v>20860</v>
      </c>
      <c r="E37" s="9">
        <v>2417591</v>
      </c>
      <c r="F37" s="27">
        <f t="shared" si="4"/>
        <v>240.43669816011933</v>
      </c>
      <c r="G37" s="17"/>
      <c r="H37" s="17"/>
      <c r="I37" s="55"/>
      <c r="J37" s="55"/>
    </row>
    <row r="38" spans="2:10" ht="18.75" x14ac:dyDescent="0.3">
      <c r="B38" s="26" t="s">
        <v>39</v>
      </c>
      <c r="C38" s="9">
        <v>5131</v>
      </c>
      <c r="D38" s="7">
        <v>10933</v>
      </c>
      <c r="E38" s="9">
        <v>1291608</v>
      </c>
      <c r="F38" s="27">
        <f t="shared" si="4"/>
        <v>251.72636912882479</v>
      </c>
      <c r="G38" s="17"/>
      <c r="H38" s="17"/>
      <c r="I38" s="55"/>
      <c r="J38" s="55"/>
    </row>
    <row r="39" spans="2:10" ht="18.75" x14ac:dyDescent="0.3">
      <c r="B39" s="26" t="s">
        <v>40</v>
      </c>
      <c r="C39" s="9">
        <v>7874</v>
      </c>
      <c r="D39" s="7">
        <v>17127</v>
      </c>
      <c r="E39" s="9">
        <v>1988401</v>
      </c>
      <c r="F39" s="27">
        <f t="shared" si="4"/>
        <v>252.52743205486411</v>
      </c>
      <c r="G39" s="17"/>
      <c r="H39" s="17"/>
      <c r="I39" s="55"/>
      <c r="J39" s="55"/>
    </row>
    <row r="40" spans="2:10" ht="18.75" x14ac:dyDescent="0.3">
      <c r="B40" s="26" t="s">
        <v>41</v>
      </c>
      <c r="C40" s="9">
        <v>5713</v>
      </c>
      <c r="D40" s="7">
        <v>11813</v>
      </c>
      <c r="E40" s="9">
        <v>1364718</v>
      </c>
      <c r="F40" s="27">
        <f t="shared" si="4"/>
        <v>238.87939786451952</v>
      </c>
      <c r="G40" s="17"/>
      <c r="H40" s="17"/>
      <c r="I40" s="55"/>
      <c r="J40" s="55"/>
    </row>
    <row r="41" spans="2:10" ht="18.75" x14ac:dyDescent="0.3">
      <c r="B41" s="26" t="s">
        <v>42</v>
      </c>
      <c r="C41" s="9">
        <v>6973</v>
      </c>
      <c r="D41" s="7">
        <v>15244</v>
      </c>
      <c r="E41" s="9">
        <v>1750752</v>
      </c>
      <c r="F41" s="27">
        <f t="shared" si="4"/>
        <v>251.07586404703858</v>
      </c>
      <c r="G41" s="17"/>
      <c r="H41" s="17"/>
      <c r="I41" s="55"/>
      <c r="J41" s="55"/>
    </row>
    <row r="42" spans="2:10" ht="18.75" x14ac:dyDescent="0.3">
      <c r="B42" s="26" t="s">
        <v>43</v>
      </c>
      <c r="C42" s="9">
        <v>10098</v>
      </c>
      <c r="D42" s="7">
        <v>22356</v>
      </c>
      <c r="E42" s="9">
        <v>2588444</v>
      </c>
      <c r="F42" s="27">
        <f t="shared" si="4"/>
        <v>256.33234303822542</v>
      </c>
      <c r="G42" s="17"/>
      <c r="H42" s="17"/>
      <c r="I42" s="55"/>
      <c r="J42" s="55"/>
    </row>
    <row r="43" spans="2:10" ht="18.75" x14ac:dyDescent="0.3">
      <c r="B43" s="26" t="s">
        <v>44</v>
      </c>
      <c r="C43" s="9">
        <v>6775</v>
      </c>
      <c r="D43" s="7">
        <v>14452</v>
      </c>
      <c r="E43" s="9">
        <v>1676678</v>
      </c>
      <c r="F43" s="27">
        <f t="shared" si="4"/>
        <v>247.48014760147601</v>
      </c>
      <c r="G43" s="17"/>
      <c r="H43" s="17"/>
      <c r="I43" s="55"/>
      <c r="J43" s="55"/>
    </row>
    <row r="44" spans="2:10" ht="18.75" x14ac:dyDescent="0.3">
      <c r="B44" s="26" t="s">
        <v>45</v>
      </c>
      <c r="C44" s="9">
        <v>5398</v>
      </c>
      <c r="D44" s="7">
        <v>11089</v>
      </c>
      <c r="E44" s="9">
        <v>1278594</v>
      </c>
      <c r="F44" s="27">
        <f t="shared" si="4"/>
        <v>236.86439422008152</v>
      </c>
      <c r="G44" s="17"/>
      <c r="H44" s="17"/>
      <c r="I44" s="55"/>
      <c r="J44" s="55"/>
    </row>
    <row r="45" spans="2:10" ht="18.75" x14ac:dyDescent="0.3">
      <c r="B45" s="26" t="s">
        <v>46</v>
      </c>
      <c r="C45" s="9">
        <v>7277</v>
      </c>
      <c r="D45" s="7">
        <v>15747</v>
      </c>
      <c r="E45" s="9">
        <v>1831346</v>
      </c>
      <c r="F45" s="27">
        <f t="shared" si="4"/>
        <v>251.66222344372682</v>
      </c>
      <c r="G45" s="17"/>
      <c r="H45" s="17"/>
      <c r="I45" s="55"/>
      <c r="J45" s="55"/>
    </row>
    <row r="46" spans="2:10" ht="18.75" x14ac:dyDescent="0.3">
      <c r="B46" s="39" t="s">
        <v>47</v>
      </c>
      <c r="C46" s="9">
        <v>6623</v>
      </c>
      <c r="D46" s="7">
        <v>13741</v>
      </c>
      <c r="E46" s="12">
        <v>1612462</v>
      </c>
      <c r="F46" s="27">
        <f t="shared" si="4"/>
        <v>243.4639891287936</v>
      </c>
      <c r="G46" s="17"/>
      <c r="H46" s="17"/>
      <c r="I46" s="55"/>
      <c r="J46" s="55"/>
    </row>
    <row r="47" spans="2:10" ht="19.5" thickBot="1" x14ac:dyDescent="0.35">
      <c r="B47" s="39" t="s">
        <v>48</v>
      </c>
      <c r="C47" s="56">
        <v>4990</v>
      </c>
      <c r="D47" s="7">
        <v>10334</v>
      </c>
      <c r="E47" s="12">
        <v>1200028</v>
      </c>
      <c r="F47" s="27">
        <f t="shared" si="4"/>
        <v>240.48657314629259</v>
      </c>
      <c r="G47" s="17"/>
      <c r="H47" s="17"/>
      <c r="I47" s="55"/>
      <c r="J47" s="55"/>
    </row>
    <row r="48" spans="2:10" ht="19.5" thickBot="1" x14ac:dyDescent="0.35">
      <c r="B48" s="29" t="s">
        <v>49</v>
      </c>
      <c r="C48" s="40">
        <f>SUM(C35:C47)</f>
        <v>94366</v>
      </c>
      <c r="D48" s="40">
        <f t="shared" ref="D48:E48" si="5">SUM(D35:D47)</f>
        <v>199776</v>
      </c>
      <c r="E48" s="40">
        <f t="shared" si="5"/>
        <v>23211086</v>
      </c>
      <c r="F48" s="31">
        <f t="shared" si="4"/>
        <v>245.96873874064812</v>
      </c>
      <c r="G48" s="17"/>
      <c r="H48" s="17"/>
      <c r="I48" s="55"/>
      <c r="J48" s="55"/>
    </row>
    <row r="49" spans="2:10" ht="19.5" thickBot="1" x14ac:dyDescent="0.35">
      <c r="B49" s="44"/>
      <c r="C49" s="45"/>
      <c r="D49" s="45"/>
      <c r="E49" s="45"/>
      <c r="F49" s="46"/>
      <c r="G49" s="17"/>
      <c r="H49" s="17"/>
      <c r="I49" s="55"/>
      <c r="J49" s="55"/>
    </row>
    <row r="50" spans="2:10" ht="19.5" thickBot="1" x14ac:dyDescent="0.35">
      <c r="B50" s="21" t="s">
        <v>50</v>
      </c>
      <c r="C50" s="42"/>
      <c r="D50" s="42"/>
      <c r="E50" s="42"/>
      <c r="F50" s="43"/>
      <c r="G50" s="17"/>
      <c r="H50" s="17"/>
      <c r="I50" s="55"/>
      <c r="J50" s="55"/>
    </row>
    <row r="51" spans="2:10" ht="18.75" x14ac:dyDescent="0.3">
      <c r="B51" s="24" t="s">
        <v>51</v>
      </c>
      <c r="C51" s="16">
        <v>5304</v>
      </c>
      <c r="D51" s="7">
        <v>11109</v>
      </c>
      <c r="E51" s="8">
        <v>1296260</v>
      </c>
      <c r="F51" s="27">
        <f t="shared" ref="F51:F58" si="6">E51/C51</f>
        <v>244.39291101055807</v>
      </c>
      <c r="G51" s="17"/>
      <c r="H51" s="17"/>
      <c r="I51" s="55"/>
      <c r="J51" s="55"/>
    </row>
    <row r="52" spans="2:10" ht="18.75" x14ac:dyDescent="0.3">
      <c r="B52" s="26" t="s">
        <v>52</v>
      </c>
      <c r="C52" s="9">
        <v>7843</v>
      </c>
      <c r="D52" s="7">
        <v>17440</v>
      </c>
      <c r="E52" s="9">
        <v>2039118</v>
      </c>
      <c r="F52" s="27">
        <f t="shared" si="6"/>
        <v>259.99209486166006</v>
      </c>
      <c r="G52" s="17"/>
      <c r="H52" s="17"/>
      <c r="I52" s="55"/>
      <c r="J52" s="55"/>
    </row>
    <row r="53" spans="2:10" ht="18.75" x14ac:dyDescent="0.3">
      <c r="B53" s="26" t="s">
        <v>53</v>
      </c>
      <c r="C53" s="9">
        <v>21451</v>
      </c>
      <c r="D53" s="7">
        <v>43478</v>
      </c>
      <c r="E53" s="9">
        <v>5047185</v>
      </c>
      <c r="F53" s="27">
        <f t="shared" si="6"/>
        <v>235.28903081441425</v>
      </c>
      <c r="G53" s="17"/>
      <c r="H53" s="17"/>
      <c r="I53" s="55"/>
      <c r="J53" s="55"/>
    </row>
    <row r="54" spans="2:10" ht="18.75" x14ac:dyDescent="0.3">
      <c r="B54" s="26" t="s">
        <v>54</v>
      </c>
      <c r="C54" s="9">
        <v>6932</v>
      </c>
      <c r="D54" s="7">
        <v>14915</v>
      </c>
      <c r="E54" s="9">
        <v>1716131</v>
      </c>
      <c r="F54" s="27">
        <f t="shared" si="6"/>
        <v>247.56650317368724</v>
      </c>
      <c r="G54" s="17"/>
      <c r="H54" s="17"/>
      <c r="I54" s="55"/>
      <c r="J54" s="55"/>
    </row>
    <row r="55" spans="2:10" ht="18.75" x14ac:dyDescent="0.3">
      <c r="B55" s="26" t="s">
        <v>55</v>
      </c>
      <c r="C55" s="9">
        <v>5403</v>
      </c>
      <c r="D55" s="7">
        <v>11012</v>
      </c>
      <c r="E55" s="9">
        <v>1308073</v>
      </c>
      <c r="F55" s="27">
        <f t="shared" si="6"/>
        <v>242.10124005182305</v>
      </c>
      <c r="G55" s="17"/>
      <c r="H55" s="17"/>
      <c r="I55" s="55"/>
      <c r="J55" s="55"/>
    </row>
    <row r="56" spans="2:10" ht="18.75" x14ac:dyDescent="0.3">
      <c r="B56" s="26" t="s">
        <v>56</v>
      </c>
      <c r="C56" s="9">
        <v>5575</v>
      </c>
      <c r="D56" s="7">
        <v>11477</v>
      </c>
      <c r="E56" s="9">
        <v>1332165</v>
      </c>
      <c r="F56" s="27">
        <f t="shared" si="6"/>
        <v>238.95336322869954</v>
      </c>
      <c r="G56" s="17"/>
      <c r="H56" s="17"/>
      <c r="I56" s="55"/>
      <c r="J56" s="55"/>
    </row>
    <row r="57" spans="2:10" ht="19.5" thickBot="1" x14ac:dyDescent="0.35">
      <c r="B57" s="26" t="s">
        <v>57</v>
      </c>
      <c r="C57" s="10">
        <v>7671</v>
      </c>
      <c r="D57" s="7">
        <v>15634</v>
      </c>
      <c r="E57" s="9">
        <v>1807711</v>
      </c>
      <c r="F57" s="27">
        <f t="shared" si="6"/>
        <v>235.65519488984486</v>
      </c>
      <c r="G57" s="17"/>
      <c r="H57" s="17"/>
      <c r="I57" s="55"/>
      <c r="J57" s="55"/>
    </row>
    <row r="58" spans="2:10" ht="19.5" thickBot="1" x14ac:dyDescent="0.35">
      <c r="B58" s="29" t="s">
        <v>49</v>
      </c>
      <c r="C58" s="40">
        <f>SUM(C51:C57)</f>
        <v>60179</v>
      </c>
      <c r="D58" s="40">
        <f t="shared" ref="D58:E58" si="7">SUM(D51:D57)</f>
        <v>125065</v>
      </c>
      <c r="E58" s="40">
        <f t="shared" si="7"/>
        <v>14546643</v>
      </c>
      <c r="F58" s="31">
        <f t="shared" si="6"/>
        <v>241.72290998521078</v>
      </c>
      <c r="G58" s="17"/>
      <c r="H58" s="17"/>
      <c r="I58" s="55"/>
      <c r="J58" s="55"/>
    </row>
    <row r="59" spans="2:10" ht="19.5" thickBot="1" x14ac:dyDescent="0.35">
      <c r="B59" s="44"/>
      <c r="C59" s="45"/>
      <c r="D59" s="45"/>
      <c r="E59" s="45"/>
      <c r="F59" s="46"/>
      <c r="G59" s="17"/>
      <c r="H59" s="17"/>
      <c r="I59" s="55"/>
      <c r="J59" s="55"/>
    </row>
    <row r="60" spans="2:10" ht="19.5" thickBot="1" x14ac:dyDescent="0.35">
      <c r="B60" s="21" t="s">
        <v>58</v>
      </c>
      <c r="C60" s="42"/>
      <c r="D60" s="42"/>
      <c r="E60" s="42"/>
      <c r="F60" s="43"/>
      <c r="G60" s="17"/>
      <c r="H60" s="17"/>
      <c r="I60" s="55"/>
      <c r="J60" s="55"/>
    </row>
    <row r="61" spans="2:10" ht="18.75" x14ac:dyDescent="0.3">
      <c r="B61" s="24" t="s">
        <v>59</v>
      </c>
      <c r="C61" s="16">
        <v>8711</v>
      </c>
      <c r="D61" s="7">
        <v>18582</v>
      </c>
      <c r="E61" s="8">
        <v>2154232</v>
      </c>
      <c r="F61" s="27">
        <f t="shared" ref="F61:F68" si="8">E61/C61</f>
        <v>247.30019515555045</v>
      </c>
      <c r="G61" s="17"/>
      <c r="H61" s="17"/>
      <c r="I61" s="55"/>
      <c r="J61" s="55"/>
    </row>
    <row r="62" spans="2:10" ht="18.75" x14ac:dyDescent="0.3">
      <c r="B62" s="26" t="s">
        <v>60</v>
      </c>
      <c r="C62" s="9">
        <v>9553</v>
      </c>
      <c r="D62" s="7">
        <v>20064</v>
      </c>
      <c r="E62" s="9">
        <v>2332673</v>
      </c>
      <c r="F62" s="27">
        <f t="shared" si="8"/>
        <v>244.18224641473881</v>
      </c>
      <c r="G62" s="17"/>
      <c r="H62" s="17"/>
      <c r="I62" s="55"/>
      <c r="J62" s="55"/>
    </row>
    <row r="63" spans="2:10" ht="18.75" x14ac:dyDescent="0.3">
      <c r="B63" s="26" t="s">
        <v>61</v>
      </c>
      <c r="C63" s="9">
        <v>11307</v>
      </c>
      <c r="D63" s="7">
        <v>22858</v>
      </c>
      <c r="E63" s="9">
        <v>2655524</v>
      </c>
      <c r="F63" s="27">
        <f t="shared" si="8"/>
        <v>234.85663748120632</v>
      </c>
      <c r="G63" s="17"/>
      <c r="H63" s="17"/>
      <c r="I63" s="55"/>
      <c r="J63" s="55"/>
    </row>
    <row r="64" spans="2:10" ht="18.75" x14ac:dyDescent="0.3">
      <c r="B64" s="26" t="s">
        <v>62</v>
      </c>
      <c r="C64" s="9">
        <v>5172</v>
      </c>
      <c r="D64" s="7">
        <v>11589</v>
      </c>
      <c r="E64" s="9">
        <v>1358560</v>
      </c>
      <c r="F64" s="27">
        <f t="shared" si="8"/>
        <v>262.67594740912608</v>
      </c>
      <c r="G64" s="17"/>
      <c r="H64" s="17"/>
      <c r="I64" s="55"/>
      <c r="J64" s="55"/>
    </row>
    <row r="65" spans="2:10" ht="18.75" x14ac:dyDescent="0.3">
      <c r="B65" s="26" t="s">
        <v>63</v>
      </c>
      <c r="C65" s="9">
        <v>3886</v>
      </c>
      <c r="D65" s="7">
        <v>8079</v>
      </c>
      <c r="E65" s="9">
        <v>933064</v>
      </c>
      <c r="F65" s="27">
        <f t="shared" si="8"/>
        <v>240.10910962429233</v>
      </c>
      <c r="G65" s="17"/>
      <c r="H65" s="17"/>
      <c r="I65" s="55"/>
      <c r="J65" s="55"/>
    </row>
    <row r="66" spans="2:10" ht="18.75" x14ac:dyDescent="0.3">
      <c r="B66" s="26" t="s">
        <v>64</v>
      </c>
      <c r="C66" s="9">
        <v>9734</v>
      </c>
      <c r="D66" s="7">
        <v>20433</v>
      </c>
      <c r="E66" s="9">
        <v>2362638</v>
      </c>
      <c r="F66" s="27">
        <f t="shared" si="8"/>
        <v>242.72015615368809</v>
      </c>
      <c r="G66" s="17"/>
      <c r="H66" s="17"/>
      <c r="I66" s="55"/>
      <c r="J66" s="55"/>
    </row>
    <row r="67" spans="2:10" ht="19.5" thickBot="1" x14ac:dyDescent="0.35">
      <c r="B67" s="26" t="s">
        <v>66</v>
      </c>
      <c r="C67" s="9">
        <v>9113</v>
      </c>
      <c r="D67" s="7">
        <v>18599</v>
      </c>
      <c r="E67" s="9">
        <v>2175661</v>
      </c>
      <c r="F67" s="27">
        <f t="shared" si="8"/>
        <v>238.74256556567542</v>
      </c>
      <c r="G67" s="17"/>
      <c r="H67" s="17"/>
      <c r="I67" s="55"/>
      <c r="J67" s="55"/>
    </row>
    <row r="68" spans="2:10" ht="19.5" thickBot="1" x14ac:dyDescent="0.35">
      <c r="B68" s="29" t="s">
        <v>49</v>
      </c>
      <c r="C68" s="40">
        <f>SUM(C61:C67)</f>
        <v>57476</v>
      </c>
      <c r="D68" s="40">
        <f>SUM(D61:D67)</f>
        <v>120204</v>
      </c>
      <c r="E68" s="40">
        <f>SUM(E61:E67)</f>
        <v>13972352</v>
      </c>
      <c r="F68" s="31">
        <f t="shared" si="8"/>
        <v>243.09889345117963</v>
      </c>
      <c r="G68" s="17"/>
      <c r="H68" s="17"/>
      <c r="I68" s="55"/>
      <c r="J68" s="55"/>
    </row>
    <row r="69" spans="2:10" ht="19.5" thickBot="1" x14ac:dyDescent="0.35">
      <c r="B69" s="44"/>
      <c r="C69" s="45"/>
      <c r="D69" s="45"/>
      <c r="E69" s="45"/>
      <c r="F69" s="46"/>
      <c r="G69" s="17"/>
      <c r="H69" s="17"/>
      <c r="I69" s="55"/>
      <c r="J69" s="55"/>
    </row>
    <row r="70" spans="2:10" ht="19.5" thickBot="1" x14ac:dyDescent="0.35">
      <c r="B70" s="21" t="s">
        <v>67</v>
      </c>
      <c r="C70" s="42"/>
      <c r="D70" s="42"/>
      <c r="E70" s="42"/>
      <c r="F70" s="43"/>
      <c r="G70" s="17"/>
      <c r="H70" s="17"/>
      <c r="I70" s="55"/>
      <c r="J70" s="55"/>
    </row>
    <row r="71" spans="2:10" ht="18.75" x14ac:dyDescent="0.3">
      <c r="B71" s="24" t="s">
        <v>68</v>
      </c>
      <c r="C71" s="16">
        <v>3969</v>
      </c>
      <c r="D71" s="7">
        <v>8533</v>
      </c>
      <c r="E71" s="8">
        <v>985037</v>
      </c>
      <c r="F71" s="27">
        <f t="shared" ref="F71:F77" si="9">E71/C71</f>
        <v>248.18266565885614</v>
      </c>
      <c r="G71" s="17"/>
      <c r="H71" s="17"/>
      <c r="I71" s="55"/>
      <c r="J71" s="55"/>
    </row>
    <row r="72" spans="2:10" ht="18.75" x14ac:dyDescent="0.3">
      <c r="B72" s="26" t="s">
        <v>69</v>
      </c>
      <c r="C72" s="9">
        <v>6951</v>
      </c>
      <c r="D72" s="7">
        <v>13635</v>
      </c>
      <c r="E72" s="9">
        <v>1570969</v>
      </c>
      <c r="F72" s="27">
        <f t="shared" si="9"/>
        <v>226.00618616026472</v>
      </c>
      <c r="G72" s="17"/>
      <c r="H72" s="17"/>
      <c r="I72" s="55"/>
      <c r="J72" s="55"/>
    </row>
    <row r="73" spans="2:10" ht="18.75" x14ac:dyDescent="0.3">
      <c r="B73" s="26" t="s">
        <v>67</v>
      </c>
      <c r="C73" s="9">
        <v>8091</v>
      </c>
      <c r="D73" s="7">
        <v>17034</v>
      </c>
      <c r="E73" s="9">
        <v>1969718</v>
      </c>
      <c r="F73" s="27">
        <f t="shared" si="9"/>
        <v>243.44555679149673</v>
      </c>
      <c r="G73" s="17"/>
      <c r="H73" s="17"/>
      <c r="I73" s="55"/>
      <c r="J73" s="55"/>
    </row>
    <row r="74" spans="2:10" ht="18.75" x14ac:dyDescent="0.3">
      <c r="B74" s="26" t="s">
        <v>70</v>
      </c>
      <c r="C74" s="9">
        <v>4286</v>
      </c>
      <c r="D74" s="7">
        <v>8767</v>
      </c>
      <c r="E74" s="9">
        <v>1018374</v>
      </c>
      <c r="F74" s="27">
        <f t="shared" si="9"/>
        <v>237.60475968268781</v>
      </c>
      <c r="G74" s="17"/>
      <c r="H74" s="17"/>
      <c r="I74" s="55"/>
      <c r="J74" s="55"/>
    </row>
    <row r="75" spans="2:10" ht="18.75" x14ac:dyDescent="0.3">
      <c r="B75" s="26" t="s">
        <v>71</v>
      </c>
      <c r="C75" s="9">
        <v>6198</v>
      </c>
      <c r="D75" s="7">
        <v>12967</v>
      </c>
      <c r="E75" s="9">
        <v>1497899</v>
      </c>
      <c r="F75" s="27">
        <f t="shared" si="9"/>
        <v>241.67457244272344</v>
      </c>
      <c r="G75" s="17"/>
      <c r="H75" s="17"/>
      <c r="I75" s="55"/>
      <c r="J75" s="55"/>
    </row>
    <row r="76" spans="2:10" ht="19.5" thickBot="1" x14ac:dyDescent="0.35">
      <c r="B76" s="28" t="s">
        <v>72</v>
      </c>
      <c r="C76" s="10">
        <v>3966</v>
      </c>
      <c r="D76" s="7">
        <v>8619</v>
      </c>
      <c r="E76" s="10">
        <v>981041</v>
      </c>
      <c r="F76" s="27">
        <f t="shared" si="9"/>
        <v>247.362834089763</v>
      </c>
      <c r="G76" s="17"/>
      <c r="H76" s="17"/>
      <c r="I76" s="55"/>
      <c r="J76" s="55"/>
    </row>
    <row r="77" spans="2:10" ht="19.5" thickBot="1" x14ac:dyDescent="0.35">
      <c r="B77" s="29" t="s">
        <v>49</v>
      </c>
      <c r="C77" s="40">
        <f>SUM(C71:C76)</f>
        <v>33461</v>
      </c>
      <c r="D77" s="40">
        <f t="shared" ref="D77:E77" si="10">SUM(D71:D76)</f>
        <v>69555</v>
      </c>
      <c r="E77" s="40">
        <f t="shared" si="10"/>
        <v>8023038</v>
      </c>
      <c r="F77" s="31">
        <f t="shared" si="9"/>
        <v>239.77281013717462</v>
      </c>
      <c r="G77" s="17"/>
      <c r="H77" s="17"/>
      <c r="I77" s="55"/>
      <c r="J77" s="55"/>
    </row>
    <row r="78" spans="2:10" ht="19.5" thickBot="1" x14ac:dyDescent="0.35">
      <c r="B78" s="44"/>
      <c r="C78" s="45"/>
      <c r="D78" s="45"/>
      <c r="E78" s="45"/>
      <c r="F78" s="46"/>
      <c r="G78" s="17"/>
      <c r="H78" s="17"/>
      <c r="I78" s="55"/>
      <c r="J78" s="55"/>
    </row>
    <row r="79" spans="2:10" ht="19.5" thickBot="1" x14ac:dyDescent="0.35">
      <c r="B79" s="21" t="s">
        <v>73</v>
      </c>
      <c r="C79" s="42"/>
      <c r="D79" s="42"/>
      <c r="E79" s="42"/>
      <c r="F79" s="43"/>
      <c r="G79" s="17"/>
      <c r="H79" s="17"/>
      <c r="I79" s="55"/>
      <c r="J79" s="55"/>
    </row>
    <row r="80" spans="2:10" ht="18.75" x14ac:dyDescent="0.3">
      <c r="B80" s="24" t="s">
        <v>74</v>
      </c>
      <c r="C80" s="16">
        <v>2466</v>
      </c>
      <c r="D80" s="7">
        <v>4981</v>
      </c>
      <c r="E80" s="8">
        <v>574083</v>
      </c>
      <c r="F80" s="27">
        <f t="shared" ref="F80:F90" si="11">E80/C80</f>
        <v>232.7992700729927</v>
      </c>
      <c r="G80" s="17"/>
      <c r="H80" s="17"/>
      <c r="I80" s="55"/>
      <c r="J80" s="55"/>
    </row>
    <row r="81" spans="2:10" ht="18.75" x14ac:dyDescent="0.3">
      <c r="B81" s="26" t="s">
        <v>75</v>
      </c>
      <c r="C81" s="9">
        <v>249</v>
      </c>
      <c r="D81" s="7">
        <v>540</v>
      </c>
      <c r="E81" s="9">
        <v>59331</v>
      </c>
      <c r="F81" s="27">
        <f t="shared" si="11"/>
        <v>238.27710843373495</v>
      </c>
      <c r="G81" s="17"/>
      <c r="H81" s="17"/>
      <c r="I81" s="55"/>
      <c r="J81" s="55"/>
    </row>
    <row r="82" spans="2:10" ht="18.75" x14ac:dyDescent="0.3">
      <c r="B82" s="26" t="s">
        <v>76</v>
      </c>
      <c r="C82" s="9">
        <v>6801</v>
      </c>
      <c r="D82" s="7">
        <v>13997</v>
      </c>
      <c r="E82" s="9">
        <v>1639071</v>
      </c>
      <c r="F82" s="27">
        <f t="shared" si="11"/>
        <v>241.00441111601236</v>
      </c>
      <c r="G82" s="17"/>
      <c r="H82" s="17"/>
      <c r="I82" s="55"/>
      <c r="J82" s="55"/>
    </row>
    <row r="83" spans="2:10" ht="18.75" x14ac:dyDescent="0.3">
      <c r="B83" s="26" t="s">
        <v>73</v>
      </c>
      <c r="C83" s="9">
        <v>11172</v>
      </c>
      <c r="D83" s="7">
        <v>22032</v>
      </c>
      <c r="E83" s="9">
        <v>2579993</v>
      </c>
      <c r="F83" s="27">
        <f t="shared" si="11"/>
        <v>230.93385248836375</v>
      </c>
      <c r="G83" s="17"/>
      <c r="H83" s="17"/>
      <c r="I83" s="55"/>
      <c r="J83" s="55"/>
    </row>
    <row r="84" spans="2:10" ht="18.75" x14ac:dyDescent="0.3">
      <c r="B84" s="26" t="s">
        <v>77</v>
      </c>
      <c r="C84" s="9">
        <v>8149</v>
      </c>
      <c r="D84" s="7">
        <v>17015</v>
      </c>
      <c r="E84" s="9">
        <v>1995945</v>
      </c>
      <c r="F84" s="27">
        <f t="shared" si="11"/>
        <v>244.93127991164559</v>
      </c>
      <c r="G84" s="17"/>
      <c r="H84" s="17"/>
      <c r="I84" s="55"/>
      <c r="J84" s="55"/>
    </row>
    <row r="85" spans="2:10" ht="18.75" x14ac:dyDescent="0.3">
      <c r="B85" s="26" t="s">
        <v>78</v>
      </c>
      <c r="C85" s="9">
        <v>7353</v>
      </c>
      <c r="D85" s="7">
        <v>14996</v>
      </c>
      <c r="E85" s="9">
        <v>1759976</v>
      </c>
      <c r="F85" s="27">
        <f t="shared" si="11"/>
        <v>239.35482116143072</v>
      </c>
      <c r="G85" s="17"/>
      <c r="H85" s="17"/>
      <c r="I85" s="55"/>
      <c r="J85" s="55"/>
    </row>
    <row r="86" spans="2:10" ht="18.75" x14ac:dyDescent="0.3">
      <c r="B86" s="26" t="s">
        <v>79</v>
      </c>
      <c r="C86" s="9">
        <v>2893</v>
      </c>
      <c r="D86" s="7">
        <v>5936</v>
      </c>
      <c r="E86" s="9">
        <v>687204</v>
      </c>
      <c r="F86" s="27">
        <f t="shared" si="11"/>
        <v>237.54026961631524</v>
      </c>
      <c r="G86" s="17"/>
      <c r="H86" s="17"/>
      <c r="I86" s="55"/>
      <c r="J86" s="55"/>
    </row>
    <row r="87" spans="2:10" ht="18.75" x14ac:dyDescent="0.3">
      <c r="B87" s="26" t="s">
        <v>80</v>
      </c>
      <c r="C87" s="9">
        <v>5485</v>
      </c>
      <c r="D87" s="7">
        <v>11513</v>
      </c>
      <c r="E87" s="9">
        <v>1339165</v>
      </c>
      <c r="F87" s="27">
        <f t="shared" si="11"/>
        <v>244.15041020966271</v>
      </c>
      <c r="G87" s="17"/>
      <c r="H87" s="17"/>
      <c r="I87" s="55"/>
      <c r="J87" s="55"/>
    </row>
    <row r="88" spans="2:10" ht="18.75" x14ac:dyDescent="0.3">
      <c r="B88" s="26" t="s">
        <v>81</v>
      </c>
      <c r="C88" s="9">
        <v>2032</v>
      </c>
      <c r="D88" s="7">
        <v>4051</v>
      </c>
      <c r="E88" s="9">
        <v>479775</v>
      </c>
      <c r="F88" s="27">
        <f t="shared" si="11"/>
        <v>236.10974409448818</v>
      </c>
      <c r="G88" s="17"/>
      <c r="H88" s="17"/>
      <c r="I88" s="55"/>
      <c r="J88" s="55"/>
    </row>
    <row r="89" spans="2:10" ht="19.5" thickBot="1" x14ac:dyDescent="0.35">
      <c r="B89" s="28" t="s">
        <v>82</v>
      </c>
      <c r="C89" s="10">
        <v>9316</v>
      </c>
      <c r="D89" s="7">
        <v>18752</v>
      </c>
      <c r="E89" s="10">
        <v>2182265</v>
      </c>
      <c r="F89" s="27">
        <f t="shared" si="11"/>
        <v>234.24914126234435</v>
      </c>
      <c r="G89" s="17"/>
      <c r="H89" s="17"/>
      <c r="I89" s="55"/>
      <c r="J89" s="55"/>
    </row>
    <row r="90" spans="2:10" ht="19.5" thickBot="1" x14ac:dyDescent="0.35">
      <c r="B90" s="29" t="s">
        <v>49</v>
      </c>
      <c r="C90" s="40">
        <f>SUM(C80:C89)</f>
        <v>55916</v>
      </c>
      <c r="D90" s="40">
        <f t="shared" ref="D90:E90" si="12">SUM(D80:D89)</f>
        <v>113813</v>
      </c>
      <c r="E90" s="40">
        <f t="shared" si="12"/>
        <v>13296808</v>
      </c>
      <c r="F90" s="31">
        <f t="shared" si="11"/>
        <v>237.79969954932398</v>
      </c>
      <c r="G90" s="17"/>
      <c r="H90" s="17"/>
      <c r="I90" s="55"/>
      <c r="J90" s="55"/>
    </row>
    <row r="91" spans="2:10" ht="19.5" thickBot="1" x14ac:dyDescent="0.35">
      <c r="B91" s="44"/>
      <c r="C91" s="45"/>
      <c r="D91" s="45"/>
      <c r="E91" s="45"/>
      <c r="F91" s="46"/>
      <c r="G91" s="17"/>
      <c r="H91" s="17"/>
      <c r="I91" s="55"/>
      <c r="J91" s="55"/>
    </row>
    <row r="92" spans="2:10" ht="19.5" thickBot="1" x14ac:dyDescent="0.35">
      <c r="B92" s="21" t="s">
        <v>83</v>
      </c>
      <c r="C92" s="42"/>
      <c r="D92" s="42"/>
      <c r="E92" s="42"/>
      <c r="F92" s="43"/>
      <c r="G92" s="17"/>
      <c r="H92" s="17"/>
      <c r="I92" s="55"/>
      <c r="J92" s="55"/>
    </row>
    <row r="93" spans="2:10" ht="18.75" x14ac:dyDescent="0.3">
      <c r="B93" s="24" t="s">
        <v>84</v>
      </c>
      <c r="C93" s="16">
        <v>5620</v>
      </c>
      <c r="D93" s="7">
        <v>11491</v>
      </c>
      <c r="E93" s="8">
        <v>1328184</v>
      </c>
      <c r="F93" s="27">
        <f t="shared" ref="F93:F101" si="13">E93/C93</f>
        <v>236.33167259786478</v>
      </c>
      <c r="G93" s="17"/>
      <c r="H93" s="17"/>
      <c r="I93" s="55"/>
      <c r="J93" s="55"/>
    </row>
    <row r="94" spans="2:10" ht="18.75" x14ac:dyDescent="0.3">
      <c r="B94" s="26" t="s">
        <v>85</v>
      </c>
      <c r="C94" s="9">
        <v>7550</v>
      </c>
      <c r="D94" s="7">
        <v>15925</v>
      </c>
      <c r="E94" s="9">
        <v>1859582</v>
      </c>
      <c r="F94" s="27">
        <f t="shared" si="13"/>
        <v>246.30225165562914</v>
      </c>
      <c r="G94" s="17"/>
      <c r="H94" s="17"/>
      <c r="I94" s="55"/>
      <c r="J94" s="55"/>
    </row>
    <row r="95" spans="2:10" ht="18.75" x14ac:dyDescent="0.3">
      <c r="B95" s="26" t="s">
        <v>86</v>
      </c>
      <c r="C95" s="9">
        <v>4046</v>
      </c>
      <c r="D95" s="7">
        <v>8571</v>
      </c>
      <c r="E95" s="9">
        <v>1000440</v>
      </c>
      <c r="F95" s="27">
        <f t="shared" si="13"/>
        <v>247.26643598615917</v>
      </c>
      <c r="G95" s="17"/>
      <c r="H95" s="17"/>
      <c r="I95" s="55"/>
      <c r="J95" s="55"/>
    </row>
    <row r="96" spans="2:10" ht="18.75" x14ac:dyDescent="0.3">
      <c r="B96" s="26" t="s">
        <v>87</v>
      </c>
      <c r="C96" s="9">
        <v>2666</v>
      </c>
      <c r="D96" s="7">
        <v>5054</v>
      </c>
      <c r="E96" s="9">
        <v>589453</v>
      </c>
      <c r="F96" s="27">
        <f t="shared" si="13"/>
        <v>221.10015003750937</v>
      </c>
      <c r="G96" s="17"/>
      <c r="H96" s="17"/>
      <c r="I96" s="55"/>
      <c r="J96" s="55"/>
    </row>
    <row r="97" spans="2:10" ht="18.75" x14ac:dyDescent="0.3">
      <c r="B97" s="26" t="s">
        <v>88</v>
      </c>
      <c r="C97" s="9">
        <v>5119</v>
      </c>
      <c r="D97" s="7">
        <v>10932</v>
      </c>
      <c r="E97" s="9">
        <v>1279003</v>
      </c>
      <c r="F97" s="27">
        <f t="shared" si="13"/>
        <v>249.85407306114476</v>
      </c>
      <c r="G97" s="17"/>
      <c r="H97" s="17"/>
      <c r="I97" s="55"/>
      <c r="J97" s="55"/>
    </row>
    <row r="98" spans="2:10" ht="18.75" x14ac:dyDescent="0.3">
      <c r="B98" s="26" t="s">
        <v>89</v>
      </c>
      <c r="C98" s="9">
        <v>1133</v>
      </c>
      <c r="D98" s="7">
        <v>2718</v>
      </c>
      <c r="E98" s="9">
        <v>314412</v>
      </c>
      <c r="F98" s="27">
        <f t="shared" si="13"/>
        <v>277.50397175639893</v>
      </c>
      <c r="G98" s="17"/>
      <c r="H98" s="17"/>
      <c r="I98" s="55"/>
      <c r="J98" s="55"/>
    </row>
    <row r="99" spans="2:10" ht="18.75" x14ac:dyDescent="0.3">
      <c r="B99" s="26" t="s">
        <v>90</v>
      </c>
      <c r="C99" s="9">
        <v>15372</v>
      </c>
      <c r="D99" s="7">
        <v>30503</v>
      </c>
      <c r="E99" s="9">
        <v>3608963</v>
      </c>
      <c r="F99" s="27">
        <f t="shared" si="13"/>
        <v>234.77511059068436</v>
      </c>
      <c r="G99" s="17"/>
      <c r="H99" s="17"/>
      <c r="I99" s="55"/>
      <c r="J99" s="55"/>
    </row>
    <row r="100" spans="2:10" ht="18.75" x14ac:dyDescent="0.3">
      <c r="B100" s="47" t="s">
        <v>92</v>
      </c>
      <c r="C100" s="9">
        <v>4332</v>
      </c>
      <c r="D100" s="7">
        <v>9252</v>
      </c>
      <c r="E100" s="9">
        <v>1065468</v>
      </c>
      <c r="F100" s="27">
        <f t="shared" si="13"/>
        <v>245.95290858725761</v>
      </c>
      <c r="G100" s="17"/>
      <c r="H100" s="17"/>
      <c r="I100" s="55"/>
      <c r="J100" s="55"/>
    </row>
    <row r="101" spans="2:10" ht="19.5" thickBot="1" x14ac:dyDescent="0.35">
      <c r="B101" s="26" t="s">
        <v>93</v>
      </c>
      <c r="C101" s="10">
        <v>6472</v>
      </c>
      <c r="D101" s="7">
        <v>13402</v>
      </c>
      <c r="E101" s="9">
        <v>1557420</v>
      </c>
      <c r="F101" s="27">
        <f t="shared" si="13"/>
        <v>240.63967861557478</v>
      </c>
      <c r="G101" s="17"/>
      <c r="H101" s="17"/>
      <c r="I101" s="55"/>
      <c r="J101" s="55"/>
    </row>
    <row r="102" spans="2:10" ht="19.5" thickBot="1" x14ac:dyDescent="0.35">
      <c r="B102" s="29" t="s">
        <v>49</v>
      </c>
      <c r="C102" s="40">
        <f>SUM(C93:C101)</f>
        <v>52310</v>
      </c>
      <c r="D102" s="40">
        <f t="shared" ref="D102:E102" si="14">SUM(D93:D101)</f>
        <v>107848</v>
      </c>
      <c r="E102" s="40">
        <f t="shared" si="14"/>
        <v>12602925</v>
      </c>
      <c r="F102" s="31">
        <f t="shared" ref="F102" si="15">E102/C102</f>
        <v>240.92764289810745</v>
      </c>
      <c r="G102" s="17"/>
      <c r="H102" s="17"/>
      <c r="I102" s="55"/>
      <c r="J102" s="55"/>
    </row>
    <row r="103" spans="2:10" ht="19.5" thickBot="1" x14ac:dyDescent="0.35">
      <c r="B103" s="44"/>
      <c r="C103" s="45"/>
      <c r="D103" s="45"/>
      <c r="E103" s="45"/>
      <c r="F103" s="46"/>
      <c r="G103" s="17"/>
      <c r="H103" s="17"/>
      <c r="I103" s="55"/>
      <c r="J103" s="55"/>
    </row>
    <row r="104" spans="2:10" ht="19.5" thickBot="1" x14ac:dyDescent="0.35">
      <c r="B104" s="34" t="s">
        <v>94</v>
      </c>
      <c r="C104" s="42"/>
      <c r="D104" s="42"/>
      <c r="E104" s="42"/>
      <c r="F104" s="43"/>
      <c r="G104" s="17"/>
      <c r="H104" s="17"/>
      <c r="I104" s="55"/>
      <c r="J104" s="55"/>
    </row>
    <row r="105" spans="2:10" ht="18.75" x14ac:dyDescent="0.3">
      <c r="B105" s="48" t="s">
        <v>95</v>
      </c>
      <c r="C105" s="60">
        <v>3902</v>
      </c>
      <c r="D105" s="7">
        <v>9278</v>
      </c>
      <c r="E105" s="8">
        <v>1082659</v>
      </c>
      <c r="F105" s="27">
        <f t="shared" ref="F105:F118" si="16">E105/C105</f>
        <v>277.46258329062022</v>
      </c>
      <c r="G105" s="17"/>
      <c r="H105" s="17"/>
      <c r="I105" s="55"/>
      <c r="J105" s="55"/>
    </row>
    <row r="106" spans="2:10" ht="18.75" x14ac:dyDescent="0.3">
      <c r="B106" s="49" t="s">
        <v>96</v>
      </c>
      <c r="C106" s="9">
        <v>5669</v>
      </c>
      <c r="D106" s="7">
        <v>11568</v>
      </c>
      <c r="E106" s="8">
        <v>1341968</v>
      </c>
      <c r="F106" s="27">
        <f t="shared" si="16"/>
        <v>236.72040924325279</v>
      </c>
      <c r="G106" s="17"/>
      <c r="H106" s="17"/>
      <c r="I106" s="55"/>
      <c r="J106" s="55"/>
    </row>
    <row r="107" spans="2:10" ht="18.75" x14ac:dyDescent="0.3">
      <c r="B107" s="49" t="s">
        <v>97</v>
      </c>
      <c r="C107" s="9">
        <v>863</v>
      </c>
      <c r="D107" s="7">
        <v>1943</v>
      </c>
      <c r="E107" s="9">
        <v>233902</v>
      </c>
      <c r="F107" s="27">
        <f t="shared" si="16"/>
        <v>271.03360370799538</v>
      </c>
      <c r="G107" s="17"/>
      <c r="H107" s="17"/>
      <c r="I107" s="55"/>
      <c r="J107" s="55"/>
    </row>
    <row r="108" spans="2:10" ht="18.75" x14ac:dyDescent="0.3">
      <c r="B108" s="49" t="s">
        <v>98</v>
      </c>
      <c r="C108" s="9">
        <v>7561</v>
      </c>
      <c r="D108" s="7">
        <v>16245</v>
      </c>
      <c r="E108" s="9">
        <v>1886398</v>
      </c>
      <c r="F108" s="27">
        <f t="shared" si="16"/>
        <v>249.49054357889167</v>
      </c>
      <c r="G108" s="17"/>
      <c r="H108" s="17"/>
      <c r="I108" s="55"/>
      <c r="J108" s="55"/>
    </row>
    <row r="109" spans="2:10" ht="18.75" x14ac:dyDescent="0.3">
      <c r="B109" s="26" t="s">
        <v>99</v>
      </c>
      <c r="C109" s="9">
        <v>4714</v>
      </c>
      <c r="D109" s="7">
        <v>10350</v>
      </c>
      <c r="E109" s="9">
        <v>1203263</v>
      </c>
      <c r="F109" s="27">
        <f t="shared" si="16"/>
        <v>255.25307594399661</v>
      </c>
      <c r="G109" s="17"/>
      <c r="H109" s="17"/>
      <c r="I109" s="55"/>
      <c r="J109" s="55"/>
    </row>
    <row r="110" spans="2:10" ht="18.75" x14ac:dyDescent="0.3">
      <c r="B110" s="26" t="s">
        <v>100</v>
      </c>
      <c r="C110" s="9">
        <v>3745</v>
      </c>
      <c r="D110" s="7">
        <v>8938</v>
      </c>
      <c r="E110" s="9">
        <v>1040530</v>
      </c>
      <c r="F110" s="27">
        <f t="shared" si="16"/>
        <v>277.84512683578106</v>
      </c>
      <c r="G110" s="17"/>
      <c r="H110" s="17"/>
      <c r="I110" s="55"/>
      <c r="J110" s="55"/>
    </row>
    <row r="111" spans="2:10" ht="18.75" x14ac:dyDescent="0.3">
      <c r="B111" s="26" t="s">
        <v>101</v>
      </c>
      <c r="C111" s="9">
        <v>8758</v>
      </c>
      <c r="D111" s="7">
        <v>19847</v>
      </c>
      <c r="E111" s="9">
        <v>2283986</v>
      </c>
      <c r="F111" s="27">
        <f t="shared" si="16"/>
        <v>260.7885361954784</v>
      </c>
      <c r="G111" s="17"/>
      <c r="H111" s="17"/>
      <c r="I111" s="55"/>
      <c r="J111" s="55"/>
    </row>
    <row r="112" spans="2:10" ht="18.75" x14ac:dyDescent="0.3">
      <c r="B112" s="26" t="s">
        <v>102</v>
      </c>
      <c r="C112" s="9">
        <v>5794</v>
      </c>
      <c r="D112" s="7">
        <v>13251</v>
      </c>
      <c r="E112" s="9">
        <v>1529936</v>
      </c>
      <c r="F112" s="27">
        <f t="shared" si="16"/>
        <v>264.0552295478081</v>
      </c>
      <c r="G112" s="17"/>
      <c r="H112" s="17"/>
      <c r="I112" s="55"/>
      <c r="J112" s="55"/>
    </row>
    <row r="113" spans="2:10" ht="18.75" x14ac:dyDescent="0.3">
      <c r="B113" s="26" t="s">
        <v>103</v>
      </c>
      <c r="C113" s="9">
        <v>5085</v>
      </c>
      <c r="D113" s="7">
        <v>11950</v>
      </c>
      <c r="E113" s="9">
        <v>1370101</v>
      </c>
      <c r="F113" s="27">
        <f t="shared" si="16"/>
        <v>269.43972468043262</v>
      </c>
      <c r="G113" s="17"/>
      <c r="H113" s="17"/>
      <c r="I113" s="55"/>
      <c r="J113" s="55"/>
    </row>
    <row r="114" spans="2:10" ht="18.75" x14ac:dyDescent="0.3">
      <c r="B114" s="26" t="s">
        <v>104</v>
      </c>
      <c r="C114" s="9">
        <v>7238</v>
      </c>
      <c r="D114" s="7">
        <v>14578</v>
      </c>
      <c r="E114" s="9">
        <v>1711874</v>
      </c>
      <c r="F114" s="27">
        <f t="shared" si="16"/>
        <v>236.51201989499862</v>
      </c>
      <c r="G114" s="17"/>
      <c r="H114" s="17"/>
      <c r="I114" s="55"/>
      <c r="J114" s="55"/>
    </row>
    <row r="115" spans="2:10" ht="18.75" x14ac:dyDescent="0.3">
      <c r="B115" s="26" t="s">
        <v>105</v>
      </c>
      <c r="C115" s="9">
        <v>8494</v>
      </c>
      <c r="D115" s="7">
        <v>19732</v>
      </c>
      <c r="E115" s="9">
        <v>2290290</v>
      </c>
      <c r="F115" s="27">
        <f t="shared" si="16"/>
        <v>269.63621379797502</v>
      </c>
      <c r="G115" s="17"/>
      <c r="H115" s="17"/>
      <c r="I115" s="55"/>
      <c r="J115" s="55"/>
    </row>
    <row r="116" spans="2:10" ht="18.75" x14ac:dyDescent="0.3">
      <c r="B116" s="26" t="s">
        <v>106</v>
      </c>
      <c r="C116" s="9">
        <v>16279</v>
      </c>
      <c r="D116" s="7">
        <v>35481</v>
      </c>
      <c r="E116" s="9">
        <v>4180806</v>
      </c>
      <c r="F116" s="27">
        <f t="shared" si="16"/>
        <v>256.82204066588855</v>
      </c>
      <c r="G116" s="17"/>
      <c r="H116" s="17"/>
      <c r="I116" s="55"/>
      <c r="J116" s="55"/>
    </row>
    <row r="117" spans="2:10" ht="18.75" x14ac:dyDescent="0.3">
      <c r="B117" s="26" t="s">
        <v>107</v>
      </c>
      <c r="C117" s="9">
        <v>5417</v>
      </c>
      <c r="D117" s="7">
        <v>12429</v>
      </c>
      <c r="E117" s="9">
        <v>1442477</v>
      </c>
      <c r="F117" s="27">
        <f t="shared" si="16"/>
        <v>266.28705925789183</v>
      </c>
      <c r="G117" s="17"/>
      <c r="H117" s="17"/>
      <c r="I117" s="55"/>
      <c r="J117" s="55"/>
    </row>
    <row r="118" spans="2:10" ht="19.5" thickBot="1" x14ac:dyDescent="0.35">
      <c r="B118" s="26" t="s">
        <v>108</v>
      </c>
      <c r="C118" s="10">
        <v>8274</v>
      </c>
      <c r="D118" s="7">
        <v>17640</v>
      </c>
      <c r="E118" s="9">
        <v>2049617</v>
      </c>
      <c r="F118" s="27">
        <f t="shared" si="16"/>
        <v>247.71779066956731</v>
      </c>
      <c r="G118" s="17"/>
      <c r="H118" s="17"/>
      <c r="I118" s="55"/>
      <c r="J118" s="55"/>
    </row>
    <row r="119" spans="2:10" ht="19.5" thickBot="1" x14ac:dyDescent="0.35">
      <c r="B119" s="29" t="s">
        <v>49</v>
      </c>
      <c r="C119" s="40">
        <f>SUM(C105:C118)</f>
        <v>91793</v>
      </c>
      <c r="D119" s="40">
        <f t="shared" ref="D119:E119" si="17">SUM(D105:D118)</f>
        <v>203230</v>
      </c>
      <c r="E119" s="40">
        <f t="shared" si="17"/>
        <v>23647807</v>
      </c>
      <c r="F119" s="31">
        <f t="shared" ref="F119" si="18">E119/C119</f>
        <v>257.62102774721382</v>
      </c>
      <c r="G119" s="17"/>
      <c r="H119" s="17"/>
      <c r="I119" s="55"/>
      <c r="J119" s="55"/>
    </row>
    <row r="120" spans="2:10" ht="19.5" thickBot="1" x14ac:dyDescent="0.35">
      <c r="B120" s="44"/>
      <c r="C120" s="45"/>
      <c r="D120" s="45"/>
      <c r="E120" s="45"/>
      <c r="F120" s="46"/>
      <c r="G120" s="17"/>
      <c r="H120" s="17"/>
      <c r="I120" s="55"/>
      <c r="J120" s="55"/>
    </row>
    <row r="121" spans="2:10" ht="19.5" thickBot="1" x14ac:dyDescent="0.35">
      <c r="B121" s="21" t="s">
        <v>109</v>
      </c>
      <c r="C121" s="42"/>
      <c r="D121" s="42"/>
      <c r="E121" s="42"/>
      <c r="F121" s="43"/>
      <c r="G121" s="17"/>
      <c r="H121" s="17"/>
      <c r="I121" s="55"/>
      <c r="J121" s="55"/>
    </row>
    <row r="122" spans="2:10" ht="18.75" x14ac:dyDescent="0.3">
      <c r="B122" s="24" t="s">
        <v>110</v>
      </c>
      <c r="C122" s="16">
        <v>1548</v>
      </c>
      <c r="D122" s="7">
        <v>3478</v>
      </c>
      <c r="E122" s="8">
        <v>408310</v>
      </c>
      <c r="F122" s="27">
        <f t="shared" ref="F122:F130" si="19">E122/C122</f>
        <v>263.76614987080103</v>
      </c>
      <c r="G122" s="17"/>
      <c r="H122" s="17"/>
      <c r="I122" s="55"/>
      <c r="J122" s="55"/>
    </row>
    <row r="123" spans="2:10" ht="18.75" x14ac:dyDescent="0.3">
      <c r="B123" s="26" t="s">
        <v>111</v>
      </c>
      <c r="C123" s="8">
        <v>4916</v>
      </c>
      <c r="D123" s="7">
        <v>10002</v>
      </c>
      <c r="E123" s="8">
        <v>1170877</v>
      </c>
      <c r="F123" s="27">
        <f t="shared" si="19"/>
        <v>238.176769731489</v>
      </c>
      <c r="G123" s="17"/>
      <c r="H123" s="17"/>
      <c r="I123" s="55"/>
      <c r="J123" s="55"/>
    </row>
    <row r="124" spans="2:10" ht="18.75" x14ac:dyDescent="0.3">
      <c r="B124" s="26" t="s">
        <v>112</v>
      </c>
      <c r="C124" s="9">
        <v>1643</v>
      </c>
      <c r="D124" s="7">
        <v>3428</v>
      </c>
      <c r="E124" s="9">
        <v>401689</v>
      </c>
      <c r="F124" s="27">
        <f t="shared" si="19"/>
        <v>244.48508825319539</v>
      </c>
      <c r="G124" s="17"/>
      <c r="H124" s="17"/>
      <c r="I124" s="55"/>
      <c r="J124" s="55"/>
    </row>
    <row r="125" spans="2:10" ht="18.75" x14ac:dyDescent="0.3">
      <c r="B125" s="26" t="s">
        <v>113</v>
      </c>
      <c r="C125" s="9">
        <v>4849</v>
      </c>
      <c r="D125" s="7">
        <v>9568</v>
      </c>
      <c r="E125" s="9">
        <v>1130030</v>
      </c>
      <c r="F125" s="27">
        <f t="shared" si="19"/>
        <v>233.04392658280057</v>
      </c>
      <c r="G125" s="17"/>
      <c r="H125" s="17"/>
      <c r="I125" s="55"/>
      <c r="J125" s="55"/>
    </row>
    <row r="126" spans="2:10" ht="18.75" x14ac:dyDescent="0.3">
      <c r="B126" s="26" t="s">
        <v>114</v>
      </c>
      <c r="C126" s="9">
        <v>7677</v>
      </c>
      <c r="D126" s="7">
        <v>13260</v>
      </c>
      <c r="E126" s="9">
        <v>1640319</v>
      </c>
      <c r="F126" s="27">
        <f t="shared" si="19"/>
        <v>213.66666666666666</v>
      </c>
      <c r="G126" s="17"/>
      <c r="H126" s="17"/>
      <c r="I126" s="55"/>
      <c r="J126" s="55"/>
    </row>
    <row r="127" spans="2:10" ht="18.75" x14ac:dyDescent="0.3">
      <c r="B127" s="26" t="s">
        <v>115</v>
      </c>
      <c r="C127" s="9">
        <v>10764</v>
      </c>
      <c r="D127" s="7">
        <v>23325</v>
      </c>
      <c r="E127" s="9">
        <v>2758117</v>
      </c>
      <c r="F127" s="27">
        <f t="shared" si="19"/>
        <v>256.23532144184315</v>
      </c>
      <c r="G127" s="17"/>
      <c r="H127" s="17"/>
      <c r="I127" s="55"/>
      <c r="J127" s="55"/>
    </row>
    <row r="128" spans="2:10" ht="18.75" x14ac:dyDescent="0.3">
      <c r="B128" s="26" t="s">
        <v>116</v>
      </c>
      <c r="C128" s="9">
        <v>9602</v>
      </c>
      <c r="D128" s="7">
        <v>19839</v>
      </c>
      <c r="E128" s="9">
        <v>2335285</v>
      </c>
      <c r="F128" s="27">
        <f t="shared" si="19"/>
        <v>243.20818579462613</v>
      </c>
      <c r="G128" s="17"/>
      <c r="H128" s="17"/>
      <c r="I128" s="55"/>
      <c r="J128" s="55"/>
    </row>
    <row r="129" spans="2:10" ht="18.75" x14ac:dyDescent="0.3">
      <c r="B129" s="26" t="s">
        <v>117</v>
      </c>
      <c r="C129" s="9">
        <v>7220</v>
      </c>
      <c r="D129" s="7">
        <v>15846</v>
      </c>
      <c r="E129" s="9">
        <v>1878414</v>
      </c>
      <c r="F129" s="27">
        <f t="shared" si="19"/>
        <v>260.16814404432131</v>
      </c>
      <c r="G129" s="17"/>
      <c r="H129" s="17"/>
      <c r="I129" s="55"/>
      <c r="J129" s="55"/>
    </row>
    <row r="130" spans="2:10" ht="19.5" thickBot="1" x14ac:dyDescent="0.35">
      <c r="B130" s="47" t="s">
        <v>118</v>
      </c>
      <c r="C130" s="9">
        <v>14322</v>
      </c>
      <c r="D130" s="7">
        <v>27638</v>
      </c>
      <c r="E130" s="9">
        <v>3308417</v>
      </c>
      <c r="F130" s="27">
        <f t="shared" si="19"/>
        <v>231.00244379276637</v>
      </c>
      <c r="G130" s="17"/>
      <c r="H130" s="17"/>
      <c r="I130" s="55"/>
      <c r="J130" s="55"/>
    </row>
    <row r="131" spans="2:10" ht="19.5" thickBot="1" x14ac:dyDescent="0.35">
      <c r="B131" s="29" t="s">
        <v>49</v>
      </c>
      <c r="C131" s="40">
        <f>SUM(C122:C130)</f>
        <v>62541</v>
      </c>
      <c r="D131" s="40">
        <f>SUM(D122:D130)</f>
        <v>126384</v>
      </c>
      <c r="E131" s="40">
        <f>SUM(E122:E130)</f>
        <v>15031458</v>
      </c>
      <c r="F131" s="31">
        <f t="shared" ref="F131" si="20">E131/C131</f>
        <v>240.34566124622248</v>
      </c>
      <c r="G131" s="17"/>
      <c r="H131" s="17"/>
      <c r="I131" s="55"/>
      <c r="J131" s="55"/>
    </row>
    <row r="132" spans="2:10" ht="19.5" thickBot="1" x14ac:dyDescent="0.35">
      <c r="B132" s="44"/>
      <c r="C132" s="45"/>
      <c r="D132" s="45"/>
      <c r="E132" s="45"/>
      <c r="F132" s="46"/>
      <c r="G132" s="17"/>
      <c r="H132" s="17"/>
      <c r="I132" s="55"/>
      <c r="J132" s="55"/>
    </row>
    <row r="133" spans="2:10" ht="19.5" thickBot="1" x14ac:dyDescent="0.35">
      <c r="B133" s="52" t="s">
        <v>120</v>
      </c>
      <c r="C133" s="50">
        <f>SUM(C131+C119+C102+C90+C77+C68+C58+C48+C32+C16)</f>
        <v>647505</v>
      </c>
      <c r="D133" s="50">
        <f>SUM(D131+D119+D102+D90+D77+D68+D58+D48+D32+D16)</f>
        <v>1356737</v>
      </c>
      <c r="E133" s="50">
        <f>SUM(E131+E119+E102+E90+E77+E68+E58+E48+E32+E16)</f>
        <v>158454822</v>
      </c>
      <c r="F133" s="43">
        <f t="shared" ref="F133" si="21">E133/C133</f>
        <v>244.71598211596822</v>
      </c>
      <c r="G133" s="17"/>
      <c r="H133" s="17"/>
      <c r="I133" s="55"/>
      <c r="J133" s="55"/>
    </row>
    <row r="134" spans="2:10" ht="18.75" x14ac:dyDescent="0.3">
      <c r="B134" s="51"/>
      <c r="C134" s="17"/>
      <c r="D134" s="17"/>
      <c r="E134" s="17"/>
      <c r="F134" s="17"/>
      <c r="G134" s="17"/>
      <c r="H134" s="17"/>
      <c r="I134" s="53"/>
      <c r="J134" s="53"/>
    </row>
    <row r="135" spans="2:10" ht="18.75" x14ac:dyDescent="0.3">
      <c r="B135" s="51"/>
      <c r="C135" s="17"/>
      <c r="D135" s="17"/>
      <c r="E135" s="17"/>
      <c r="F135" s="17"/>
      <c r="G135" s="17"/>
      <c r="H135" s="17"/>
      <c r="I135" s="53"/>
      <c r="J135" s="53"/>
    </row>
    <row r="136" spans="2:10" ht="18.75" x14ac:dyDescent="0.3">
      <c r="B136" s="51"/>
      <c r="C136" s="17"/>
      <c r="D136" s="17"/>
      <c r="E136" s="17"/>
      <c r="F136" s="17"/>
      <c r="G136" s="17"/>
      <c r="H136" s="17"/>
      <c r="I136" s="53"/>
      <c r="J136" s="53"/>
    </row>
    <row r="137" spans="2:10" ht="18.75" x14ac:dyDescent="0.3">
      <c r="B137" s="51"/>
      <c r="C137" s="17"/>
      <c r="D137" s="17"/>
      <c r="E137" s="17"/>
      <c r="F137" s="17"/>
      <c r="G137" s="17"/>
      <c r="H137" s="17"/>
      <c r="I137" s="53"/>
      <c r="J137" s="53"/>
    </row>
    <row r="138" spans="2:10" ht="18.75" x14ac:dyDescent="0.3">
      <c r="B138" s="51"/>
      <c r="C138" s="17"/>
      <c r="D138" s="17"/>
      <c r="E138" s="17"/>
      <c r="F138" s="17"/>
      <c r="G138" s="17"/>
      <c r="H138" s="17"/>
      <c r="I138" s="53"/>
      <c r="J138" s="53"/>
    </row>
    <row r="139" spans="2:10" ht="18.75" x14ac:dyDescent="0.3">
      <c r="B139" s="51"/>
      <c r="C139" s="17"/>
      <c r="D139" s="17"/>
      <c r="E139" s="17"/>
      <c r="F139" s="17"/>
      <c r="G139" s="17"/>
      <c r="H139" s="17"/>
      <c r="I139" s="53"/>
      <c r="J139" s="53"/>
    </row>
  </sheetData>
  <mergeCells count="6">
    <mergeCell ref="I6:J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39"/>
  <sheetViews>
    <sheetView topLeftCell="A120" workbookViewId="0">
      <selection activeCell="D135" sqref="D135"/>
    </sheetView>
  </sheetViews>
  <sheetFormatPr defaultRowHeight="15" x14ac:dyDescent="0.25"/>
  <cols>
    <col min="1" max="1" width="9.140625" style="1"/>
    <col min="2" max="2" width="18.7109375" style="1" bestFit="1" customWidth="1"/>
    <col min="3" max="3" width="10.5703125" style="1" bestFit="1" customWidth="1"/>
    <col min="4" max="4" width="12.7109375" style="1" bestFit="1" customWidth="1"/>
    <col min="5" max="5" width="15.7109375" style="1" bestFit="1" customWidth="1"/>
    <col min="6" max="6" width="15.85546875" style="1" customWidth="1"/>
    <col min="7" max="8" width="9.140625" style="1"/>
    <col min="9" max="9" width="13.5703125" style="1" bestFit="1" customWidth="1"/>
    <col min="10" max="10" width="12.7109375" style="1" bestFit="1" customWidth="1"/>
    <col min="11" max="16384" width="9.140625" style="1"/>
  </cols>
  <sheetData>
    <row r="1" spans="2:10" ht="18.75" x14ac:dyDescent="0.3">
      <c r="B1" s="162" t="s">
        <v>0</v>
      </c>
      <c r="C1" s="162"/>
      <c r="D1" s="162"/>
      <c r="E1" s="162"/>
      <c r="F1" s="162"/>
      <c r="G1" s="17"/>
      <c r="H1" s="17"/>
      <c r="I1" s="17"/>
      <c r="J1" s="17"/>
    </row>
    <row r="2" spans="2:10" ht="18.75" x14ac:dyDescent="0.3">
      <c r="B2" s="162" t="s">
        <v>1</v>
      </c>
      <c r="C2" s="162"/>
      <c r="D2" s="162"/>
      <c r="E2" s="162"/>
      <c r="F2" s="162"/>
      <c r="G2" s="17"/>
      <c r="H2" s="17"/>
      <c r="I2" s="17"/>
      <c r="J2" s="17"/>
    </row>
    <row r="3" spans="2:10" ht="18.75" x14ac:dyDescent="0.3">
      <c r="B3" s="163" t="s">
        <v>2</v>
      </c>
      <c r="C3" s="163"/>
      <c r="D3" s="163"/>
      <c r="E3" s="163"/>
      <c r="F3" s="163"/>
      <c r="G3" s="17"/>
      <c r="H3" s="17"/>
      <c r="I3" s="17"/>
      <c r="J3" s="17"/>
    </row>
    <row r="4" spans="2:10" ht="18.75" x14ac:dyDescent="0.3">
      <c r="B4" s="162" t="s">
        <v>133</v>
      </c>
      <c r="C4" s="162"/>
      <c r="D4" s="162"/>
      <c r="E4" s="162"/>
      <c r="F4" s="162"/>
      <c r="G4" s="17"/>
      <c r="H4" s="17"/>
      <c r="I4" s="17"/>
      <c r="J4" s="17"/>
    </row>
    <row r="5" spans="2:10" ht="19.5" thickBot="1" x14ac:dyDescent="0.35">
      <c r="B5" s="164"/>
      <c r="C5" s="164"/>
      <c r="D5" s="164"/>
      <c r="E5" s="164"/>
      <c r="F5" s="164"/>
      <c r="G5" s="17"/>
      <c r="H5" s="17"/>
      <c r="I5" s="17"/>
      <c r="J5" s="17"/>
    </row>
    <row r="6" spans="2:10" ht="57" thickBot="1" x14ac:dyDescent="0.35">
      <c r="B6" s="18"/>
      <c r="C6" s="19" t="s">
        <v>3</v>
      </c>
      <c r="D6" s="20" t="s">
        <v>4</v>
      </c>
      <c r="E6" s="20" t="s">
        <v>5</v>
      </c>
      <c r="F6" s="20" t="s">
        <v>6</v>
      </c>
      <c r="G6" s="17"/>
      <c r="H6" s="17"/>
      <c r="I6" s="160" t="s">
        <v>7</v>
      </c>
      <c r="J6" s="161"/>
    </row>
    <row r="7" spans="2:10" ht="19.5" thickBot="1" x14ac:dyDescent="0.35">
      <c r="B7" s="21" t="s">
        <v>8</v>
      </c>
      <c r="C7" s="22"/>
      <c r="D7" s="22"/>
      <c r="E7" s="22"/>
      <c r="F7" s="23"/>
      <c r="G7" s="17"/>
      <c r="H7" s="17"/>
      <c r="I7" s="54" t="s">
        <v>9</v>
      </c>
      <c r="J7" s="54" t="s">
        <v>10</v>
      </c>
    </row>
    <row r="8" spans="2:10" ht="18.75" x14ac:dyDescent="0.3">
      <c r="B8" s="24" t="s">
        <v>11</v>
      </c>
      <c r="C8" s="15">
        <v>7573</v>
      </c>
      <c r="D8" s="13">
        <v>16855</v>
      </c>
      <c r="E8" s="14">
        <v>1919632</v>
      </c>
      <c r="F8" s="25">
        <f>E8/C8</f>
        <v>253.48369206391126</v>
      </c>
      <c r="G8" s="17"/>
      <c r="H8" s="17"/>
      <c r="I8" s="55"/>
      <c r="J8" s="55"/>
    </row>
    <row r="9" spans="2:10" ht="18.75" x14ac:dyDescent="0.3">
      <c r="B9" s="26" t="s">
        <v>12</v>
      </c>
      <c r="C9" s="3">
        <v>5810</v>
      </c>
      <c r="D9" s="13">
        <v>11860</v>
      </c>
      <c r="E9" s="3">
        <v>1394636</v>
      </c>
      <c r="F9" s="25">
        <f t="shared" ref="F9:F16" si="0">E9/C9</f>
        <v>240.0406196213425</v>
      </c>
      <c r="G9" s="17"/>
      <c r="H9" s="17"/>
      <c r="I9" s="55"/>
      <c r="J9" s="55"/>
    </row>
    <row r="10" spans="2:10" ht="18.75" x14ac:dyDescent="0.3">
      <c r="B10" s="26" t="s">
        <v>13</v>
      </c>
      <c r="C10" s="3">
        <v>6302</v>
      </c>
      <c r="D10" s="13">
        <v>12516</v>
      </c>
      <c r="E10" s="3">
        <v>1479568</v>
      </c>
      <c r="F10" s="25">
        <f t="shared" si="0"/>
        <v>234.77753094255792</v>
      </c>
      <c r="G10" s="17"/>
      <c r="H10" s="17"/>
      <c r="I10" s="55"/>
      <c r="J10" s="55"/>
    </row>
    <row r="11" spans="2:10" ht="18.75" x14ac:dyDescent="0.3">
      <c r="B11" s="26" t="s">
        <v>14</v>
      </c>
      <c r="C11" s="3">
        <v>8132</v>
      </c>
      <c r="D11" s="13">
        <v>17084</v>
      </c>
      <c r="E11" s="3">
        <v>1969241</v>
      </c>
      <c r="F11" s="25">
        <f t="shared" si="0"/>
        <v>242.15949335956714</v>
      </c>
      <c r="G11" s="17"/>
      <c r="H11" s="17"/>
      <c r="I11" s="55"/>
      <c r="J11" s="55"/>
    </row>
    <row r="12" spans="2:10" ht="18.75" x14ac:dyDescent="0.3">
      <c r="B12" s="26" t="s">
        <v>15</v>
      </c>
      <c r="C12" s="3">
        <v>2003</v>
      </c>
      <c r="D12" s="13">
        <v>4472</v>
      </c>
      <c r="E12" s="3">
        <v>516522</v>
      </c>
      <c r="F12" s="25">
        <f t="shared" si="0"/>
        <v>257.87418871692461</v>
      </c>
      <c r="G12" s="17"/>
      <c r="H12" s="17"/>
      <c r="I12" s="55"/>
      <c r="J12" s="55"/>
    </row>
    <row r="13" spans="2:10" ht="18.75" x14ac:dyDescent="0.3">
      <c r="B13" s="26" t="s">
        <v>16</v>
      </c>
      <c r="C13" s="3">
        <v>8582</v>
      </c>
      <c r="D13" s="13">
        <v>18702</v>
      </c>
      <c r="E13" s="3">
        <v>2162585</v>
      </c>
      <c r="F13" s="25">
        <f t="shared" si="0"/>
        <v>251.99079468655324</v>
      </c>
      <c r="G13" s="17"/>
      <c r="H13" s="17"/>
      <c r="I13" s="55"/>
      <c r="J13" s="55"/>
    </row>
    <row r="14" spans="2:10" ht="18.75" x14ac:dyDescent="0.3">
      <c r="B14" s="26" t="s">
        <v>17</v>
      </c>
      <c r="C14" s="3">
        <v>3079</v>
      </c>
      <c r="D14" s="13">
        <v>6082</v>
      </c>
      <c r="E14" s="3">
        <v>709558</v>
      </c>
      <c r="F14" s="25">
        <f t="shared" si="0"/>
        <v>230.45079571289381</v>
      </c>
      <c r="G14" s="17"/>
      <c r="H14" s="17"/>
      <c r="I14" s="55"/>
      <c r="J14" s="55"/>
    </row>
    <row r="15" spans="2:10" ht="19.5" thickBot="1" x14ac:dyDescent="0.35">
      <c r="B15" s="28" t="s">
        <v>18</v>
      </c>
      <c r="C15" s="4">
        <v>9922</v>
      </c>
      <c r="D15" s="13">
        <v>20228</v>
      </c>
      <c r="E15" s="11">
        <v>2389280</v>
      </c>
      <c r="F15" s="25">
        <f t="shared" si="0"/>
        <v>240.80628905462609</v>
      </c>
      <c r="G15" s="17"/>
      <c r="H15" s="17"/>
      <c r="I15" s="55"/>
      <c r="J15" s="55"/>
    </row>
    <row r="16" spans="2:10" ht="19.5" thickBot="1" x14ac:dyDescent="0.35">
      <c r="B16" s="29" t="s">
        <v>19</v>
      </c>
      <c r="C16" s="30">
        <f>SUM(C8:C15)</f>
        <v>51403</v>
      </c>
      <c r="D16" s="30">
        <f t="shared" ref="D16:E16" si="1">SUM(D8:D15)</f>
        <v>107799</v>
      </c>
      <c r="E16" s="30">
        <f t="shared" si="1"/>
        <v>12541022</v>
      </c>
      <c r="F16" s="31">
        <f t="shared" si="0"/>
        <v>243.9745151061222</v>
      </c>
      <c r="G16" s="17"/>
      <c r="H16" s="17"/>
      <c r="I16" s="55"/>
      <c r="J16" s="55"/>
    </row>
    <row r="17" spans="2:17" ht="19.5" thickBot="1" x14ac:dyDescent="0.35">
      <c r="B17" s="32"/>
      <c r="C17" s="33"/>
      <c r="D17" s="33"/>
      <c r="E17" s="33"/>
      <c r="F17" s="33"/>
      <c r="G17" s="2"/>
      <c r="H17" s="2"/>
      <c r="I17" s="55"/>
      <c r="J17" s="55"/>
      <c r="K17" s="2"/>
      <c r="L17" s="2"/>
      <c r="M17" s="2"/>
      <c r="N17" s="2"/>
      <c r="O17" s="2"/>
      <c r="P17" s="2"/>
      <c r="Q17" s="2"/>
    </row>
    <row r="18" spans="2:17" ht="19.5" thickBot="1" x14ac:dyDescent="0.35">
      <c r="B18" s="34" t="s">
        <v>20</v>
      </c>
      <c r="C18" s="35"/>
      <c r="D18" s="35"/>
      <c r="E18" s="35"/>
      <c r="F18" s="36"/>
      <c r="G18" s="2"/>
      <c r="H18" s="2"/>
      <c r="I18" s="55"/>
      <c r="J18" s="55"/>
      <c r="K18" s="2"/>
      <c r="L18" s="2"/>
      <c r="M18" s="2"/>
      <c r="N18" s="2"/>
      <c r="O18" s="2"/>
      <c r="P18" s="2"/>
      <c r="Q18" s="2"/>
    </row>
    <row r="19" spans="2:17" ht="18.75" x14ac:dyDescent="0.3">
      <c r="B19" s="37" t="s">
        <v>21</v>
      </c>
      <c r="C19" s="3">
        <v>14598</v>
      </c>
      <c r="D19" s="3">
        <v>28660</v>
      </c>
      <c r="E19" s="6">
        <v>3380842</v>
      </c>
      <c r="F19" s="27">
        <f t="shared" ref="F19:F32" si="2">E19/C19</f>
        <v>231.59624606110427</v>
      </c>
      <c r="G19" s="38"/>
      <c r="H19" s="38"/>
      <c r="I19" s="55"/>
      <c r="J19" s="55"/>
      <c r="K19" s="38"/>
      <c r="L19" s="38"/>
      <c r="M19" s="38"/>
      <c r="N19" s="38"/>
      <c r="O19" s="38"/>
      <c r="P19" s="38"/>
      <c r="Q19" s="38"/>
    </row>
    <row r="20" spans="2:17" ht="18.75" x14ac:dyDescent="0.3">
      <c r="B20" s="59" t="s">
        <v>22</v>
      </c>
      <c r="C20" s="3">
        <v>7046</v>
      </c>
      <c r="D20" s="3">
        <v>13183</v>
      </c>
      <c r="E20" s="3">
        <v>1563611</v>
      </c>
      <c r="F20" s="27">
        <f t="shared" si="2"/>
        <v>221.91470337780302</v>
      </c>
      <c r="G20" s="38"/>
      <c r="H20" s="38"/>
      <c r="I20" s="55"/>
      <c r="J20" s="55"/>
      <c r="K20" s="38"/>
      <c r="L20" s="38"/>
      <c r="M20" s="38"/>
      <c r="N20" s="38"/>
      <c r="O20" s="38"/>
      <c r="P20" s="38"/>
      <c r="Q20" s="38"/>
    </row>
    <row r="21" spans="2:17" ht="18.75" x14ac:dyDescent="0.3">
      <c r="B21" s="58" t="s">
        <v>23</v>
      </c>
      <c r="C21" s="9">
        <v>5963</v>
      </c>
      <c r="D21" s="3">
        <v>12063</v>
      </c>
      <c r="E21" s="9">
        <v>1401579</v>
      </c>
      <c r="F21" s="27">
        <f t="shared" si="2"/>
        <v>235.04595002515512</v>
      </c>
      <c r="G21" s="2"/>
      <c r="H21" s="2"/>
      <c r="I21" s="55"/>
      <c r="J21" s="55"/>
      <c r="K21" s="2"/>
      <c r="L21" s="2"/>
      <c r="M21" s="2"/>
      <c r="N21" s="2"/>
      <c r="O21" s="2"/>
      <c r="P21" s="2"/>
      <c r="Q21" s="2"/>
    </row>
    <row r="22" spans="2:17" ht="18.75" x14ac:dyDescent="0.3">
      <c r="B22" s="26" t="s">
        <v>24</v>
      </c>
      <c r="C22" s="9">
        <v>7647</v>
      </c>
      <c r="D22" s="3">
        <v>15786</v>
      </c>
      <c r="E22" s="9">
        <v>1818465</v>
      </c>
      <c r="F22" s="27">
        <f t="shared" si="2"/>
        <v>237.80109846998823</v>
      </c>
      <c r="G22" s="2"/>
      <c r="H22" s="2"/>
      <c r="I22" s="55"/>
      <c r="J22" s="55"/>
      <c r="K22" s="2"/>
      <c r="L22" s="2"/>
      <c r="M22" s="2"/>
      <c r="N22" s="2"/>
      <c r="O22" s="2"/>
      <c r="P22" s="2"/>
      <c r="Q22" s="2"/>
    </row>
    <row r="23" spans="2:17" ht="18.75" x14ac:dyDescent="0.3">
      <c r="B23" s="26" t="s">
        <v>25</v>
      </c>
      <c r="C23" s="9">
        <v>4769</v>
      </c>
      <c r="D23" s="3">
        <v>10382</v>
      </c>
      <c r="E23" s="9">
        <v>1188153</v>
      </c>
      <c r="F23" s="27">
        <f t="shared" si="2"/>
        <v>249.1409100440344</v>
      </c>
      <c r="G23" s="2"/>
      <c r="H23" s="2"/>
      <c r="I23" s="55"/>
      <c r="J23" s="55"/>
      <c r="K23" s="2"/>
      <c r="L23" s="2"/>
      <c r="M23" s="2"/>
      <c r="N23" s="2"/>
      <c r="O23" s="2"/>
      <c r="P23" s="2"/>
      <c r="Q23" s="2"/>
    </row>
    <row r="24" spans="2:17" ht="18.75" x14ac:dyDescent="0.3">
      <c r="B24" s="26" t="s">
        <v>26</v>
      </c>
      <c r="C24" s="9">
        <v>3218</v>
      </c>
      <c r="D24" s="3">
        <v>6868</v>
      </c>
      <c r="E24" s="9">
        <v>797546</v>
      </c>
      <c r="F24" s="27">
        <f t="shared" si="2"/>
        <v>247.83903045369794</v>
      </c>
      <c r="G24" s="2"/>
      <c r="H24" s="2"/>
      <c r="I24" s="55"/>
      <c r="J24" s="55"/>
      <c r="K24" s="2"/>
      <c r="L24" s="2"/>
      <c r="M24" s="2"/>
      <c r="N24" s="2"/>
      <c r="O24" s="2"/>
      <c r="P24" s="2"/>
      <c r="Q24" s="2"/>
    </row>
    <row r="25" spans="2:17" ht="18.75" x14ac:dyDescent="0.3">
      <c r="B25" s="26" t="s">
        <v>27</v>
      </c>
      <c r="C25" s="9">
        <v>8322</v>
      </c>
      <c r="D25" s="3">
        <v>17174</v>
      </c>
      <c r="E25" s="9">
        <v>2002646</v>
      </c>
      <c r="F25" s="27">
        <f t="shared" si="2"/>
        <v>240.64479692381639</v>
      </c>
      <c r="G25" s="2"/>
      <c r="H25" s="2"/>
      <c r="I25" s="55"/>
      <c r="J25" s="55"/>
      <c r="K25" s="2"/>
      <c r="L25" s="2"/>
      <c r="M25" s="2"/>
      <c r="N25" s="2"/>
      <c r="O25" s="2"/>
      <c r="P25" s="2"/>
      <c r="Q25" s="2"/>
    </row>
    <row r="26" spans="2:17" ht="18.75" x14ac:dyDescent="0.3">
      <c r="B26" s="26" t="s">
        <v>28</v>
      </c>
      <c r="C26" s="9">
        <v>7406</v>
      </c>
      <c r="D26" s="3">
        <v>16028</v>
      </c>
      <c r="E26" s="9">
        <v>1857803</v>
      </c>
      <c r="F26" s="27">
        <f t="shared" si="2"/>
        <v>250.85106670267351</v>
      </c>
      <c r="G26" s="2"/>
      <c r="H26" s="2"/>
      <c r="I26" s="55"/>
      <c r="J26" s="55"/>
      <c r="K26" s="2"/>
      <c r="L26" s="2"/>
      <c r="M26" s="2"/>
      <c r="N26" s="2"/>
      <c r="O26" s="2"/>
      <c r="P26" s="2"/>
      <c r="Q26" s="2"/>
    </row>
    <row r="27" spans="2:17" ht="18.75" x14ac:dyDescent="0.3">
      <c r="B27" s="26" t="s">
        <v>29</v>
      </c>
      <c r="C27" s="9">
        <v>9731</v>
      </c>
      <c r="D27" s="3">
        <v>19544</v>
      </c>
      <c r="E27" s="9">
        <v>2274106</v>
      </c>
      <c r="F27" s="27">
        <f t="shared" si="2"/>
        <v>233.69705066283012</v>
      </c>
      <c r="G27" s="2"/>
      <c r="H27" s="2"/>
      <c r="I27" s="55"/>
      <c r="J27" s="55"/>
      <c r="K27" s="2"/>
      <c r="L27" s="2"/>
      <c r="M27" s="2"/>
      <c r="N27" s="2"/>
      <c r="O27" s="2"/>
      <c r="P27" s="2"/>
      <c r="Q27" s="2"/>
    </row>
    <row r="28" spans="2:17" ht="18.75" x14ac:dyDescent="0.3">
      <c r="B28" s="26" t="s">
        <v>30</v>
      </c>
      <c r="C28" s="9">
        <v>6572</v>
      </c>
      <c r="D28" s="3">
        <v>15133</v>
      </c>
      <c r="E28" s="9">
        <v>1717771</v>
      </c>
      <c r="F28" s="27">
        <f t="shared" si="2"/>
        <v>261.37720632988436</v>
      </c>
      <c r="G28" s="2"/>
      <c r="H28" s="2"/>
      <c r="I28" s="55"/>
      <c r="J28" s="55"/>
      <c r="K28" s="2"/>
      <c r="L28" s="2"/>
      <c r="M28" s="2"/>
      <c r="N28" s="2"/>
      <c r="O28" s="2"/>
      <c r="P28" s="2"/>
      <c r="Q28" s="2"/>
    </row>
    <row r="29" spans="2:17" ht="18.75" x14ac:dyDescent="0.3">
      <c r="B29" s="26" t="s">
        <v>31</v>
      </c>
      <c r="C29" s="9">
        <v>5652</v>
      </c>
      <c r="D29" s="3">
        <v>12102</v>
      </c>
      <c r="E29" s="9">
        <v>1389633</v>
      </c>
      <c r="F29" s="27">
        <f t="shared" si="2"/>
        <v>245.86571125265394</v>
      </c>
      <c r="G29" s="2"/>
      <c r="H29" s="2"/>
      <c r="I29" s="55"/>
      <c r="J29" s="55"/>
      <c r="K29" s="2"/>
      <c r="L29" s="2"/>
      <c r="M29" s="2"/>
      <c r="N29" s="2"/>
      <c r="O29" s="2"/>
      <c r="P29" s="2"/>
      <c r="Q29" s="2"/>
    </row>
    <row r="30" spans="2:17" ht="18.75" x14ac:dyDescent="0.3">
      <c r="B30" s="39" t="s">
        <v>32</v>
      </c>
      <c r="C30" s="8">
        <v>5476</v>
      </c>
      <c r="D30" s="13">
        <v>12035</v>
      </c>
      <c r="E30" s="8">
        <v>1400666</v>
      </c>
      <c r="F30" s="27">
        <f t="shared" si="2"/>
        <v>255.7826880934989</v>
      </c>
      <c r="G30" s="2"/>
      <c r="H30" s="2"/>
      <c r="I30" s="55"/>
      <c r="J30" s="55"/>
      <c r="K30" s="2"/>
      <c r="L30" s="2"/>
      <c r="M30" s="2"/>
      <c r="N30" s="2"/>
      <c r="O30" s="2"/>
      <c r="P30" s="2"/>
      <c r="Q30" s="2"/>
    </row>
    <row r="31" spans="2:17" ht="19.5" thickBot="1" x14ac:dyDescent="0.35">
      <c r="B31" s="39" t="s">
        <v>33</v>
      </c>
      <c r="C31" s="56">
        <v>1914</v>
      </c>
      <c r="D31" s="5">
        <v>4093</v>
      </c>
      <c r="E31" s="57">
        <v>478474</v>
      </c>
      <c r="F31" s="27">
        <f t="shared" si="2"/>
        <v>249.98641588296761</v>
      </c>
      <c r="G31" s="2"/>
      <c r="H31" s="2"/>
      <c r="I31" s="55"/>
      <c r="J31" s="55"/>
      <c r="K31" s="2"/>
      <c r="L31" s="2"/>
      <c r="M31" s="2"/>
      <c r="N31" s="2"/>
      <c r="O31" s="2"/>
      <c r="P31" s="2"/>
      <c r="Q31" s="2"/>
    </row>
    <row r="32" spans="2:17" ht="19.5" thickBot="1" x14ac:dyDescent="0.35">
      <c r="B32" s="29" t="s">
        <v>34</v>
      </c>
      <c r="C32" s="40">
        <f>SUM(C19:C31)</f>
        <v>88314</v>
      </c>
      <c r="D32" s="40">
        <f t="shared" ref="D32:E32" si="3">SUM(D19:D31)</f>
        <v>183051</v>
      </c>
      <c r="E32" s="40">
        <f t="shared" si="3"/>
        <v>21271295</v>
      </c>
      <c r="F32" s="31">
        <f t="shared" si="2"/>
        <v>240.85982969857554</v>
      </c>
      <c r="G32" s="2"/>
      <c r="H32" s="2"/>
      <c r="I32" s="55"/>
      <c r="J32" s="55"/>
      <c r="K32" s="2"/>
      <c r="L32" s="2"/>
      <c r="M32" s="2"/>
      <c r="N32" s="2"/>
      <c r="O32" s="2"/>
      <c r="P32" s="2"/>
      <c r="Q32" s="2"/>
    </row>
    <row r="33" spans="2:10" ht="19.5" thickBot="1" x14ac:dyDescent="0.35">
      <c r="B33" s="32"/>
      <c r="C33" s="41"/>
      <c r="D33" s="41"/>
      <c r="E33" s="41"/>
      <c r="F33" s="33"/>
      <c r="G33" s="17"/>
      <c r="H33" s="17"/>
      <c r="I33" s="55"/>
      <c r="J33" s="55"/>
    </row>
    <row r="34" spans="2:10" ht="19.5" thickBot="1" x14ac:dyDescent="0.35">
      <c r="B34" s="21" t="s">
        <v>35</v>
      </c>
      <c r="C34" s="42"/>
      <c r="D34" s="42"/>
      <c r="E34" s="42"/>
      <c r="F34" s="43"/>
      <c r="G34" s="17"/>
      <c r="H34" s="17"/>
      <c r="I34" s="55"/>
      <c r="J34" s="55"/>
    </row>
    <row r="35" spans="2:10" ht="18.75" x14ac:dyDescent="0.3">
      <c r="B35" s="24" t="s">
        <v>36</v>
      </c>
      <c r="C35" s="16">
        <v>8704</v>
      </c>
      <c r="D35" s="7">
        <v>18418</v>
      </c>
      <c r="E35" s="8">
        <v>2124724</v>
      </c>
      <c r="F35" s="27">
        <f t="shared" ref="F35:F48" si="4">E35/C35</f>
        <v>244.10891544117646</v>
      </c>
      <c r="G35" s="17"/>
      <c r="H35" s="17"/>
      <c r="I35" s="55"/>
      <c r="J35" s="55"/>
    </row>
    <row r="36" spans="2:10" ht="18.75" x14ac:dyDescent="0.3">
      <c r="B36" s="26" t="s">
        <v>37</v>
      </c>
      <c r="C36" s="9">
        <v>8825</v>
      </c>
      <c r="D36" s="7">
        <v>17731</v>
      </c>
      <c r="E36" s="9">
        <v>2058192</v>
      </c>
      <c r="F36" s="27">
        <f t="shared" si="4"/>
        <v>233.22288951841361</v>
      </c>
      <c r="G36" s="17"/>
      <c r="H36" s="17"/>
      <c r="I36" s="55"/>
      <c r="J36" s="55"/>
    </row>
    <row r="37" spans="2:10" ht="18.75" x14ac:dyDescent="0.3">
      <c r="B37" s="26" t="s">
        <v>38</v>
      </c>
      <c r="C37" s="9">
        <v>10082</v>
      </c>
      <c r="D37" s="7">
        <v>20862</v>
      </c>
      <c r="E37" s="9">
        <v>2393673</v>
      </c>
      <c r="F37" s="27">
        <f t="shared" si="4"/>
        <v>237.42045229121206</v>
      </c>
      <c r="G37" s="17"/>
      <c r="H37" s="17"/>
      <c r="I37" s="55"/>
      <c r="J37" s="55"/>
    </row>
    <row r="38" spans="2:10" ht="18.75" x14ac:dyDescent="0.3">
      <c r="B38" s="26" t="s">
        <v>39</v>
      </c>
      <c r="C38" s="9">
        <v>5171</v>
      </c>
      <c r="D38" s="7">
        <v>11010</v>
      </c>
      <c r="E38" s="9">
        <v>1289332</v>
      </c>
      <c r="F38" s="27">
        <f t="shared" si="4"/>
        <v>249.33900599497196</v>
      </c>
      <c r="G38" s="17"/>
      <c r="H38" s="17"/>
      <c r="I38" s="55"/>
      <c r="J38" s="55"/>
    </row>
    <row r="39" spans="2:10" ht="18.75" x14ac:dyDescent="0.3">
      <c r="B39" s="26" t="s">
        <v>40</v>
      </c>
      <c r="C39" s="9">
        <v>7899</v>
      </c>
      <c r="D39" s="7">
        <v>17204</v>
      </c>
      <c r="E39" s="9">
        <v>1979380</v>
      </c>
      <c r="F39" s="27">
        <f t="shared" si="4"/>
        <v>250.58615014558805</v>
      </c>
      <c r="G39" s="17"/>
      <c r="H39" s="17"/>
      <c r="I39" s="55"/>
      <c r="J39" s="55"/>
    </row>
    <row r="40" spans="2:10" ht="18.75" x14ac:dyDescent="0.3">
      <c r="B40" s="26" t="s">
        <v>41</v>
      </c>
      <c r="C40" s="9">
        <v>5709</v>
      </c>
      <c r="D40" s="7">
        <v>11769</v>
      </c>
      <c r="E40" s="9">
        <v>1347413</v>
      </c>
      <c r="F40" s="27">
        <f t="shared" si="4"/>
        <v>236.0155894202137</v>
      </c>
      <c r="G40" s="17"/>
      <c r="H40" s="17"/>
      <c r="I40" s="55"/>
      <c r="J40" s="55"/>
    </row>
    <row r="41" spans="2:10" ht="18.75" x14ac:dyDescent="0.3">
      <c r="B41" s="26" t="s">
        <v>42</v>
      </c>
      <c r="C41" s="9">
        <v>6994</v>
      </c>
      <c r="D41" s="7">
        <v>15278</v>
      </c>
      <c r="E41" s="9">
        <v>1738978</v>
      </c>
      <c r="F41" s="27">
        <f t="shared" si="4"/>
        <v>248.63854732627968</v>
      </c>
      <c r="G41" s="17"/>
      <c r="H41" s="17"/>
      <c r="I41" s="55"/>
      <c r="J41" s="55"/>
    </row>
    <row r="42" spans="2:10" ht="18.75" x14ac:dyDescent="0.3">
      <c r="B42" s="26" t="s">
        <v>43</v>
      </c>
      <c r="C42" s="9">
        <v>10145</v>
      </c>
      <c r="D42" s="7">
        <v>22373</v>
      </c>
      <c r="E42" s="9">
        <v>2563890</v>
      </c>
      <c r="F42" s="27">
        <f t="shared" si="4"/>
        <v>252.72449482503697</v>
      </c>
      <c r="G42" s="17"/>
      <c r="H42" s="17"/>
      <c r="I42" s="55"/>
      <c r="J42" s="55"/>
    </row>
    <row r="43" spans="2:10" ht="18.75" x14ac:dyDescent="0.3">
      <c r="B43" s="26" t="s">
        <v>44</v>
      </c>
      <c r="C43" s="9">
        <v>6811</v>
      </c>
      <c r="D43" s="7">
        <v>14491</v>
      </c>
      <c r="E43" s="9">
        <v>1667279</v>
      </c>
      <c r="F43" s="27">
        <f t="shared" si="4"/>
        <v>244.79210101306711</v>
      </c>
      <c r="G43" s="17"/>
      <c r="H43" s="17"/>
      <c r="I43" s="55"/>
      <c r="J43" s="55"/>
    </row>
    <row r="44" spans="2:10" ht="18.75" x14ac:dyDescent="0.3">
      <c r="B44" s="26" t="s">
        <v>45</v>
      </c>
      <c r="C44" s="9">
        <v>5413</v>
      </c>
      <c r="D44" s="7">
        <v>11132</v>
      </c>
      <c r="E44" s="9">
        <v>1268531</v>
      </c>
      <c r="F44" s="27">
        <f t="shared" si="4"/>
        <v>234.34897469055977</v>
      </c>
      <c r="G44" s="17"/>
      <c r="H44" s="17"/>
      <c r="I44" s="55"/>
      <c r="J44" s="55"/>
    </row>
    <row r="45" spans="2:10" ht="18.75" x14ac:dyDescent="0.3">
      <c r="B45" s="26" t="s">
        <v>46</v>
      </c>
      <c r="C45" s="9">
        <v>7297</v>
      </c>
      <c r="D45" s="7">
        <v>15753</v>
      </c>
      <c r="E45" s="9">
        <v>1816276</v>
      </c>
      <c r="F45" s="27">
        <f t="shared" si="4"/>
        <v>248.90722214608743</v>
      </c>
      <c r="G45" s="17"/>
      <c r="H45" s="17"/>
      <c r="I45" s="55"/>
      <c r="J45" s="55"/>
    </row>
    <row r="46" spans="2:10" ht="18.75" x14ac:dyDescent="0.3">
      <c r="B46" s="39" t="s">
        <v>47</v>
      </c>
      <c r="C46" s="9">
        <v>6641</v>
      </c>
      <c r="D46" s="7">
        <v>13740</v>
      </c>
      <c r="E46" s="12">
        <v>1597129</v>
      </c>
      <c r="F46" s="27">
        <f t="shared" si="4"/>
        <v>240.495256738443</v>
      </c>
      <c r="G46" s="17"/>
      <c r="H46" s="17"/>
      <c r="I46" s="55"/>
      <c r="J46" s="55"/>
    </row>
    <row r="47" spans="2:10" ht="19.5" thickBot="1" x14ac:dyDescent="0.35">
      <c r="B47" s="39" t="s">
        <v>48</v>
      </c>
      <c r="C47" s="56">
        <v>4973</v>
      </c>
      <c r="D47" s="7">
        <v>10258</v>
      </c>
      <c r="E47" s="12">
        <v>1180392</v>
      </c>
      <c r="F47" s="27">
        <f t="shared" si="4"/>
        <v>237.36014478182184</v>
      </c>
      <c r="G47" s="17"/>
      <c r="H47" s="17"/>
      <c r="I47" s="55"/>
      <c r="J47" s="55"/>
    </row>
    <row r="48" spans="2:10" ht="19.5" thickBot="1" x14ac:dyDescent="0.35">
      <c r="B48" s="29" t="s">
        <v>49</v>
      </c>
      <c r="C48" s="40">
        <f>SUM(C35:C47)</f>
        <v>94664</v>
      </c>
      <c r="D48" s="40">
        <f t="shared" ref="D48:E48" si="5">SUM(D35:D47)</f>
        <v>200019</v>
      </c>
      <c r="E48" s="40">
        <f t="shared" si="5"/>
        <v>23025189</v>
      </c>
      <c r="F48" s="31">
        <f t="shared" si="4"/>
        <v>243.2306790332122</v>
      </c>
      <c r="G48" s="17"/>
      <c r="H48" s="17"/>
      <c r="I48" s="55"/>
      <c r="J48" s="55"/>
    </row>
    <row r="49" spans="2:10" ht="19.5" thickBot="1" x14ac:dyDescent="0.35">
      <c r="B49" s="44"/>
      <c r="C49" s="45"/>
      <c r="D49" s="45"/>
      <c r="E49" s="45"/>
      <c r="F49" s="46"/>
      <c r="G49" s="17"/>
      <c r="H49" s="17"/>
      <c r="I49" s="55"/>
      <c r="J49" s="55"/>
    </row>
    <row r="50" spans="2:10" ht="19.5" thickBot="1" x14ac:dyDescent="0.35">
      <c r="B50" s="21" t="s">
        <v>50</v>
      </c>
      <c r="C50" s="42"/>
      <c r="D50" s="42"/>
      <c r="E50" s="42"/>
      <c r="F50" s="43"/>
      <c r="G50" s="17"/>
      <c r="H50" s="17"/>
      <c r="I50" s="55"/>
      <c r="J50" s="55"/>
    </row>
    <row r="51" spans="2:10" ht="18.75" x14ac:dyDescent="0.3">
      <c r="B51" s="24" t="s">
        <v>51</v>
      </c>
      <c r="C51" s="16">
        <v>5312</v>
      </c>
      <c r="D51" s="7">
        <v>11097</v>
      </c>
      <c r="E51" s="8">
        <v>1285642</v>
      </c>
      <c r="F51" s="27">
        <f t="shared" ref="F51:F58" si="6">E51/C51</f>
        <v>242.02597891566265</v>
      </c>
      <c r="G51" s="17"/>
      <c r="H51" s="17"/>
      <c r="I51" s="55"/>
      <c r="J51" s="55"/>
    </row>
    <row r="52" spans="2:10" ht="18.75" x14ac:dyDescent="0.3">
      <c r="B52" s="26" t="s">
        <v>52</v>
      </c>
      <c r="C52" s="9">
        <v>7834</v>
      </c>
      <c r="D52" s="7">
        <v>17427</v>
      </c>
      <c r="E52" s="9">
        <v>2018252</v>
      </c>
      <c r="F52" s="27">
        <f t="shared" si="6"/>
        <v>257.6272657646158</v>
      </c>
      <c r="G52" s="17"/>
      <c r="H52" s="17"/>
      <c r="I52" s="55"/>
      <c r="J52" s="55"/>
    </row>
    <row r="53" spans="2:10" ht="18.75" x14ac:dyDescent="0.3">
      <c r="B53" s="26" t="s">
        <v>53</v>
      </c>
      <c r="C53" s="9">
        <v>21526</v>
      </c>
      <c r="D53" s="7">
        <v>43573</v>
      </c>
      <c r="E53" s="9">
        <v>5008166</v>
      </c>
      <c r="F53" s="27">
        <f t="shared" si="6"/>
        <v>232.65660131933475</v>
      </c>
      <c r="G53" s="17"/>
      <c r="H53" s="17"/>
      <c r="I53" s="55"/>
      <c r="J53" s="55"/>
    </row>
    <row r="54" spans="2:10" ht="18.75" x14ac:dyDescent="0.3">
      <c r="B54" s="26" t="s">
        <v>54</v>
      </c>
      <c r="C54" s="9">
        <v>7070</v>
      </c>
      <c r="D54" s="7">
        <v>15188</v>
      </c>
      <c r="E54" s="9">
        <v>1737371</v>
      </c>
      <c r="F54" s="27">
        <f t="shared" si="6"/>
        <v>245.73847241867043</v>
      </c>
      <c r="G54" s="17"/>
      <c r="H54" s="17"/>
      <c r="I54" s="55"/>
      <c r="J54" s="55"/>
    </row>
    <row r="55" spans="2:10" ht="18.75" x14ac:dyDescent="0.3">
      <c r="B55" s="26" t="s">
        <v>55</v>
      </c>
      <c r="C55" s="9">
        <v>5424</v>
      </c>
      <c r="D55" s="7">
        <v>11009</v>
      </c>
      <c r="E55" s="9">
        <v>1294779</v>
      </c>
      <c r="F55" s="27">
        <f t="shared" si="6"/>
        <v>238.71294247787611</v>
      </c>
      <c r="G55" s="17"/>
      <c r="H55" s="17"/>
      <c r="I55" s="55"/>
      <c r="J55" s="55"/>
    </row>
    <row r="56" spans="2:10" ht="18.75" x14ac:dyDescent="0.3">
      <c r="B56" s="26" t="s">
        <v>56</v>
      </c>
      <c r="C56" s="9">
        <v>5630</v>
      </c>
      <c r="D56" s="7">
        <v>11587</v>
      </c>
      <c r="E56" s="9">
        <v>1331764</v>
      </c>
      <c r="F56" s="27">
        <f t="shared" si="6"/>
        <v>236.54777975133214</v>
      </c>
      <c r="G56" s="17"/>
      <c r="H56" s="17"/>
      <c r="I56" s="55"/>
      <c r="J56" s="55"/>
    </row>
    <row r="57" spans="2:10" ht="19.5" thickBot="1" x14ac:dyDescent="0.35">
      <c r="B57" s="26" t="s">
        <v>57</v>
      </c>
      <c r="C57" s="10">
        <v>7682</v>
      </c>
      <c r="D57" s="7">
        <v>15602</v>
      </c>
      <c r="E57" s="9">
        <v>1791061</v>
      </c>
      <c r="F57" s="27">
        <f t="shared" si="6"/>
        <v>233.15035147097109</v>
      </c>
      <c r="G57" s="17"/>
      <c r="H57" s="17"/>
      <c r="I57" s="55"/>
      <c r="J57" s="55"/>
    </row>
    <row r="58" spans="2:10" ht="19.5" thickBot="1" x14ac:dyDescent="0.35">
      <c r="B58" s="29" t="s">
        <v>49</v>
      </c>
      <c r="C58" s="40">
        <f>SUM(C51:C57)</f>
        <v>60478</v>
      </c>
      <c r="D58" s="40">
        <f t="shared" ref="D58:E58" si="7">SUM(D51:D57)</f>
        <v>125483</v>
      </c>
      <c r="E58" s="40">
        <f t="shared" si="7"/>
        <v>14467035</v>
      </c>
      <c r="F58" s="31">
        <f t="shared" si="6"/>
        <v>239.21153146598763</v>
      </c>
      <c r="G58" s="17"/>
      <c r="H58" s="17"/>
      <c r="I58" s="55"/>
      <c r="J58" s="55"/>
    </row>
    <row r="59" spans="2:10" ht="19.5" thickBot="1" x14ac:dyDescent="0.35">
      <c r="B59" s="44"/>
      <c r="C59" s="45"/>
      <c r="D59" s="45"/>
      <c r="E59" s="45"/>
      <c r="F59" s="46"/>
      <c r="G59" s="17"/>
      <c r="H59" s="17"/>
      <c r="I59" s="55"/>
      <c r="J59" s="55"/>
    </row>
    <row r="60" spans="2:10" ht="19.5" thickBot="1" x14ac:dyDescent="0.35">
      <c r="B60" s="21" t="s">
        <v>58</v>
      </c>
      <c r="C60" s="42"/>
      <c r="D60" s="42"/>
      <c r="E60" s="42"/>
      <c r="F60" s="43"/>
      <c r="G60" s="17"/>
      <c r="H60" s="17"/>
      <c r="I60" s="55"/>
      <c r="J60" s="55"/>
    </row>
    <row r="61" spans="2:10" ht="18.75" x14ac:dyDescent="0.3">
      <c r="B61" s="24" t="s">
        <v>59</v>
      </c>
      <c r="C61" s="16">
        <v>8740</v>
      </c>
      <c r="D61" s="7">
        <v>18615</v>
      </c>
      <c r="E61" s="8">
        <v>2139652</v>
      </c>
      <c r="F61" s="27">
        <f t="shared" ref="F61:F68" si="8">E61/C61</f>
        <v>244.81144164759726</v>
      </c>
      <c r="G61" s="17"/>
      <c r="H61" s="17"/>
      <c r="I61" s="55"/>
      <c r="J61" s="55"/>
    </row>
    <row r="62" spans="2:10" ht="18.75" x14ac:dyDescent="0.3">
      <c r="B62" s="26" t="s">
        <v>60</v>
      </c>
      <c r="C62" s="9">
        <v>9547</v>
      </c>
      <c r="D62" s="7">
        <v>20039</v>
      </c>
      <c r="E62" s="9">
        <v>2309240</v>
      </c>
      <c r="F62" s="27">
        <f t="shared" si="8"/>
        <v>241.88121923117208</v>
      </c>
      <c r="G62" s="17"/>
      <c r="H62" s="17"/>
      <c r="I62" s="55"/>
      <c r="J62" s="55"/>
    </row>
    <row r="63" spans="2:10" ht="18.75" x14ac:dyDescent="0.3">
      <c r="B63" s="26" t="s">
        <v>61</v>
      </c>
      <c r="C63" s="9">
        <v>11328</v>
      </c>
      <c r="D63" s="7">
        <v>22867</v>
      </c>
      <c r="E63" s="9">
        <v>2634778</v>
      </c>
      <c r="F63" s="27">
        <f t="shared" si="8"/>
        <v>232.58986581920905</v>
      </c>
      <c r="G63" s="17"/>
      <c r="H63" s="17"/>
      <c r="I63" s="55"/>
      <c r="J63" s="55"/>
    </row>
    <row r="64" spans="2:10" ht="18.75" x14ac:dyDescent="0.3">
      <c r="B64" s="26" t="s">
        <v>62</v>
      </c>
      <c r="C64" s="9">
        <v>5179</v>
      </c>
      <c r="D64" s="7">
        <v>11574</v>
      </c>
      <c r="E64" s="9">
        <v>1347322</v>
      </c>
      <c r="F64" s="27">
        <f t="shared" si="8"/>
        <v>260.15099440046339</v>
      </c>
      <c r="G64" s="17"/>
      <c r="H64" s="17"/>
      <c r="I64" s="55"/>
      <c r="J64" s="55"/>
    </row>
    <row r="65" spans="2:10" ht="18.75" x14ac:dyDescent="0.3">
      <c r="B65" s="26" t="s">
        <v>63</v>
      </c>
      <c r="C65" s="9">
        <v>3904</v>
      </c>
      <c r="D65" s="7">
        <v>8115</v>
      </c>
      <c r="E65" s="9">
        <v>929078</v>
      </c>
      <c r="F65" s="27">
        <f t="shared" si="8"/>
        <v>237.98104508196721</v>
      </c>
      <c r="G65" s="17"/>
      <c r="H65" s="17"/>
      <c r="I65" s="55"/>
      <c r="J65" s="55"/>
    </row>
    <row r="66" spans="2:10" ht="18.75" x14ac:dyDescent="0.3">
      <c r="B66" s="26" t="s">
        <v>64</v>
      </c>
      <c r="C66" s="9">
        <v>9758</v>
      </c>
      <c r="D66" s="7">
        <v>20444</v>
      </c>
      <c r="E66" s="9">
        <v>2341602</v>
      </c>
      <c r="F66" s="27">
        <f t="shared" si="8"/>
        <v>239.96741135478581</v>
      </c>
      <c r="G66" s="17"/>
      <c r="H66" s="17"/>
      <c r="I66" s="55"/>
      <c r="J66" s="55"/>
    </row>
    <row r="67" spans="2:10" ht="19.5" thickBot="1" x14ac:dyDescent="0.35">
      <c r="B67" s="26" t="s">
        <v>66</v>
      </c>
      <c r="C67" s="9">
        <v>9105</v>
      </c>
      <c r="D67" s="7">
        <v>18527</v>
      </c>
      <c r="E67" s="9">
        <v>2146365</v>
      </c>
      <c r="F67" s="27">
        <f t="shared" si="8"/>
        <v>235.73476112026358</v>
      </c>
      <c r="G67" s="17"/>
      <c r="H67" s="17"/>
      <c r="I67" s="55"/>
      <c r="J67" s="55"/>
    </row>
    <row r="68" spans="2:10" ht="19.5" thickBot="1" x14ac:dyDescent="0.35">
      <c r="B68" s="29" t="s">
        <v>49</v>
      </c>
      <c r="C68" s="40">
        <f>SUM(C61:C67)</f>
        <v>57561</v>
      </c>
      <c r="D68" s="40">
        <f>SUM(D61:D67)</f>
        <v>120181</v>
      </c>
      <c r="E68" s="40">
        <f>SUM(E61:E67)</f>
        <v>13848037</v>
      </c>
      <c r="F68" s="31">
        <f t="shared" si="8"/>
        <v>240.58020187279581</v>
      </c>
      <c r="G68" s="17"/>
      <c r="H68" s="17"/>
      <c r="I68" s="55"/>
      <c r="J68" s="55"/>
    </row>
    <row r="69" spans="2:10" ht="19.5" thickBot="1" x14ac:dyDescent="0.35">
      <c r="B69" s="44"/>
      <c r="C69" s="45"/>
      <c r="D69" s="45"/>
      <c r="E69" s="45"/>
      <c r="F69" s="46"/>
      <c r="G69" s="17"/>
      <c r="H69" s="17"/>
      <c r="I69" s="55"/>
      <c r="J69" s="55"/>
    </row>
    <row r="70" spans="2:10" ht="19.5" thickBot="1" x14ac:dyDescent="0.35">
      <c r="B70" s="21" t="s">
        <v>67</v>
      </c>
      <c r="C70" s="42"/>
      <c r="D70" s="42"/>
      <c r="E70" s="42"/>
      <c r="F70" s="43"/>
      <c r="G70" s="17"/>
      <c r="H70" s="17"/>
      <c r="I70" s="55"/>
      <c r="J70" s="55"/>
    </row>
    <row r="71" spans="2:10" ht="18.75" x14ac:dyDescent="0.3">
      <c r="B71" s="24" t="s">
        <v>68</v>
      </c>
      <c r="C71" s="16">
        <v>3974</v>
      </c>
      <c r="D71" s="7">
        <v>8522</v>
      </c>
      <c r="E71" s="8">
        <v>976264</v>
      </c>
      <c r="F71" s="27">
        <f t="shared" ref="F71:F77" si="9">E71/C71</f>
        <v>245.66280825364871</v>
      </c>
      <c r="G71" s="17"/>
      <c r="H71" s="17"/>
      <c r="I71" s="55"/>
      <c r="J71" s="55"/>
    </row>
    <row r="72" spans="2:10" ht="18.75" x14ac:dyDescent="0.3">
      <c r="B72" s="26" t="s">
        <v>69</v>
      </c>
      <c r="C72" s="9">
        <v>6966</v>
      </c>
      <c r="D72" s="7">
        <v>13648</v>
      </c>
      <c r="E72" s="9">
        <v>1557578</v>
      </c>
      <c r="F72" s="27">
        <f t="shared" si="9"/>
        <v>223.59718633362044</v>
      </c>
      <c r="G72" s="17"/>
      <c r="H72" s="17"/>
      <c r="I72" s="55"/>
      <c r="J72" s="55"/>
    </row>
    <row r="73" spans="2:10" ht="18.75" x14ac:dyDescent="0.3">
      <c r="B73" s="26" t="s">
        <v>67</v>
      </c>
      <c r="C73" s="9">
        <v>8085</v>
      </c>
      <c r="D73" s="7">
        <v>17028</v>
      </c>
      <c r="E73" s="9">
        <v>1950977</v>
      </c>
      <c r="F73" s="27">
        <f t="shared" si="9"/>
        <v>241.30822510822512</v>
      </c>
      <c r="G73" s="17"/>
      <c r="H73" s="17"/>
      <c r="I73" s="55"/>
      <c r="J73" s="55"/>
    </row>
    <row r="74" spans="2:10" ht="18.75" x14ac:dyDescent="0.3">
      <c r="B74" s="26" t="s">
        <v>70</v>
      </c>
      <c r="C74" s="9">
        <v>4321</v>
      </c>
      <c r="D74" s="7">
        <v>8804</v>
      </c>
      <c r="E74" s="9">
        <v>1014377</v>
      </c>
      <c r="F74" s="27">
        <f t="shared" si="9"/>
        <v>234.7551492710021</v>
      </c>
      <c r="G74" s="17"/>
      <c r="H74" s="17"/>
      <c r="I74" s="55"/>
      <c r="J74" s="55"/>
    </row>
    <row r="75" spans="2:10" ht="18.75" x14ac:dyDescent="0.3">
      <c r="B75" s="26" t="s">
        <v>71</v>
      </c>
      <c r="C75" s="9">
        <v>6201</v>
      </c>
      <c r="D75" s="7">
        <v>12943</v>
      </c>
      <c r="E75" s="9">
        <v>1481073</v>
      </c>
      <c r="F75" s="27">
        <f t="shared" si="9"/>
        <v>238.84421867440736</v>
      </c>
      <c r="G75" s="17"/>
      <c r="H75" s="17"/>
      <c r="I75" s="55"/>
      <c r="J75" s="55"/>
    </row>
    <row r="76" spans="2:10" ht="19.5" thickBot="1" x14ac:dyDescent="0.35">
      <c r="B76" s="28" t="s">
        <v>72</v>
      </c>
      <c r="C76" s="10">
        <v>3989</v>
      </c>
      <c r="D76" s="7">
        <v>8619</v>
      </c>
      <c r="E76" s="10">
        <v>971154</v>
      </c>
      <c r="F76" s="27">
        <f t="shared" si="9"/>
        <v>243.45800952619703</v>
      </c>
      <c r="G76" s="17"/>
      <c r="H76" s="17"/>
      <c r="I76" s="55"/>
      <c r="J76" s="55"/>
    </row>
    <row r="77" spans="2:10" ht="19.5" thickBot="1" x14ac:dyDescent="0.35">
      <c r="B77" s="29" t="s">
        <v>49</v>
      </c>
      <c r="C77" s="40">
        <f>SUM(C71:C76)</f>
        <v>33536</v>
      </c>
      <c r="D77" s="40">
        <f t="shared" ref="D77:E77" si="10">SUM(D71:D76)</f>
        <v>69564</v>
      </c>
      <c r="E77" s="40">
        <f t="shared" si="10"/>
        <v>7951423</v>
      </c>
      <c r="F77" s="31">
        <f t="shared" si="9"/>
        <v>237.10111521946564</v>
      </c>
      <c r="G77" s="17"/>
      <c r="H77" s="17"/>
      <c r="I77" s="55"/>
      <c r="J77" s="55"/>
    </row>
    <row r="78" spans="2:10" ht="19.5" thickBot="1" x14ac:dyDescent="0.35">
      <c r="B78" s="44"/>
      <c r="C78" s="45"/>
      <c r="D78" s="45"/>
      <c r="E78" s="45"/>
      <c r="F78" s="46"/>
      <c r="G78" s="17"/>
      <c r="H78" s="17"/>
      <c r="I78" s="55"/>
      <c r="J78" s="55"/>
    </row>
    <row r="79" spans="2:10" ht="19.5" thickBot="1" x14ac:dyDescent="0.35">
      <c r="B79" s="21" t="s">
        <v>73</v>
      </c>
      <c r="C79" s="42"/>
      <c r="D79" s="42"/>
      <c r="E79" s="42"/>
      <c r="F79" s="43"/>
      <c r="G79" s="17"/>
      <c r="H79" s="17"/>
      <c r="I79" s="55"/>
      <c r="J79" s="55"/>
    </row>
    <row r="80" spans="2:10" ht="18.75" x14ac:dyDescent="0.3">
      <c r="B80" s="24" t="s">
        <v>74</v>
      </c>
      <c r="C80" s="16">
        <v>2447</v>
      </c>
      <c r="D80" s="7">
        <v>4929</v>
      </c>
      <c r="E80" s="8">
        <v>562794</v>
      </c>
      <c r="F80" s="27">
        <f t="shared" ref="F80:F90" si="11">E80/C80</f>
        <v>229.9934613812832</v>
      </c>
      <c r="G80" s="17"/>
      <c r="H80" s="17"/>
      <c r="I80" s="55"/>
      <c r="J80" s="55"/>
    </row>
    <row r="81" spans="2:10" ht="18.75" x14ac:dyDescent="0.3">
      <c r="B81" s="26" t="s">
        <v>75</v>
      </c>
      <c r="C81" s="9">
        <v>247</v>
      </c>
      <c r="D81" s="7">
        <v>532</v>
      </c>
      <c r="E81" s="9">
        <v>58276</v>
      </c>
      <c r="F81" s="27">
        <f t="shared" si="11"/>
        <v>235.93522267206478</v>
      </c>
      <c r="G81" s="17"/>
      <c r="H81" s="17"/>
      <c r="I81" s="55"/>
      <c r="J81" s="55"/>
    </row>
    <row r="82" spans="2:10" ht="18.75" x14ac:dyDescent="0.3">
      <c r="B82" s="26" t="s">
        <v>76</v>
      </c>
      <c r="C82" s="9">
        <v>6816</v>
      </c>
      <c r="D82" s="7">
        <v>13978</v>
      </c>
      <c r="E82" s="9">
        <v>1623458</v>
      </c>
      <c r="F82" s="27">
        <f t="shared" si="11"/>
        <v>238.18339201877933</v>
      </c>
      <c r="G82" s="17"/>
      <c r="H82" s="17"/>
      <c r="I82" s="55"/>
      <c r="J82" s="55"/>
    </row>
    <row r="83" spans="2:10" ht="18.75" x14ac:dyDescent="0.3">
      <c r="B83" s="26" t="s">
        <v>73</v>
      </c>
      <c r="C83" s="9">
        <v>11148</v>
      </c>
      <c r="D83" s="7">
        <v>21910</v>
      </c>
      <c r="E83" s="9">
        <v>2546457</v>
      </c>
      <c r="F83" s="27">
        <f t="shared" si="11"/>
        <v>228.42276641550055</v>
      </c>
      <c r="G83" s="17"/>
      <c r="H83" s="17"/>
      <c r="I83" s="55"/>
      <c r="J83" s="55"/>
    </row>
    <row r="84" spans="2:10" ht="18.75" x14ac:dyDescent="0.3">
      <c r="B84" s="26" t="s">
        <v>77</v>
      </c>
      <c r="C84" s="9">
        <v>8148</v>
      </c>
      <c r="D84" s="7">
        <v>17019</v>
      </c>
      <c r="E84" s="9">
        <v>1975580</v>
      </c>
      <c r="F84" s="27">
        <f t="shared" si="11"/>
        <v>242.46195385370643</v>
      </c>
      <c r="G84" s="17"/>
      <c r="H84" s="17"/>
      <c r="I84" s="55"/>
      <c r="J84" s="55"/>
    </row>
    <row r="85" spans="2:10" ht="18.75" x14ac:dyDescent="0.3">
      <c r="B85" s="26" t="s">
        <v>78</v>
      </c>
      <c r="C85" s="9">
        <v>7421</v>
      </c>
      <c r="D85" s="7">
        <v>15078</v>
      </c>
      <c r="E85" s="9">
        <v>1750314</v>
      </c>
      <c r="F85" s="27">
        <f t="shared" si="11"/>
        <v>235.85958765665004</v>
      </c>
      <c r="G85" s="17"/>
      <c r="H85" s="17"/>
      <c r="I85" s="55"/>
      <c r="J85" s="55"/>
    </row>
    <row r="86" spans="2:10" ht="18.75" x14ac:dyDescent="0.3">
      <c r="B86" s="26" t="s">
        <v>79</v>
      </c>
      <c r="C86" s="9">
        <v>2903</v>
      </c>
      <c r="D86" s="7">
        <v>5958</v>
      </c>
      <c r="E86" s="9">
        <v>681861</v>
      </c>
      <c r="F86" s="27">
        <f t="shared" si="11"/>
        <v>234.88150189459179</v>
      </c>
      <c r="G86" s="17"/>
      <c r="H86" s="17"/>
      <c r="I86" s="55"/>
      <c r="J86" s="55"/>
    </row>
    <row r="87" spans="2:10" ht="18.75" x14ac:dyDescent="0.3">
      <c r="B87" s="26" t="s">
        <v>80</v>
      </c>
      <c r="C87" s="9">
        <v>5467</v>
      </c>
      <c r="D87" s="7">
        <v>11475</v>
      </c>
      <c r="E87" s="9">
        <v>1322373</v>
      </c>
      <c r="F87" s="27">
        <f t="shared" si="11"/>
        <v>241.88275105176513</v>
      </c>
      <c r="G87" s="17"/>
      <c r="H87" s="17"/>
      <c r="I87" s="55"/>
      <c r="J87" s="55"/>
    </row>
    <row r="88" spans="2:10" ht="18.75" x14ac:dyDescent="0.3">
      <c r="B88" s="26" t="s">
        <v>81</v>
      </c>
      <c r="C88" s="9">
        <v>2034</v>
      </c>
      <c r="D88" s="7">
        <v>4064</v>
      </c>
      <c r="E88" s="9">
        <v>476902</v>
      </c>
      <c r="F88" s="27">
        <f t="shared" si="11"/>
        <v>234.46509341199607</v>
      </c>
      <c r="G88" s="17"/>
      <c r="H88" s="17"/>
      <c r="I88" s="55"/>
      <c r="J88" s="55"/>
    </row>
    <row r="89" spans="2:10" ht="19.5" thickBot="1" x14ac:dyDescent="0.35">
      <c r="B89" s="28" t="s">
        <v>82</v>
      </c>
      <c r="C89" s="10">
        <v>9311</v>
      </c>
      <c r="D89" s="7">
        <v>18686</v>
      </c>
      <c r="E89" s="10">
        <v>2152918</v>
      </c>
      <c r="F89" s="27">
        <f t="shared" si="11"/>
        <v>231.22306948770273</v>
      </c>
      <c r="G89" s="17"/>
      <c r="H89" s="17"/>
      <c r="I89" s="55"/>
      <c r="J89" s="55"/>
    </row>
    <row r="90" spans="2:10" ht="19.5" thickBot="1" x14ac:dyDescent="0.35">
      <c r="B90" s="29" t="s">
        <v>49</v>
      </c>
      <c r="C90" s="40">
        <f>SUM(C80:C89)</f>
        <v>55942</v>
      </c>
      <c r="D90" s="40">
        <f t="shared" ref="D90:E90" si="12">SUM(D80:D89)</f>
        <v>113629</v>
      </c>
      <c r="E90" s="40">
        <f t="shared" si="12"/>
        <v>13150933</v>
      </c>
      <c r="F90" s="31">
        <f t="shared" si="11"/>
        <v>235.08156662257338</v>
      </c>
      <c r="G90" s="17"/>
      <c r="H90" s="17"/>
      <c r="I90" s="55"/>
      <c r="J90" s="55"/>
    </row>
    <row r="91" spans="2:10" ht="19.5" thickBot="1" x14ac:dyDescent="0.35">
      <c r="B91" s="44"/>
      <c r="C91" s="45"/>
      <c r="D91" s="45"/>
      <c r="E91" s="45"/>
      <c r="F91" s="46"/>
      <c r="G91" s="17"/>
      <c r="H91" s="17"/>
      <c r="I91" s="55"/>
      <c r="J91" s="55"/>
    </row>
    <row r="92" spans="2:10" ht="19.5" thickBot="1" x14ac:dyDescent="0.35">
      <c r="B92" s="21" t="s">
        <v>83</v>
      </c>
      <c r="C92" s="42"/>
      <c r="D92" s="42"/>
      <c r="E92" s="42"/>
      <c r="F92" s="43"/>
      <c r="G92" s="17"/>
      <c r="H92" s="17"/>
      <c r="I92" s="55"/>
      <c r="J92" s="55"/>
    </row>
    <row r="93" spans="2:10" ht="18.75" x14ac:dyDescent="0.3">
      <c r="B93" s="24" t="s">
        <v>84</v>
      </c>
      <c r="C93" s="16">
        <v>5613</v>
      </c>
      <c r="D93" s="7">
        <v>11477</v>
      </c>
      <c r="E93" s="8">
        <v>1313731</v>
      </c>
      <c r="F93" s="27">
        <f t="shared" ref="F93:F101" si="13">E93/C93</f>
        <v>234.05148761802957</v>
      </c>
      <c r="G93" s="17"/>
      <c r="H93" s="17"/>
      <c r="I93" s="55"/>
      <c r="J93" s="55"/>
    </row>
    <row r="94" spans="2:10" ht="18.75" x14ac:dyDescent="0.3">
      <c r="B94" s="26" t="s">
        <v>85</v>
      </c>
      <c r="C94" s="9">
        <v>7533</v>
      </c>
      <c r="D94" s="7">
        <v>15862</v>
      </c>
      <c r="E94" s="9">
        <v>1835255</v>
      </c>
      <c r="F94" s="27">
        <f t="shared" si="13"/>
        <v>243.62870038497277</v>
      </c>
      <c r="G94" s="17"/>
      <c r="H94" s="17"/>
      <c r="I94" s="55"/>
      <c r="J94" s="55"/>
    </row>
    <row r="95" spans="2:10" ht="18.75" x14ac:dyDescent="0.3">
      <c r="B95" s="26" t="s">
        <v>86</v>
      </c>
      <c r="C95" s="9">
        <v>4037</v>
      </c>
      <c r="D95" s="7">
        <v>8543</v>
      </c>
      <c r="E95" s="9">
        <v>988521</v>
      </c>
      <c r="F95" s="27">
        <f t="shared" si="13"/>
        <v>244.86524647015111</v>
      </c>
      <c r="G95" s="17"/>
      <c r="H95" s="17"/>
      <c r="I95" s="55"/>
      <c r="J95" s="55"/>
    </row>
    <row r="96" spans="2:10" ht="18.75" x14ac:dyDescent="0.3">
      <c r="B96" s="26" t="s">
        <v>87</v>
      </c>
      <c r="C96" s="9">
        <v>2676</v>
      </c>
      <c r="D96" s="7">
        <v>5081</v>
      </c>
      <c r="E96" s="9">
        <v>586911</v>
      </c>
      <c r="F96" s="27">
        <f t="shared" si="13"/>
        <v>219.32399103139014</v>
      </c>
      <c r="G96" s="17"/>
      <c r="H96" s="17"/>
      <c r="I96" s="55"/>
      <c r="J96" s="55"/>
    </row>
    <row r="97" spans="2:10" ht="18.75" x14ac:dyDescent="0.3">
      <c r="B97" s="26" t="s">
        <v>88</v>
      </c>
      <c r="C97" s="9">
        <v>5150</v>
      </c>
      <c r="D97" s="7">
        <v>10973</v>
      </c>
      <c r="E97" s="9">
        <v>1270382</v>
      </c>
      <c r="F97" s="27">
        <f t="shared" si="13"/>
        <v>246.67611650485438</v>
      </c>
      <c r="G97" s="17"/>
      <c r="H97" s="17"/>
      <c r="I97" s="55"/>
      <c r="J97" s="55"/>
    </row>
    <row r="98" spans="2:10" ht="18.75" x14ac:dyDescent="0.3">
      <c r="B98" s="26" t="s">
        <v>89</v>
      </c>
      <c r="C98" s="9">
        <v>1138</v>
      </c>
      <c r="D98" s="7">
        <v>2715</v>
      </c>
      <c r="E98" s="9">
        <v>310416</v>
      </c>
      <c r="F98" s="27">
        <f t="shared" si="13"/>
        <v>272.7732864674868</v>
      </c>
      <c r="G98" s="17"/>
      <c r="H98" s="17"/>
      <c r="I98" s="55"/>
      <c r="J98" s="55"/>
    </row>
    <row r="99" spans="2:10" ht="18.75" x14ac:dyDescent="0.3">
      <c r="B99" s="26" t="s">
        <v>90</v>
      </c>
      <c r="C99" s="9">
        <v>15394</v>
      </c>
      <c r="D99" s="7">
        <v>30492</v>
      </c>
      <c r="E99" s="9">
        <v>3575661</v>
      </c>
      <c r="F99" s="27">
        <f t="shared" si="13"/>
        <v>232.27627647135247</v>
      </c>
      <c r="G99" s="17"/>
      <c r="H99" s="17"/>
      <c r="I99" s="55"/>
      <c r="J99" s="55"/>
    </row>
    <row r="100" spans="2:10" ht="18.75" x14ac:dyDescent="0.3">
      <c r="B100" s="47" t="s">
        <v>92</v>
      </c>
      <c r="C100" s="9">
        <v>4336</v>
      </c>
      <c r="D100" s="7">
        <v>9291</v>
      </c>
      <c r="E100" s="9">
        <v>1058381</v>
      </c>
      <c r="F100" s="27">
        <f t="shared" si="13"/>
        <v>244.0915590405904</v>
      </c>
      <c r="G100" s="17"/>
      <c r="H100" s="17"/>
      <c r="I100" s="55"/>
      <c r="J100" s="55"/>
    </row>
    <row r="101" spans="2:10" ht="19.5" thickBot="1" x14ac:dyDescent="0.35">
      <c r="B101" s="26" t="s">
        <v>93</v>
      </c>
      <c r="C101" s="10">
        <v>6488</v>
      </c>
      <c r="D101" s="7">
        <v>13408</v>
      </c>
      <c r="E101" s="9">
        <v>1545172</v>
      </c>
      <c r="F101" s="27">
        <f t="shared" si="13"/>
        <v>238.15844636251541</v>
      </c>
      <c r="G101" s="17"/>
      <c r="H101" s="17"/>
      <c r="I101" s="55"/>
      <c r="J101" s="55"/>
    </row>
    <row r="102" spans="2:10" ht="19.5" thickBot="1" x14ac:dyDescent="0.35">
      <c r="B102" s="29" t="s">
        <v>49</v>
      </c>
      <c r="C102" s="40">
        <f>SUM(C93:C101)</f>
        <v>52365</v>
      </c>
      <c r="D102" s="40">
        <f t="shared" ref="D102:E102" si="14">SUM(D93:D101)</f>
        <v>107842</v>
      </c>
      <c r="E102" s="40">
        <f t="shared" si="14"/>
        <v>12484430</v>
      </c>
      <c r="F102" s="31">
        <f t="shared" ref="F102" si="15">E102/C102</f>
        <v>238.41172538909578</v>
      </c>
      <c r="G102" s="17"/>
      <c r="H102" s="17"/>
      <c r="I102" s="55"/>
      <c r="J102" s="55"/>
    </row>
    <row r="103" spans="2:10" ht="19.5" thickBot="1" x14ac:dyDescent="0.35">
      <c r="B103" s="44"/>
      <c r="C103" s="45"/>
      <c r="D103" s="45"/>
      <c r="E103" s="45"/>
      <c r="F103" s="46"/>
      <c r="G103" s="17"/>
      <c r="H103" s="17"/>
      <c r="I103" s="55"/>
      <c r="J103" s="55"/>
    </row>
    <row r="104" spans="2:10" ht="19.5" thickBot="1" x14ac:dyDescent="0.35">
      <c r="B104" s="34" t="s">
        <v>94</v>
      </c>
      <c r="C104" s="42"/>
      <c r="D104" s="42"/>
      <c r="E104" s="42"/>
      <c r="F104" s="43"/>
      <c r="G104" s="17"/>
      <c r="H104" s="17"/>
      <c r="I104" s="55"/>
      <c r="J104" s="55"/>
    </row>
    <row r="105" spans="2:10" ht="18.75" x14ac:dyDescent="0.3">
      <c r="B105" s="48" t="s">
        <v>95</v>
      </c>
      <c r="C105" s="60">
        <v>3893</v>
      </c>
      <c r="D105" s="7">
        <v>9247</v>
      </c>
      <c r="E105" s="8">
        <v>1069319</v>
      </c>
      <c r="F105" s="27">
        <f t="shared" ref="F105:F118" si="16">E105/C105</f>
        <v>274.67736963781147</v>
      </c>
      <c r="G105" s="17"/>
      <c r="H105" s="17"/>
      <c r="I105" s="55"/>
      <c r="J105" s="55"/>
    </row>
    <row r="106" spans="2:10" ht="18.75" x14ac:dyDescent="0.3">
      <c r="B106" s="49" t="s">
        <v>96</v>
      </c>
      <c r="C106" s="9">
        <v>5650</v>
      </c>
      <c r="D106" s="7">
        <v>11529</v>
      </c>
      <c r="E106" s="8">
        <v>1323543</v>
      </c>
      <c r="F106" s="27">
        <f t="shared" si="16"/>
        <v>234.2553982300885</v>
      </c>
      <c r="G106" s="17"/>
      <c r="H106" s="17"/>
      <c r="I106" s="55"/>
      <c r="J106" s="55"/>
    </row>
    <row r="107" spans="2:10" ht="18.75" x14ac:dyDescent="0.3">
      <c r="B107" s="49" t="s">
        <v>97</v>
      </c>
      <c r="C107" s="9">
        <v>874</v>
      </c>
      <c r="D107" s="7">
        <v>1965</v>
      </c>
      <c r="E107" s="9">
        <v>233665</v>
      </c>
      <c r="F107" s="27">
        <f t="shared" si="16"/>
        <v>267.3512585812357</v>
      </c>
      <c r="G107" s="17"/>
      <c r="H107" s="17"/>
      <c r="I107" s="55"/>
      <c r="J107" s="55"/>
    </row>
    <row r="108" spans="2:10" ht="18.75" x14ac:dyDescent="0.3">
      <c r="B108" s="49" t="s">
        <v>98</v>
      </c>
      <c r="C108" s="9">
        <v>7572</v>
      </c>
      <c r="D108" s="7">
        <v>16290</v>
      </c>
      <c r="E108" s="9">
        <v>1873724</v>
      </c>
      <c r="F108" s="27">
        <f t="shared" si="16"/>
        <v>247.45430533544638</v>
      </c>
      <c r="G108" s="17"/>
      <c r="H108" s="17"/>
      <c r="I108" s="55"/>
      <c r="J108" s="55"/>
    </row>
    <row r="109" spans="2:10" ht="18.75" x14ac:dyDescent="0.3">
      <c r="B109" s="26" t="s">
        <v>99</v>
      </c>
      <c r="C109" s="9">
        <v>4699</v>
      </c>
      <c r="D109" s="7">
        <v>10306</v>
      </c>
      <c r="E109" s="9">
        <v>1190393</v>
      </c>
      <c r="F109" s="27">
        <f t="shared" si="16"/>
        <v>253.32900617152586</v>
      </c>
      <c r="G109" s="17"/>
      <c r="H109" s="17"/>
      <c r="I109" s="55"/>
      <c r="J109" s="55"/>
    </row>
    <row r="110" spans="2:10" ht="18.75" x14ac:dyDescent="0.3">
      <c r="B110" s="26" t="s">
        <v>100</v>
      </c>
      <c r="C110" s="9">
        <v>3736</v>
      </c>
      <c r="D110" s="7">
        <v>8895</v>
      </c>
      <c r="E110" s="9">
        <v>1027728</v>
      </c>
      <c r="F110" s="27">
        <f t="shared" si="16"/>
        <v>275.08779443254821</v>
      </c>
      <c r="G110" s="17"/>
      <c r="H110" s="17"/>
      <c r="I110" s="55"/>
      <c r="J110" s="55"/>
    </row>
    <row r="111" spans="2:10" ht="18.75" x14ac:dyDescent="0.3">
      <c r="B111" s="26" t="s">
        <v>101</v>
      </c>
      <c r="C111" s="9">
        <v>8796</v>
      </c>
      <c r="D111" s="7">
        <v>19834</v>
      </c>
      <c r="E111" s="9">
        <v>2260092</v>
      </c>
      <c r="F111" s="27">
        <f t="shared" si="16"/>
        <v>256.94542974079127</v>
      </c>
      <c r="G111" s="17"/>
      <c r="H111" s="17"/>
      <c r="I111" s="55"/>
      <c r="J111" s="55"/>
    </row>
    <row r="112" spans="2:10" ht="18.75" x14ac:dyDescent="0.3">
      <c r="B112" s="26" t="s">
        <v>102</v>
      </c>
      <c r="C112" s="9">
        <v>5758</v>
      </c>
      <c r="D112" s="7">
        <v>13132</v>
      </c>
      <c r="E112" s="9">
        <v>1504532</v>
      </c>
      <c r="F112" s="27">
        <f t="shared" si="16"/>
        <v>261.29419937478292</v>
      </c>
      <c r="G112" s="17"/>
      <c r="H112" s="17"/>
      <c r="I112" s="55"/>
      <c r="J112" s="55"/>
    </row>
    <row r="113" spans="2:10" ht="18.75" x14ac:dyDescent="0.3">
      <c r="B113" s="26" t="s">
        <v>103</v>
      </c>
      <c r="C113" s="9">
        <v>5105</v>
      </c>
      <c r="D113" s="7">
        <v>11954</v>
      </c>
      <c r="E113" s="9">
        <v>1360045</v>
      </c>
      <c r="F113" s="27">
        <f t="shared" si="16"/>
        <v>266.41429970617042</v>
      </c>
      <c r="G113" s="17"/>
      <c r="H113" s="17"/>
      <c r="I113" s="55"/>
      <c r="J113" s="55"/>
    </row>
    <row r="114" spans="2:10" ht="18.75" x14ac:dyDescent="0.3">
      <c r="B114" s="26" t="s">
        <v>104</v>
      </c>
      <c r="C114" s="9">
        <v>7219</v>
      </c>
      <c r="D114" s="7">
        <v>14506</v>
      </c>
      <c r="E114" s="9">
        <v>1687377</v>
      </c>
      <c r="F114" s="27">
        <f t="shared" si="16"/>
        <v>233.74109987532898</v>
      </c>
      <c r="G114" s="17"/>
      <c r="H114" s="17"/>
      <c r="I114" s="55"/>
      <c r="J114" s="55"/>
    </row>
    <row r="115" spans="2:10" ht="18.75" x14ac:dyDescent="0.3">
      <c r="B115" s="26" t="s">
        <v>105</v>
      </c>
      <c r="C115" s="9">
        <v>8511</v>
      </c>
      <c r="D115" s="7">
        <v>19696</v>
      </c>
      <c r="E115" s="9">
        <v>2264751</v>
      </c>
      <c r="F115" s="27">
        <f t="shared" si="16"/>
        <v>266.09693338033134</v>
      </c>
      <c r="G115" s="17"/>
      <c r="H115" s="17"/>
      <c r="I115" s="55"/>
      <c r="J115" s="55"/>
    </row>
    <row r="116" spans="2:10" ht="18.75" x14ac:dyDescent="0.3">
      <c r="B116" s="26" t="s">
        <v>106</v>
      </c>
      <c r="C116" s="9">
        <v>16365</v>
      </c>
      <c r="D116" s="7">
        <v>35571</v>
      </c>
      <c r="E116" s="9">
        <v>4152923</v>
      </c>
      <c r="F116" s="27">
        <f t="shared" si="16"/>
        <v>253.76859150626336</v>
      </c>
      <c r="G116" s="17"/>
      <c r="H116" s="17"/>
      <c r="I116" s="55"/>
      <c r="J116" s="55"/>
    </row>
    <row r="117" spans="2:10" ht="18.75" x14ac:dyDescent="0.3">
      <c r="B117" s="26" t="s">
        <v>107</v>
      </c>
      <c r="C117" s="9">
        <v>5464</v>
      </c>
      <c r="D117" s="7">
        <v>12502</v>
      </c>
      <c r="E117" s="9">
        <v>1438920</v>
      </c>
      <c r="F117" s="27">
        <f t="shared" si="16"/>
        <v>263.3455344070278</v>
      </c>
      <c r="G117" s="17"/>
      <c r="H117" s="17"/>
      <c r="I117" s="55"/>
      <c r="J117" s="55"/>
    </row>
    <row r="118" spans="2:10" ht="19.5" thickBot="1" x14ac:dyDescent="0.35">
      <c r="B118" s="26" t="s">
        <v>108</v>
      </c>
      <c r="C118" s="10">
        <v>8286</v>
      </c>
      <c r="D118" s="7">
        <v>17616</v>
      </c>
      <c r="E118" s="9">
        <v>2030593</v>
      </c>
      <c r="F118" s="27">
        <f t="shared" si="16"/>
        <v>245.06311851315471</v>
      </c>
      <c r="G118" s="17"/>
      <c r="H118" s="17"/>
      <c r="I118" s="55"/>
      <c r="J118" s="55"/>
    </row>
    <row r="119" spans="2:10" ht="19.5" thickBot="1" x14ac:dyDescent="0.35">
      <c r="B119" s="29" t="s">
        <v>49</v>
      </c>
      <c r="C119" s="40">
        <f>SUM(C105:C118)</f>
        <v>91928</v>
      </c>
      <c r="D119" s="40">
        <f t="shared" ref="D119:E119" si="17">SUM(D105:D118)</f>
        <v>203043</v>
      </c>
      <c r="E119" s="40">
        <f t="shared" si="17"/>
        <v>23417605</v>
      </c>
      <c r="F119" s="31">
        <f t="shared" ref="F119" si="18">E119/C119</f>
        <v>254.73854538334348</v>
      </c>
      <c r="G119" s="17"/>
      <c r="H119" s="17"/>
      <c r="I119" s="55"/>
      <c r="J119" s="55"/>
    </row>
    <row r="120" spans="2:10" ht="19.5" thickBot="1" x14ac:dyDescent="0.35">
      <c r="B120" s="44"/>
      <c r="C120" s="45"/>
      <c r="D120" s="45"/>
      <c r="E120" s="45"/>
      <c r="F120" s="46"/>
      <c r="G120" s="17"/>
      <c r="H120" s="17"/>
      <c r="I120" s="55"/>
      <c r="J120" s="55"/>
    </row>
    <row r="121" spans="2:10" ht="19.5" thickBot="1" x14ac:dyDescent="0.35">
      <c r="B121" s="21" t="s">
        <v>109</v>
      </c>
      <c r="C121" s="42"/>
      <c r="D121" s="42"/>
      <c r="E121" s="42"/>
      <c r="F121" s="43"/>
      <c r="G121" s="17"/>
      <c r="H121" s="17"/>
      <c r="I121" s="55"/>
      <c r="J121" s="55"/>
    </row>
    <row r="122" spans="2:10" ht="18.75" x14ac:dyDescent="0.3">
      <c r="B122" s="24" t="s">
        <v>110</v>
      </c>
      <c r="C122" s="16">
        <v>1550</v>
      </c>
      <c r="D122" s="7">
        <v>3470</v>
      </c>
      <c r="E122" s="8">
        <v>403465</v>
      </c>
      <c r="F122" s="27">
        <f t="shared" ref="F122:F130" si="19">E122/C122</f>
        <v>260.3</v>
      </c>
      <c r="G122" s="17"/>
      <c r="H122" s="17"/>
      <c r="I122" s="55"/>
      <c r="J122" s="55"/>
    </row>
    <row r="123" spans="2:10" ht="18.75" x14ac:dyDescent="0.3">
      <c r="B123" s="26" t="s">
        <v>111</v>
      </c>
      <c r="C123" s="9">
        <v>4953</v>
      </c>
      <c r="D123" s="7">
        <v>10020</v>
      </c>
      <c r="E123" s="9">
        <v>1164629</v>
      </c>
      <c r="F123" s="27">
        <f t="shared" si="19"/>
        <v>235.13607914395317</v>
      </c>
      <c r="G123" s="17"/>
      <c r="H123" s="17"/>
      <c r="I123" s="55"/>
      <c r="J123" s="55"/>
    </row>
    <row r="124" spans="2:10" ht="18.75" x14ac:dyDescent="0.3">
      <c r="B124" s="26" t="s">
        <v>112</v>
      </c>
      <c r="C124" s="9">
        <v>1645</v>
      </c>
      <c r="D124" s="7">
        <v>3426</v>
      </c>
      <c r="E124" s="9">
        <v>397739</v>
      </c>
      <c r="F124" s="27">
        <f t="shared" si="19"/>
        <v>241.78662613981763</v>
      </c>
      <c r="G124" s="17"/>
      <c r="H124" s="17"/>
      <c r="I124" s="55"/>
      <c r="J124" s="55"/>
    </row>
    <row r="125" spans="2:10" ht="18.75" x14ac:dyDescent="0.3">
      <c r="B125" s="26" t="s">
        <v>113</v>
      </c>
      <c r="C125" s="9">
        <v>4870</v>
      </c>
      <c r="D125" s="7">
        <v>9600</v>
      </c>
      <c r="E125" s="9">
        <v>1128172</v>
      </c>
      <c r="F125" s="27">
        <f t="shared" si="19"/>
        <v>231.65749486652979</v>
      </c>
      <c r="G125" s="17"/>
      <c r="H125" s="17"/>
      <c r="I125" s="55"/>
      <c r="J125" s="55"/>
    </row>
    <row r="126" spans="2:10" ht="18.75" x14ac:dyDescent="0.3">
      <c r="B126" s="26" t="s">
        <v>114</v>
      </c>
      <c r="C126" s="9">
        <v>7657</v>
      </c>
      <c r="D126" s="7">
        <v>13170</v>
      </c>
      <c r="E126" s="9">
        <v>1607853</v>
      </c>
      <c r="F126" s="27">
        <f t="shared" si="19"/>
        <v>209.98471986417658</v>
      </c>
      <c r="G126" s="17"/>
      <c r="H126" s="17"/>
      <c r="I126" s="55"/>
      <c r="J126" s="55"/>
    </row>
    <row r="127" spans="2:10" ht="18.75" x14ac:dyDescent="0.3">
      <c r="B127" s="26" t="s">
        <v>115</v>
      </c>
      <c r="C127" s="9">
        <v>10727</v>
      </c>
      <c r="D127" s="7">
        <v>23156</v>
      </c>
      <c r="E127" s="9">
        <v>2709397</v>
      </c>
      <c r="F127" s="27">
        <f t="shared" si="19"/>
        <v>252.57732823715858</v>
      </c>
      <c r="G127" s="17"/>
      <c r="H127" s="17"/>
      <c r="I127" s="55"/>
      <c r="J127" s="55"/>
    </row>
    <row r="128" spans="2:10" ht="18.75" x14ac:dyDescent="0.3">
      <c r="B128" s="26" t="s">
        <v>116</v>
      </c>
      <c r="C128" s="9">
        <v>9574</v>
      </c>
      <c r="D128" s="7">
        <v>19773</v>
      </c>
      <c r="E128" s="9">
        <v>2304835</v>
      </c>
      <c r="F128" s="27">
        <f t="shared" si="19"/>
        <v>240.73898057238353</v>
      </c>
      <c r="G128" s="17"/>
      <c r="H128" s="17"/>
      <c r="I128" s="55"/>
      <c r="J128" s="55"/>
    </row>
    <row r="129" spans="2:10" ht="18.75" x14ac:dyDescent="0.3">
      <c r="B129" s="26" t="s">
        <v>117</v>
      </c>
      <c r="C129" s="9">
        <v>7242</v>
      </c>
      <c r="D129" s="7">
        <v>15918</v>
      </c>
      <c r="E129" s="9">
        <v>1865221</v>
      </c>
      <c r="F129" s="27">
        <f t="shared" si="19"/>
        <v>257.55606186136424</v>
      </c>
      <c r="G129" s="17"/>
      <c r="H129" s="17"/>
      <c r="I129" s="55"/>
      <c r="J129" s="55"/>
    </row>
    <row r="130" spans="2:10" ht="19.5" thickBot="1" x14ac:dyDescent="0.35">
      <c r="B130" s="47" t="s">
        <v>118</v>
      </c>
      <c r="C130" s="10">
        <v>14371</v>
      </c>
      <c r="D130" s="7">
        <v>27658</v>
      </c>
      <c r="E130" s="9">
        <v>3280280</v>
      </c>
      <c r="F130" s="27">
        <f t="shared" si="19"/>
        <v>228.25690626957066</v>
      </c>
      <c r="G130" s="17"/>
      <c r="H130" s="17"/>
      <c r="I130" s="55"/>
      <c r="J130" s="55"/>
    </row>
    <row r="131" spans="2:10" ht="19.5" thickBot="1" x14ac:dyDescent="0.35">
      <c r="B131" s="29" t="s">
        <v>49</v>
      </c>
      <c r="C131" s="40">
        <f>SUM(C122:C130)</f>
        <v>62589</v>
      </c>
      <c r="D131" s="40">
        <f>SUM(D122:D130)</f>
        <v>126191</v>
      </c>
      <c r="E131" s="40">
        <f>SUM(E122:E130)</f>
        <v>14861591</v>
      </c>
      <c r="F131" s="31">
        <f t="shared" ref="F131" si="20">E131/C131</f>
        <v>237.44733100065505</v>
      </c>
      <c r="G131" s="17"/>
      <c r="H131" s="17"/>
      <c r="I131" s="55"/>
      <c r="J131" s="55"/>
    </row>
    <row r="132" spans="2:10" ht="19.5" thickBot="1" x14ac:dyDescent="0.35">
      <c r="B132" s="44"/>
      <c r="C132" s="45"/>
      <c r="D132" s="45"/>
      <c r="E132" s="45"/>
      <c r="F132" s="46"/>
      <c r="G132" s="17"/>
      <c r="H132" s="17"/>
      <c r="I132" s="55"/>
      <c r="J132" s="55"/>
    </row>
    <row r="133" spans="2:10" ht="19.5" thickBot="1" x14ac:dyDescent="0.35">
      <c r="B133" s="52" t="s">
        <v>120</v>
      </c>
      <c r="C133" s="50">
        <f>SUM(C131+C119+C102+C90+C77+C68+C58+C48+C32+C16)</f>
        <v>648780</v>
      </c>
      <c r="D133" s="50">
        <f>SUM(D131+D119+D102+D90+D77+D68+D58+D48+D32+D16)</f>
        <v>1356802</v>
      </c>
      <c r="E133" s="50">
        <f>SUM(E131+E119+E102+E90+E77+E68+E58+E48+E32+E16)</f>
        <v>157018560</v>
      </c>
      <c r="F133" s="43">
        <f t="shared" ref="F133" si="21">E133/C133</f>
        <v>242.02127069268474</v>
      </c>
      <c r="G133" s="17"/>
      <c r="H133" s="17"/>
      <c r="I133" s="55"/>
      <c r="J133" s="55"/>
    </row>
    <row r="134" spans="2:10" ht="18.75" x14ac:dyDescent="0.3">
      <c r="B134" s="51"/>
      <c r="C134" s="17"/>
      <c r="D134" s="17"/>
      <c r="E134" s="17"/>
      <c r="F134" s="17"/>
      <c r="G134" s="17"/>
      <c r="H134" s="17"/>
      <c r="I134" s="53"/>
      <c r="J134" s="53"/>
    </row>
    <row r="135" spans="2:10" ht="18.75" x14ac:dyDescent="0.3">
      <c r="B135" s="51"/>
      <c r="C135" s="17"/>
      <c r="D135" s="17"/>
      <c r="E135" s="17"/>
      <c r="F135" s="17"/>
      <c r="G135" s="17"/>
      <c r="H135" s="17"/>
      <c r="I135" s="53"/>
      <c r="J135" s="53"/>
    </row>
    <row r="136" spans="2:10" ht="18.75" x14ac:dyDescent="0.3">
      <c r="B136" s="51"/>
      <c r="C136" s="17"/>
      <c r="D136" s="17"/>
      <c r="E136" s="17"/>
      <c r="F136" s="17"/>
      <c r="G136" s="17"/>
      <c r="H136" s="17"/>
      <c r="I136" s="53"/>
      <c r="J136" s="53"/>
    </row>
    <row r="137" spans="2:10" ht="18.75" x14ac:dyDescent="0.3">
      <c r="B137" s="51"/>
      <c r="C137" s="17"/>
      <c r="D137" s="17"/>
      <c r="E137" s="17"/>
      <c r="F137" s="17"/>
      <c r="G137" s="17"/>
      <c r="H137" s="17"/>
      <c r="I137" s="53"/>
      <c r="J137" s="53"/>
    </row>
    <row r="138" spans="2:10" ht="18.75" x14ac:dyDescent="0.3">
      <c r="B138" s="51"/>
      <c r="C138" s="17"/>
      <c r="D138" s="17"/>
      <c r="E138" s="17"/>
      <c r="F138" s="17"/>
      <c r="G138" s="17"/>
      <c r="H138" s="17"/>
      <c r="I138" s="53"/>
      <c r="J138" s="53"/>
    </row>
    <row r="139" spans="2:10" ht="18.75" x14ac:dyDescent="0.3">
      <c r="B139" s="51"/>
      <c r="C139" s="17"/>
      <c r="D139" s="17"/>
      <c r="E139" s="17"/>
      <c r="F139" s="17"/>
      <c r="G139" s="17"/>
      <c r="H139" s="17"/>
      <c r="I139" s="53"/>
      <c r="J139" s="53"/>
    </row>
  </sheetData>
  <mergeCells count="6">
    <mergeCell ref="I6:J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Octubre 10</vt:lpstr>
      <vt:lpstr>Noviembre 10</vt:lpstr>
      <vt:lpstr>Dec 10</vt:lpstr>
      <vt:lpstr>Ene 11</vt:lpstr>
      <vt:lpstr>Feb 11</vt:lpstr>
      <vt:lpstr>Mar 11</vt:lpstr>
      <vt:lpstr>Apr 11</vt:lpstr>
      <vt:lpstr>May 11</vt:lpstr>
      <vt:lpstr>Jun 11</vt:lpstr>
      <vt:lpstr>Jul 11</vt:lpstr>
      <vt:lpstr>Ago 11</vt:lpstr>
      <vt:lpstr>Sep 11</vt:lpstr>
      <vt:lpstr>Sheet1</vt:lpstr>
    </vt:vector>
  </TitlesOfParts>
  <Company>ADSEF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ssouchet</dc:creator>
  <cp:lastModifiedBy>Shayli Souchet Aponte</cp:lastModifiedBy>
  <dcterms:created xsi:type="dcterms:W3CDTF">2009-10-19T14:04:59Z</dcterms:created>
  <dcterms:modified xsi:type="dcterms:W3CDTF">2017-08-22T18:39:24Z</dcterms:modified>
</cp:coreProperties>
</file>