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gionscapitalinc-my.sharepoint.com/personal/benlevy_legionscapital_com/Documents/wholesale folder/"/>
    </mc:Choice>
  </mc:AlternateContent>
  <xr:revisionPtr revIDLastSave="9" documentId="8_{A894FF5F-1FD1-4476-BCD2-A2C8C0D133CB}" xr6:coauthVersionLast="47" xr6:coauthVersionMax="47" xr10:uidLastSave="{DAAB6BA4-F5DC-4579-82E5-E6DD0DB9DFDE}"/>
  <bookViews>
    <workbookView xWindow="-110" yWindow="-110" windowWidth="25820" windowHeight="15500" activeTab="2" xr2:uid="{C2E875FC-E628-4875-9976-EBA6E759E8B7}"/>
  </bookViews>
  <sheets>
    <sheet name="TERM SHEET" sheetId="4" r:id="rId1"/>
    <sheet name="DSCR Calc" sheetId="3" r:id="rId2"/>
    <sheet name="Blanket Calculator" sheetId="6" r:id="rId3"/>
    <sheet name="Sheet1" sheetId="5" state="hidden" r:id="rId4"/>
  </sheets>
  <definedNames>
    <definedName name="_xlnm.Print_Area" localSheetId="0">'TERM SHEET'!$A$1:$J$66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C41" i="3" l="1"/>
  <c r="C32" i="3"/>
  <c r="I38" i="4"/>
  <c r="I22" i="4"/>
  <c r="C39" i="3"/>
  <c r="J13" i="4"/>
  <c r="I20" i="4"/>
  <c r="J15" i="4"/>
  <c r="I14" i="4"/>
  <c r="F46" i="6" l="1"/>
  <c r="H46" i="6" s="1"/>
  <c r="L46" i="6" s="1"/>
  <c r="F45" i="6"/>
  <c r="H45" i="6" s="1"/>
  <c r="L45" i="6" s="1"/>
  <c r="Q45" i="6" s="1"/>
  <c r="F44" i="6"/>
  <c r="G44" i="6" s="1"/>
  <c r="F43" i="6"/>
  <c r="G43" i="6" s="1"/>
  <c r="F42" i="6"/>
  <c r="G42" i="6" s="1"/>
  <c r="F41" i="6"/>
  <c r="G41" i="6" s="1"/>
  <c r="F40" i="6"/>
  <c r="H40" i="6" s="1"/>
  <c r="L40" i="6" s="1"/>
  <c r="Q40" i="6" s="1"/>
  <c r="F37" i="6"/>
  <c r="H37" i="6" s="1"/>
  <c r="L37" i="6" s="1"/>
  <c r="F36" i="6"/>
  <c r="G36" i="6" s="1"/>
  <c r="F35" i="6"/>
  <c r="G35" i="6" s="1"/>
  <c r="F34" i="6"/>
  <c r="H34" i="6" s="1"/>
  <c r="L34" i="6" s="1"/>
  <c r="F33" i="6"/>
  <c r="H33" i="6" s="1"/>
  <c r="L33" i="6" s="1"/>
  <c r="F32" i="6"/>
  <c r="H32" i="6" s="1"/>
  <c r="L32" i="6" s="1"/>
  <c r="F31" i="6"/>
  <c r="G31" i="6" s="1"/>
  <c r="F30" i="6"/>
  <c r="G30" i="6" s="1"/>
  <c r="F28" i="6"/>
  <c r="H28" i="6" s="1"/>
  <c r="L28" i="6" s="1"/>
  <c r="F27" i="6"/>
  <c r="G27" i="6" s="1"/>
  <c r="F29" i="6"/>
  <c r="H29" i="6" s="1"/>
  <c r="L29" i="6" s="1"/>
  <c r="F38" i="6"/>
  <c r="H38" i="6" s="1"/>
  <c r="L38" i="6" s="1"/>
  <c r="F39" i="6"/>
  <c r="H39" i="6" s="1"/>
  <c r="L39" i="6" s="1"/>
  <c r="L44" i="6"/>
  <c r="Q44" i="6" s="1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B17" i="6"/>
  <c r="B18" i="6"/>
  <c r="B19" i="6"/>
  <c r="B20" i="6"/>
  <c r="C15" i="3"/>
  <c r="J21" i="4" s="1"/>
  <c r="J42" i="4"/>
  <c r="J44" i="4"/>
  <c r="Q28" i="6" l="1"/>
  <c r="Q46" i="6"/>
  <c r="Q39" i="6"/>
  <c r="Q38" i="6"/>
  <c r="Q29" i="6"/>
  <c r="Q32" i="6"/>
  <c r="Q37" i="6"/>
  <c r="Q33" i="6"/>
  <c r="Q34" i="6"/>
  <c r="G45" i="6"/>
  <c r="G46" i="6"/>
  <c r="G40" i="6"/>
  <c r="G37" i="6"/>
  <c r="G39" i="6"/>
  <c r="G38" i="6"/>
  <c r="H36" i="6"/>
  <c r="L36" i="6" s="1"/>
  <c r="Q36" i="6" s="1"/>
  <c r="G34" i="6"/>
  <c r="G33" i="6"/>
  <c r="B10" i="6" s="1"/>
  <c r="G29" i="6"/>
  <c r="G32" i="6"/>
  <c r="G28" i="6"/>
  <c r="H44" i="6"/>
  <c r="H43" i="6"/>
  <c r="L43" i="6" s="1"/>
  <c r="Q43" i="6" s="1"/>
  <c r="H27" i="6"/>
  <c r="L27" i="6" s="1"/>
  <c r="Q27" i="6" s="1"/>
  <c r="B15" i="6"/>
  <c r="B21" i="6"/>
  <c r="J35" i="4"/>
  <c r="J34" i="4"/>
  <c r="I12" i="4"/>
  <c r="A51" i="5" l="1"/>
  <c r="B62" i="3" s="1"/>
  <c r="A49" i="5"/>
  <c r="J17" i="4"/>
  <c r="C22" i="3"/>
  <c r="C64" i="3"/>
  <c r="C63" i="3"/>
  <c r="J41" i="4" l="1"/>
  <c r="C23" i="3"/>
  <c r="A48" i="5" s="1"/>
  <c r="C40" i="3"/>
  <c r="J30" i="4" s="1"/>
  <c r="C48" i="3"/>
  <c r="I33" i="4"/>
  <c r="I32" i="4"/>
  <c r="A50" i="5" l="1"/>
  <c r="C62" i="3" s="1"/>
  <c r="I29" i="4"/>
  <c r="J16" i="4"/>
  <c r="I19" i="4"/>
  <c r="J40" i="4" l="1"/>
  <c r="C61" i="3"/>
  <c r="I25" i="4"/>
  <c r="J4" i="4"/>
  <c r="I23" i="4" l="1"/>
  <c r="J24" i="4" l="1"/>
  <c r="C30" i="3"/>
  <c r="I26" i="4" l="1"/>
  <c r="C31" i="3"/>
  <c r="I50" i="4"/>
  <c r="I43" i="4"/>
  <c r="I51" i="4" l="1"/>
  <c r="E2" i="3"/>
  <c r="B48" i="3"/>
  <c r="C65" i="3" s="1"/>
  <c r="I47" i="4" l="1"/>
  <c r="B50" i="3"/>
  <c r="C50" i="3"/>
  <c r="C52" i="3" s="1"/>
  <c r="B47" i="4"/>
  <c r="C53" i="3" l="1"/>
  <c r="C66" i="3" s="1"/>
  <c r="I46" i="4"/>
  <c r="I48" i="4" l="1"/>
  <c r="H30" i="6"/>
  <c r="L30" i="6" s="1"/>
  <c r="Q30" i="6" s="1"/>
  <c r="H31" i="6"/>
  <c r="L31" i="6"/>
  <c r="Q31" i="6" s="1"/>
  <c r="H35" i="6"/>
  <c r="L35" i="6"/>
  <c r="Q35" i="6" s="1"/>
  <c r="H41" i="6"/>
  <c r="L41" i="6"/>
  <c r="Q41" i="6" s="1"/>
  <c r="H42" i="6"/>
  <c r="L42" i="6" s="1"/>
  <c r="Q42" i="6" s="1"/>
  <c r="B11" i="6"/>
  <c r="B12" i="6" s="1"/>
  <c r="B16" i="6" s="1"/>
  <c r="B22" i="6" s="1"/>
  <c r="B23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4646ED-2E54-4722-B369-3D5C903E4579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<sst xmlns="http://schemas.openxmlformats.org/spreadsheetml/2006/main" count="209" uniqueCount="140">
  <si>
    <t xml:space="preserve">                    DSCR-TERM SHEET</t>
  </si>
  <si>
    <r>
      <t xml:space="preserve">Based on our Preliminary Review of the information that you have provided to us, you have been PREQUALIFIED for a business purpose residential mortgage loan with </t>
    </r>
    <r>
      <rPr>
        <b/>
        <i/>
        <sz val="9"/>
        <color theme="2" tint="-0.499984740745262"/>
        <rFont val="Century Gothic"/>
        <family val="2"/>
      </rPr>
      <t>[Broker Name]</t>
    </r>
    <r>
      <rPr>
        <i/>
        <sz val="9"/>
        <color theme="2" tint="-0.499984740745262"/>
        <rFont val="Century Gothic"/>
        <family val="2"/>
      </rPr>
      <t>. The terms of your prequalification are described below:</t>
    </r>
  </si>
  <si>
    <t>Date:</t>
  </si>
  <si>
    <t>Loan Details</t>
  </si>
  <si>
    <t>Value</t>
  </si>
  <si>
    <t xml:space="preserve">Borrower Name </t>
  </si>
  <si>
    <t>Address</t>
  </si>
  <si>
    <t>Transaction Type</t>
  </si>
  <si>
    <t>Property Type</t>
  </si>
  <si>
    <t>FICO</t>
  </si>
  <si>
    <t>Estimated COE Date</t>
  </si>
  <si>
    <t xml:space="preserve">Loan Term </t>
  </si>
  <si>
    <t>30 years</t>
  </si>
  <si>
    <t>LTV % (Loan to value)</t>
  </si>
  <si>
    <t>Interest Rate %</t>
  </si>
  <si>
    <t>Property Value</t>
  </si>
  <si>
    <t>Loan Amount $</t>
  </si>
  <si>
    <t>Estimated P&amp;I Payment</t>
  </si>
  <si>
    <t>Monthly Taxes/ins/HOA PMT</t>
  </si>
  <si>
    <t>Interest Only Payment</t>
  </si>
  <si>
    <t>Estimated PITIA Payment</t>
  </si>
  <si>
    <t>Lender Cost</t>
  </si>
  <si>
    <t>Buy down Fee</t>
  </si>
  <si>
    <t xml:space="preserve">Broker Fee </t>
  </si>
  <si>
    <t>Broker Processing Fee</t>
  </si>
  <si>
    <t>Underwriting Fee</t>
  </si>
  <si>
    <t>Processing Fee</t>
  </si>
  <si>
    <t>Doc prep Fee</t>
  </si>
  <si>
    <t>Pre-Payment Penalty</t>
  </si>
  <si>
    <t>Non-Lender Cost</t>
  </si>
  <si>
    <t>3rd-party non Lender Fees (ESTIMATED)</t>
  </si>
  <si>
    <t>Estimated Appraisal Fee</t>
  </si>
  <si>
    <t>Market</t>
  </si>
  <si>
    <t>Prepaid amount</t>
  </si>
  <si>
    <t>Escrows</t>
  </si>
  <si>
    <t>Earenest Money Deposit</t>
  </si>
  <si>
    <t xml:space="preserve">Down Payment </t>
  </si>
  <si>
    <t>Total payoff amount</t>
  </si>
  <si>
    <t xml:space="preserve">Lender Required Reserves </t>
  </si>
  <si>
    <t>Total Assets to Verify</t>
  </si>
  <si>
    <t>Property Cash Flow</t>
  </si>
  <si>
    <t xml:space="preserve">DSCR </t>
  </si>
  <si>
    <t>Property Application:</t>
  </si>
  <si>
    <t>All property loans require submission of a Property Application and the satisfaction of any specific property related conditions. Property Level Rate/LTV adjustments may apply.</t>
  </si>
  <si>
    <r>
      <t>Please note that this Prequalification Letter is intended for your information only and does not constitute a loan commitment, guarantee of financing or a commitment to the interest rate(s) or any of the loan terms described above. This Prequalification Letter is subject to a satisfactory appraisal, title, verification of all the information that you provided to us, and satisfying our credit, asset, liability and other underwriting guidelines and requirements, among other things.</t>
    </r>
    <r>
      <rPr>
        <b/>
        <sz val="11"/>
        <color theme="1" tint="0.249977111117893"/>
        <rFont val="Century Gothic"/>
        <family val="2"/>
      </rPr>
      <t>**Please note impounds are not included on this sheet**</t>
    </r>
  </si>
  <si>
    <r>
      <t xml:space="preserve">This Prequalification Letter was issued in good faith by the representative of </t>
    </r>
    <r>
      <rPr>
        <b/>
        <sz val="11"/>
        <color theme="1"/>
        <rFont val="Calibri"/>
        <family val="2"/>
        <scheme val="minor"/>
      </rPr>
      <t>[Broker Name]</t>
    </r>
    <r>
      <rPr>
        <sz val="11"/>
        <color theme="1"/>
        <rFont val="Calibri"/>
        <family val="2"/>
        <scheme val="minor"/>
      </rPr>
      <t xml:space="preserve"> identified below and is not intended to bind </t>
    </r>
    <r>
      <rPr>
        <b/>
        <sz val="11"/>
        <color theme="1"/>
        <rFont val="Calibri"/>
        <family val="2"/>
        <scheme val="minor"/>
      </rPr>
      <t>[Broker Name]</t>
    </r>
    <r>
      <rPr>
        <sz val="11"/>
        <color rgb="FF00FF00"/>
        <rFont val="Calibri"/>
        <family val="2"/>
        <scheme val="minor"/>
      </rPr>
      <t xml:space="preserve">
</t>
    </r>
    <r>
      <rPr>
        <b/>
        <sz val="11"/>
        <color rgb="FFFF9900"/>
        <rFont val="Calibri"/>
        <family val="2"/>
        <scheme val="minor"/>
      </rPr>
      <t>PLEASE READ: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All Rates will not be locked until appraisal is completed and final terms are generated </t>
    </r>
  </si>
  <si>
    <t>Customer Signature : _______________________________________________</t>
  </si>
  <si>
    <t>Date: _________________</t>
  </si>
  <si>
    <t>DSCR CALCULATOR</t>
  </si>
  <si>
    <t>Assumptions</t>
  </si>
  <si>
    <t xml:space="preserve">First Name </t>
  </si>
  <si>
    <t xml:space="preserve">Last Name </t>
  </si>
  <si>
    <t xml:space="preserve">Entity name </t>
  </si>
  <si>
    <t>Estimated COE date</t>
  </si>
  <si>
    <t>Property Address</t>
  </si>
  <si>
    <t>123 alphabet ave</t>
  </si>
  <si>
    <t>Purchase</t>
  </si>
  <si>
    <t xml:space="preserve">Property Type </t>
  </si>
  <si>
    <t>SFR(A)</t>
  </si>
  <si>
    <t xml:space="preserve"># of Months property owned for </t>
  </si>
  <si>
    <t>Purchase price</t>
  </si>
  <si>
    <t xml:space="preserve">Current Value </t>
  </si>
  <si>
    <t xml:space="preserve">Final Value </t>
  </si>
  <si>
    <t>Loan Amount</t>
  </si>
  <si>
    <t>Interest Only Loan?</t>
  </si>
  <si>
    <t>NO</t>
  </si>
  <si>
    <t>Rate Coupon</t>
  </si>
  <si>
    <t>Monthly Gross Rent(1007)</t>
  </si>
  <si>
    <t xml:space="preserve">Current lease if Applicable </t>
  </si>
  <si>
    <t xml:space="preserve">Final Gross Monthly Rent </t>
  </si>
  <si>
    <t xml:space="preserve">Monthly P&amp;I Payments </t>
  </si>
  <si>
    <t xml:space="preserve">Annual Property TAX </t>
  </si>
  <si>
    <t xml:space="preserve">Annual Property Insurance </t>
  </si>
  <si>
    <t>Annual Flood insurance</t>
  </si>
  <si>
    <t>Annual HOA</t>
  </si>
  <si>
    <t xml:space="preserve">Final PITIA </t>
  </si>
  <si>
    <t>Final DSCR</t>
  </si>
  <si>
    <t>Rate Buydown Points %</t>
  </si>
  <si>
    <t>Broker fee %</t>
  </si>
  <si>
    <t>3rd Party Non-Lender Fees (ESTIMATED)</t>
  </si>
  <si>
    <t>Rate Buydown Points ($)</t>
  </si>
  <si>
    <t>Broker Fee ($)</t>
  </si>
  <si>
    <t>3rd-party Non-Lender Fees (ESTIMATED)</t>
  </si>
  <si>
    <t>Broker Processing Fee ($)</t>
  </si>
  <si>
    <t>Doc Prep Fee</t>
  </si>
  <si>
    <t xml:space="preserve">Total on payoff statement </t>
  </si>
  <si>
    <t xml:space="preserve">Earnest Money Deposit </t>
  </si>
  <si>
    <t>Prepayment Penalty</t>
  </si>
  <si>
    <t>5 year prepay</t>
  </si>
  <si>
    <t>Number of MTG on CBR</t>
  </si>
  <si>
    <t>3 months added for all mortgage report max of 18 mo reserve total</t>
  </si>
  <si>
    <t xml:space="preserve">Reserves Required </t>
  </si>
  <si>
    <t>&lt; Enter Liens or Judgements Here&gt;</t>
  </si>
  <si>
    <t>Prepaids</t>
  </si>
  <si>
    <t>6 month Insurance escrow</t>
  </si>
  <si>
    <t>6 month Tax Escrow</t>
  </si>
  <si>
    <t xml:space="preserve">Cash to Close </t>
  </si>
  <si>
    <t xml:space="preserve">Total Assets to Verify </t>
  </si>
  <si>
    <t>Desired LTV (%)(Purchase Only)</t>
  </si>
  <si>
    <t>Cross Collat LTV(%)(Refi only)</t>
  </si>
  <si>
    <t>Total Mo. Gross Rent</t>
  </si>
  <si>
    <t>Total P&amp;I Payment</t>
  </si>
  <si>
    <t>Total Mo. Property Tax</t>
  </si>
  <si>
    <t>Total Mo. Property insurance</t>
  </si>
  <si>
    <t>Total Mo. Flood Insurance</t>
  </si>
  <si>
    <t>Total Mo. HOA</t>
  </si>
  <si>
    <t>Purchase Price</t>
  </si>
  <si>
    <t>Current Value</t>
  </si>
  <si>
    <t>Currently owe (Refi only)</t>
  </si>
  <si>
    <t>Total Final value</t>
  </si>
  <si>
    <t>Owed LTV(Refi Only)</t>
  </si>
  <si>
    <t xml:space="preserve">Loan Amount </t>
  </si>
  <si>
    <t>Mo. Gross Rent(1007)</t>
  </si>
  <si>
    <t>Mo. Curent Lease</t>
  </si>
  <si>
    <t xml:space="preserve">Final Gross Monthly Rent  </t>
  </si>
  <si>
    <t>Monthly P&amp;I</t>
  </si>
  <si>
    <t>Mo. Property tax</t>
  </si>
  <si>
    <t>Mo. Property insurance</t>
  </si>
  <si>
    <t>Mo. Flood insurance</t>
  </si>
  <si>
    <t>Mo. HOA</t>
  </si>
  <si>
    <t xml:space="preserve"> Indivual DSCR</t>
  </si>
  <si>
    <t xml:space="preserve"># Of Months property was owned for </t>
  </si>
  <si>
    <t>12+</t>
  </si>
  <si>
    <t>YES</t>
  </si>
  <si>
    <t xml:space="preserve">Rate &amp; Term </t>
  </si>
  <si>
    <t xml:space="preserve">Cashout </t>
  </si>
  <si>
    <t>SFR(D)</t>
  </si>
  <si>
    <t>Condominium (Warrantable)</t>
  </si>
  <si>
    <t>Condominium (Non-Warrantable)</t>
  </si>
  <si>
    <t xml:space="preserve">2-4 units </t>
  </si>
  <si>
    <t xml:space="preserve">5-8 Units </t>
  </si>
  <si>
    <t>2-8 Mixed used</t>
  </si>
  <si>
    <t xml:space="preserve">Commercial </t>
  </si>
  <si>
    <t xml:space="preserve">5 Year Prepay </t>
  </si>
  <si>
    <t>4 Year Prepay</t>
  </si>
  <si>
    <t>3 Year Prepay</t>
  </si>
  <si>
    <t>2 Year Prepay</t>
  </si>
  <si>
    <t>1 Year Prepay</t>
  </si>
  <si>
    <t>No Prepay</t>
  </si>
  <si>
    <t>prhjhjkhkjkjhj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</si>
</sst>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1"/>
      <color theme="1"/>
      <name val="Century Gothic"/>
      <family val="2"/>
    </font>
    <font>
      <b/>
      <sz val="11"/>
      <color rgb="FF002060"/>
      <name val="Century Gothic"/>
      <family val="2"/>
    </font>
    <font>
      <sz val="9"/>
      <color theme="1"/>
      <name val="Century Gothic"/>
      <family val="2"/>
    </font>
    <font>
      <sz val="11"/>
      <name val="Century Gothic"/>
      <family val="2"/>
    </font>
    <font>
      <b/>
      <sz val="12"/>
      <color rgb="FF002060"/>
      <name val="Century Gothic"/>
      <family val="2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i/>
      <sz val="9"/>
      <color theme="1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b/>
      <sz val="10"/>
      <color theme="6"/>
      <name val="Calibri"/>
      <family val="1"/>
      <scheme val="minor"/>
    </font>
    <font>
      <b/>
      <sz val="10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sz val="12"/>
      <color theme="1" tint="0.249977111117893"/>
      <name val="Century Gothic"/>
      <family val="2"/>
    </font>
    <font>
      <sz val="12"/>
      <color theme="1"/>
      <name val="Century Gothic"/>
      <family val="2"/>
    </font>
    <font>
      <sz val="12"/>
      <color theme="1" tint="0.14999847407452621"/>
      <name val="Century Gothic"/>
      <family val="2"/>
    </font>
    <font>
      <i/>
      <sz val="12"/>
      <color rgb="FF000000"/>
      <name val="Century Gothic"/>
      <family val="2"/>
    </font>
    <font>
      <sz val="11"/>
      <color theme="1" tint="0.249977111117893"/>
      <name val="Century Gothic"/>
      <family val="2"/>
    </font>
    <font>
      <b/>
      <sz val="12"/>
      <color theme="0"/>
      <name val="Century Gothic"/>
      <family val="2"/>
    </font>
    <font>
      <sz val="12"/>
      <color theme="0"/>
      <name val="Century Gothic"/>
      <family val="2"/>
    </font>
    <font>
      <i/>
      <sz val="9"/>
      <color theme="2" tint="-0.499984740745262"/>
      <name val="Century Gothic"/>
      <family val="2"/>
    </font>
    <font>
      <b/>
      <sz val="14"/>
      <color theme="0"/>
      <name val="Century Gothic"/>
      <family val="2"/>
    </font>
    <font>
      <i/>
      <sz val="11"/>
      <color theme="0"/>
      <name val="Century Gothic"/>
      <family val="2"/>
    </font>
    <font>
      <sz val="11"/>
      <color rgb="FFFF0000"/>
      <name val="Calibri"/>
      <family val="2"/>
      <scheme val="minor"/>
    </font>
    <font>
      <sz val="11"/>
      <color rgb="FF00FF00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color theme="1" tint="0.249977111117893"/>
      <name val="Century Gothic"/>
      <family val="2"/>
    </font>
    <font>
      <b/>
      <i/>
      <sz val="9"/>
      <color theme="2" tint="-0.499984740745262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 style="medium">
        <color theme="1"/>
      </right>
      <top style="medium">
        <color theme="1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 style="thin">
        <color theme="0" tint="-0.249977111117893"/>
      </top>
      <bottom style="medium">
        <color theme="1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theme="0" tint="-0.249977111117893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20" fillId="0" borderId="0">
      <alignment horizontal="right"/>
    </xf>
  </cellStyleXfs>
  <cellXfs count="224">
    <xf numFmtId="0" fontId="0" fillId="0" borderId="0" xfId="0"/>
    <xf numFmtId="0" fontId="2" fillId="0" borderId="0" xfId="0" applyFont="1"/>
    <xf numFmtId="0" fontId="4" fillId="3" borderId="5" xfId="0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right"/>
      <protection locked="0"/>
    </xf>
    <xf numFmtId="0" fontId="5" fillId="4" borderId="6" xfId="0" applyFont="1" applyFill="1" applyBorder="1" applyAlignment="1" applyProtection="1">
      <alignment horizontal="right"/>
      <protection locked="0"/>
    </xf>
    <xf numFmtId="8" fontId="4" fillId="3" borderId="6" xfId="2" applyNumberFormat="1" applyFont="1" applyFill="1" applyBorder="1" applyAlignment="1" applyProtection="1">
      <alignment horizontal="right"/>
      <protection locked="0"/>
    </xf>
    <xf numFmtId="0" fontId="4" fillId="3" borderId="7" xfId="0" applyFont="1" applyFill="1" applyBorder="1" applyProtection="1">
      <protection locked="0"/>
    </xf>
    <xf numFmtId="8" fontId="4" fillId="3" borderId="8" xfId="2" applyNumberFormat="1" applyFont="1" applyFill="1" applyBorder="1" applyAlignment="1" applyProtection="1">
      <alignment horizontal="right"/>
      <protection locked="0"/>
    </xf>
    <xf numFmtId="0" fontId="6" fillId="5" borderId="9" xfId="0" applyFont="1" applyFill="1" applyBorder="1" applyProtection="1">
      <protection locked="0"/>
    </xf>
    <xf numFmtId="8" fontId="7" fillId="5" borderId="10" xfId="2" applyNumberFormat="1" applyFont="1" applyFill="1" applyBorder="1" applyAlignment="1">
      <alignment horizontal="right"/>
    </xf>
    <xf numFmtId="0" fontId="6" fillId="0" borderId="0" xfId="0" applyFont="1" applyProtection="1">
      <protection locked="0"/>
    </xf>
    <xf numFmtId="8" fontId="7" fillId="0" borderId="0" xfId="2" applyNumberFormat="1" applyFont="1" applyFill="1" applyBorder="1" applyAlignment="1" applyProtection="1">
      <alignment horizontal="right"/>
    </xf>
    <xf numFmtId="0" fontId="4" fillId="3" borderId="11" xfId="0" applyFont="1" applyFill="1" applyBorder="1" applyProtection="1">
      <protection locked="0"/>
    </xf>
    <xf numFmtId="0" fontId="8" fillId="4" borderId="6" xfId="0" applyFont="1" applyFill="1" applyBorder="1" applyAlignment="1" applyProtection="1">
      <alignment horizontal="right"/>
      <protection locked="0"/>
    </xf>
    <xf numFmtId="164" fontId="4" fillId="3" borderId="6" xfId="3" applyNumberFormat="1" applyFont="1" applyFill="1" applyBorder="1" applyAlignment="1" applyProtection="1">
      <alignment horizontal="right"/>
      <protection locked="0"/>
    </xf>
    <xf numFmtId="0" fontId="6" fillId="5" borderId="1" xfId="0" applyFont="1" applyFill="1" applyBorder="1" applyProtection="1">
      <protection locked="0"/>
    </xf>
    <xf numFmtId="0" fontId="4" fillId="0" borderId="0" xfId="0" applyFont="1"/>
    <xf numFmtId="0" fontId="4" fillId="0" borderId="11" xfId="0" applyFont="1" applyBorder="1" applyProtection="1">
      <protection locked="0"/>
    </xf>
    <xf numFmtId="8" fontId="4" fillId="0" borderId="12" xfId="2" applyNumberFormat="1" applyFont="1" applyBorder="1" applyAlignment="1" applyProtection="1">
      <alignment horizontal="right"/>
      <protection locked="0"/>
    </xf>
    <xf numFmtId="0" fontId="4" fillId="0" borderId="5" xfId="0" applyFont="1" applyBorder="1" applyProtection="1">
      <protection locked="0"/>
    </xf>
    <xf numFmtId="8" fontId="4" fillId="0" borderId="6" xfId="2" applyNumberFormat="1" applyFont="1" applyBorder="1" applyAlignment="1" applyProtection="1">
      <alignment horizontal="right"/>
      <protection locked="0"/>
    </xf>
    <xf numFmtId="8" fontId="4" fillId="0" borderId="6" xfId="0" applyNumberFormat="1" applyFont="1" applyBorder="1" applyAlignment="1" applyProtection="1">
      <alignment horizontal="right"/>
      <protection locked="0"/>
    </xf>
    <xf numFmtId="0" fontId="6" fillId="5" borderId="5" xfId="0" applyFont="1" applyFill="1" applyBorder="1" applyProtection="1">
      <protection locked="0"/>
    </xf>
    <xf numFmtId="8" fontId="6" fillId="5" borderId="6" xfId="2" applyNumberFormat="1" applyFont="1" applyFill="1" applyBorder="1" applyAlignment="1">
      <alignment horizontal="right"/>
    </xf>
    <xf numFmtId="43" fontId="9" fillId="6" borderId="6" xfId="1" applyFont="1" applyFill="1" applyBorder="1" applyAlignment="1">
      <alignment horizontal="right"/>
    </xf>
    <xf numFmtId="0" fontId="4" fillId="0" borderId="0" xfId="0" applyFont="1" applyProtection="1">
      <protection locked="0"/>
    </xf>
    <xf numFmtId="8" fontId="4" fillId="0" borderId="6" xfId="2" applyNumberFormat="1" applyFont="1" applyFill="1" applyBorder="1" applyAlignment="1" applyProtection="1">
      <alignment horizontal="right"/>
      <protection locked="0"/>
    </xf>
    <xf numFmtId="8" fontId="4" fillId="4" borderId="6" xfId="0" applyNumberFormat="1" applyFont="1" applyFill="1" applyBorder="1" applyAlignment="1" applyProtection="1">
      <alignment horizontal="right"/>
      <protection locked="0"/>
    </xf>
    <xf numFmtId="0" fontId="10" fillId="0" borderId="5" xfId="0" applyFont="1" applyBorder="1" applyProtection="1">
      <protection locked="0"/>
    </xf>
    <xf numFmtId="44" fontId="4" fillId="0" borderId="6" xfId="2" applyFont="1" applyFill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11" fillId="7" borderId="2" xfId="0" applyFont="1" applyFill="1" applyBorder="1" applyAlignment="1">
      <alignment horizontal="right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13" xfId="0" applyFont="1" applyBorder="1"/>
    <xf numFmtId="0" fontId="14" fillId="0" borderId="13" xfId="0" applyFont="1" applyBorder="1"/>
    <xf numFmtId="0" fontId="3" fillId="0" borderId="0" xfId="0" applyFont="1"/>
    <xf numFmtId="0" fontId="16" fillId="0" borderId="0" xfId="0" applyFont="1" applyAlignment="1">
      <alignment horizontal="center"/>
    </xf>
    <xf numFmtId="0" fontId="0" fillId="3" borderId="0" xfId="0" applyFill="1"/>
    <xf numFmtId="0" fontId="18" fillId="0" borderId="13" xfId="0" applyFont="1" applyBorder="1"/>
    <xf numFmtId="0" fontId="19" fillId="0" borderId="13" xfId="0" applyFont="1" applyBorder="1"/>
    <xf numFmtId="0" fontId="17" fillId="0" borderId="14" xfId="0" applyFont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22" fillId="0" borderId="13" xfId="0" applyFont="1" applyBorder="1"/>
    <xf numFmtId="0" fontId="24" fillId="0" borderId="0" xfId="0" applyFont="1"/>
    <xf numFmtId="0" fontId="25" fillId="9" borderId="0" xfId="4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0" fontId="25" fillId="9" borderId="18" xfId="4" applyFont="1" applyFill="1" applyBorder="1" applyAlignment="1">
      <alignment vertical="center" wrapText="1"/>
    </xf>
    <xf numFmtId="0" fontId="25" fillId="9" borderId="15" xfId="4" applyFont="1" applyFill="1" applyBorder="1" applyAlignment="1">
      <alignment vertical="center"/>
    </xf>
    <xf numFmtId="0" fontId="25" fillId="3" borderId="15" xfId="0" applyFont="1" applyFill="1" applyBorder="1" applyAlignment="1">
      <alignment vertical="center"/>
    </xf>
    <xf numFmtId="0" fontId="25" fillId="9" borderId="0" xfId="4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/>
    </xf>
    <xf numFmtId="0" fontId="28" fillId="10" borderId="15" xfId="0" applyFont="1" applyFill="1" applyBorder="1" applyAlignment="1">
      <alignment vertical="center"/>
    </xf>
    <xf numFmtId="0" fontId="29" fillId="10" borderId="1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3" fillId="0" borderId="16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17" xfId="0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5" fillId="8" borderId="20" xfId="4" applyFont="1" applyFill="1" applyBorder="1" applyAlignment="1">
      <alignment horizontal="left" vertical="center" wrapText="1"/>
    </xf>
    <xf numFmtId="0" fontId="25" fillId="8" borderId="21" xfId="4" applyFont="1" applyFill="1" applyBorder="1" applyAlignment="1">
      <alignment horizontal="center" vertical="center" wrapText="1"/>
    </xf>
    <xf numFmtId="0" fontId="25" fillId="9" borderId="23" xfId="4" applyFont="1" applyFill="1" applyBorder="1" applyAlignment="1">
      <alignment vertical="center"/>
    </xf>
    <xf numFmtId="0" fontId="25" fillId="9" borderId="24" xfId="4" applyFont="1" applyFill="1" applyBorder="1" applyAlignment="1">
      <alignment vertical="center"/>
    </xf>
    <xf numFmtId="0" fontId="25" fillId="3" borderId="24" xfId="0" applyFont="1" applyFill="1" applyBorder="1" applyAlignment="1">
      <alignment vertical="center"/>
    </xf>
    <xf numFmtId="0" fontId="25" fillId="8" borderId="23" xfId="4" applyFont="1" applyFill="1" applyBorder="1" applyAlignment="1">
      <alignment vertical="center"/>
    </xf>
    <xf numFmtId="0" fontId="25" fillId="8" borderId="24" xfId="4" applyFont="1" applyFill="1" applyBorder="1" applyAlignment="1">
      <alignment vertical="center"/>
    </xf>
    <xf numFmtId="0" fontId="25" fillId="8" borderId="24" xfId="0" applyFont="1" applyFill="1" applyBorder="1" applyAlignment="1">
      <alignment vertical="center"/>
    </xf>
    <xf numFmtId="0" fontId="25" fillId="9" borderId="23" xfId="4" applyFont="1" applyFill="1" applyBorder="1" applyAlignment="1">
      <alignment vertical="center" wrapText="1"/>
    </xf>
    <xf numFmtId="0" fontId="25" fillId="8" borderId="23" xfId="4" applyFont="1" applyFill="1" applyBorder="1" applyAlignment="1">
      <alignment vertical="center" wrapText="1"/>
    </xf>
    <xf numFmtId="0" fontId="25" fillId="9" borderId="20" xfId="4" applyFont="1" applyFill="1" applyBorder="1" applyAlignment="1">
      <alignment horizontal="left" vertical="center" wrapText="1"/>
    </xf>
    <xf numFmtId="0" fontId="25" fillId="3" borderId="21" xfId="0" applyFont="1" applyFill="1" applyBorder="1" applyAlignment="1">
      <alignment vertical="center"/>
    </xf>
    <xf numFmtId="0" fontId="25" fillId="8" borderId="23" xfId="0" applyFont="1" applyFill="1" applyBorder="1" applyAlignment="1">
      <alignment vertical="center"/>
    </xf>
    <xf numFmtId="0" fontId="25" fillId="3" borderId="23" xfId="0" applyFont="1" applyFill="1" applyBorder="1" applyAlignment="1">
      <alignment vertical="center"/>
    </xf>
    <xf numFmtId="14" fontId="16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8" fillId="6" borderId="32" xfId="0" applyFont="1" applyFill="1" applyBorder="1"/>
    <xf numFmtId="0" fontId="0" fillId="0" borderId="0" xfId="0" applyAlignment="1">
      <alignment horizontal="left" indent="4"/>
    </xf>
    <xf numFmtId="10" fontId="4" fillId="0" borderId="6" xfId="3" applyNumberFormat="1" applyFont="1" applyFill="1" applyBorder="1" applyAlignment="1" applyProtection="1">
      <alignment horizontal="right"/>
      <protection locked="0"/>
    </xf>
    <xf numFmtId="0" fontId="8" fillId="12" borderId="34" xfId="0" applyFont="1" applyFill="1" applyBorder="1" applyProtection="1">
      <protection locked="0"/>
    </xf>
    <xf numFmtId="0" fontId="8" fillId="12" borderId="5" xfId="0" applyFont="1" applyFill="1" applyBorder="1" applyProtection="1">
      <protection locked="0"/>
    </xf>
    <xf numFmtId="0" fontId="8" fillId="6" borderId="39" xfId="0" applyFont="1" applyFill="1" applyBorder="1"/>
    <xf numFmtId="0" fontId="4" fillId="12" borderId="38" xfId="0" applyFont="1" applyFill="1" applyBorder="1" applyProtection="1">
      <protection locked="0"/>
    </xf>
    <xf numFmtId="164" fontId="4" fillId="0" borderId="12" xfId="3" applyNumberFormat="1" applyFont="1" applyFill="1" applyBorder="1" applyAlignment="1" applyProtection="1">
      <alignment horizontal="right"/>
      <protection locked="0"/>
    </xf>
    <xf numFmtId="8" fontId="0" fillId="0" borderId="0" xfId="0" applyNumberFormat="1"/>
    <xf numFmtId="14" fontId="0" fillId="0" borderId="0" xfId="0" applyNumberFormat="1"/>
    <xf numFmtId="43" fontId="4" fillId="12" borderId="38" xfId="0" applyNumberFormat="1" applyFont="1" applyFill="1" applyBorder="1" applyAlignment="1" applyProtection="1">
      <alignment horizontal="left"/>
      <protection locked="0"/>
    </xf>
    <xf numFmtId="14" fontId="4" fillId="3" borderId="6" xfId="0" applyNumberFormat="1" applyFont="1" applyFill="1" applyBorder="1" applyAlignment="1" applyProtection="1">
      <alignment horizontal="right"/>
      <protection locked="0"/>
    </xf>
    <xf numFmtId="43" fontId="0" fillId="0" borderId="0" xfId="1" quotePrefix="1" applyFont="1"/>
    <xf numFmtId="0" fontId="0" fillId="0" borderId="0" xfId="0" applyAlignment="1">
      <alignment wrapText="1"/>
    </xf>
    <xf numFmtId="0" fontId="25" fillId="8" borderId="41" xfId="0" applyFont="1" applyFill="1" applyBorder="1" applyAlignment="1">
      <alignment vertical="center"/>
    </xf>
    <xf numFmtId="0" fontId="25" fillId="8" borderId="42" xfId="0" applyFont="1" applyFill="1" applyBorder="1" applyAlignment="1">
      <alignment vertical="center"/>
    </xf>
    <xf numFmtId="0" fontId="6" fillId="5" borderId="38" xfId="0" applyFont="1" applyFill="1" applyBorder="1" applyProtection="1">
      <protection locked="0"/>
    </xf>
    <xf numFmtId="0" fontId="0" fillId="0" borderId="38" xfId="0" applyBorder="1"/>
    <xf numFmtId="10" fontId="4" fillId="3" borderId="6" xfId="3" applyNumberFormat="1" applyFont="1" applyFill="1" applyBorder="1" applyAlignment="1" applyProtection="1">
      <alignment horizontal="right"/>
      <protection locked="0"/>
    </xf>
    <xf numFmtId="8" fontId="0" fillId="0" borderId="38" xfId="2" applyNumberFormat="1" applyFont="1" applyBorder="1"/>
    <xf numFmtId="8" fontId="0" fillId="12" borderId="38" xfId="2" applyNumberFormat="1" applyFont="1" applyFill="1" applyBorder="1"/>
    <xf numFmtId="0" fontId="4" fillId="0" borderId="34" xfId="0" applyFont="1" applyBorder="1" applyProtection="1">
      <protection locked="0"/>
    </xf>
    <xf numFmtId="10" fontId="4" fillId="0" borderId="35" xfId="3" applyNumberFormat="1" applyFont="1" applyFill="1" applyBorder="1" applyAlignment="1" applyProtection="1">
      <alignment horizontal="right"/>
      <protection locked="0"/>
    </xf>
    <xf numFmtId="0" fontId="5" fillId="4" borderId="38" xfId="0" applyFont="1" applyFill="1" applyBorder="1" applyAlignment="1" applyProtection="1">
      <alignment horizontal="right"/>
      <protection locked="0"/>
    </xf>
    <xf numFmtId="0" fontId="8" fillId="12" borderId="11" xfId="0" applyFont="1" applyFill="1" applyBorder="1" applyProtection="1">
      <protection locked="0"/>
    </xf>
    <xf numFmtId="44" fontId="8" fillId="12" borderId="12" xfId="2" applyFont="1" applyFill="1" applyBorder="1" applyAlignment="1" applyProtection="1">
      <alignment horizontal="right"/>
    </xf>
    <xf numFmtId="8" fontId="2" fillId="12" borderId="45" xfId="0" applyNumberFormat="1" applyFont="1" applyFill="1" applyBorder="1"/>
    <xf numFmtId="8" fontId="8" fillId="12" borderId="6" xfId="2" applyNumberFormat="1" applyFont="1" applyFill="1" applyBorder="1" applyAlignment="1" applyProtection="1">
      <alignment horizontal="right"/>
    </xf>
    <xf numFmtId="10" fontId="4" fillId="3" borderId="44" xfId="3" applyNumberFormat="1" applyFont="1" applyFill="1" applyBorder="1" applyAlignment="1" applyProtection="1">
      <alignment horizontal="right"/>
    </xf>
    <xf numFmtId="0" fontId="0" fillId="12" borderId="38" xfId="0" applyFill="1" applyBorder="1" applyAlignment="1">
      <alignment horizontal="center"/>
    </xf>
    <xf numFmtId="0" fontId="6" fillId="5" borderId="38" xfId="0" applyFont="1" applyFill="1" applyBorder="1" applyAlignment="1" applyProtection="1">
      <alignment horizontal="center"/>
      <protection locked="0"/>
    </xf>
    <xf numFmtId="9" fontId="0" fillId="12" borderId="38" xfId="3" applyFont="1" applyFill="1" applyBorder="1" applyAlignment="1">
      <alignment horizontal="center"/>
    </xf>
    <xf numFmtId="0" fontId="28" fillId="13" borderId="29" xfId="4" applyFont="1" applyFill="1" applyBorder="1" applyAlignment="1">
      <alignment horizontal="left" vertical="center" wrapText="1"/>
    </xf>
    <xf numFmtId="0" fontId="29" fillId="13" borderId="30" xfId="4" applyFont="1" applyFill="1" applyBorder="1" applyAlignment="1">
      <alignment horizontal="center" vertical="center" wrapText="1"/>
    </xf>
    <xf numFmtId="0" fontId="31" fillId="13" borderId="20" xfId="0" applyFont="1" applyFill="1" applyBorder="1" applyAlignment="1">
      <alignment vertical="center"/>
    </xf>
    <xf numFmtId="0" fontId="28" fillId="13" borderId="21" xfId="0" applyFont="1" applyFill="1" applyBorder="1" applyAlignment="1">
      <alignment vertical="center"/>
    </xf>
    <xf numFmtId="0" fontId="29" fillId="13" borderId="21" xfId="0" applyFont="1" applyFill="1" applyBorder="1" applyAlignment="1">
      <alignment vertical="center"/>
    </xf>
    <xf numFmtId="0" fontId="31" fillId="14" borderId="26" xfId="0" applyFont="1" applyFill="1" applyBorder="1" applyAlignment="1">
      <alignment vertical="center"/>
    </xf>
    <xf numFmtId="0" fontId="28" fillId="14" borderId="27" xfId="0" applyFont="1" applyFill="1" applyBorder="1" applyAlignment="1">
      <alignment vertical="center"/>
    </xf>
    <xf numFmtId="0" fontId="31" fillId="14" borderId="20" xfId="0" applyFont="1" applyFill="1" applyBorder="1" applyAlignment="1">
      <alignment vertical="center"/>
    </xf>
    <xf numFmtId="0" fontId="28" fillId="14" borderId="21" xfId="0" applyFont="1" applyFill="1" applyBorder="1" applyAlignment="1">
      <alignment vertical="center"/>
    </xf>
    <xf numFmtId="0" fontId="31" fillId="13" borderId="18" xfId="0" applyFont="1" applyFill="1" applyBorder="1" applyAlignment="1">
      <alignment vertical="center"/>
    </xf>
    <xf numFmtId="0" fontId="28" fillId="13" borderId="15" xfId="0" applyFont="1" applyFill="1" applyBorder="1" applyAlignment="1">
      <alignment vertical="center"/>
    </xf>
    <xf numFmtId="0" fontId="28" fillId="13" borderId="29" xfId="0" applyFont="1" applyFill="1" applyBorder="1" applyAlignment="1">
      <alignment vertical="center"/>
    </xf>
    <xf numFmtId="0" fontId="15" fillId="13" borderId="30" xfId="0" applyFont="1" applyFill="1" applyBorder="1" applyAlignment="1">
      <alignment vertical="center"/>
    </xf>
    <xf numFmtId="0" fontId="7" fillId="13" borderId="30" xfId="0" applyFont="1" applyFill="1" applyBorder="1" applyAlignment="1">
      <alignment vertical="center" wrapText="1"/>
    </xf>
    <xf numFmtId="0" fontId="32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6" fillId="13" borderId="1" xfId="0" applyFont="1" applyFill="1" applyBorder="1" applyProtection="1">
      <protection locked="0"/>
    </xf>
    <xf numFmtId="0" fontId="6" fillId="13" borderId="9" xfId="0" applyFont="1" applyFill="1" applyBorder="1" applyProtection="1">
      <protection locked="0"/>
    </xf>
    <xf numFmtId="8" fontId="7" fillId="13" borderId="10" xfId="2" applyNumberFormat="1" applyFont="1" applyFill="1" applyBorder="1" applyAlignment="1">
      <alignment horizontal="right"/>
    </xf>
    <xf numFmtId="8" fontId="6" fillId="13" borderId="2" xfId="2" applyNumberFormat="1" applyFont="1" applyFill="1" applyBorder="1" applyAlignment="1">
      <alignment horizontal="right"/>
    </xf>
    <xf numFmtId="0" fontId="6" fillId="13" borderId="3" xfId="0" applyFont="1" applyFill="1" applyBorder="1" applyProtection="1">
      <protection locked="0"/>
    </xf>
    <xf numFmtId="8" fontId="6" fillId="13" borderId="4" xfId="2" applyNumberFormat="1" applyFont="1" applyFill="1" applyBorder="1" applyAlignment="1">
      <alignment horizontal="right"/>
    </xf>
    <xf numFmtId="0" fontId="6" fillId="13" borderId="5" xfId="0" applyFont="1" applyFill="1" applyBorder="1" applyProtection="1">
      <protection locked="0"/>
    </xf>
    <xf numFmtId="8" fontId="6" fillId="13" borderId="6" xfId="2" applyNumberFormat="1" applyFont="1" applyFill="1" applyBorder="1" applyAlignment="1">
      <alignment horizontal="right"/>
    </xf>
    <xf numFmtId="0" fontId="6" fillId="13" borderId="7" xfId="0" applyFont="1" applyFill="1" applyBorder="1" applyProtection="1">
      <protection locked="0"/>
    </xf>
    <xf numFmtId="8" fontId="6" fillId="13" borderId="8" xfId="0" applyNumberFormat="1" applyFont="1" applyFill="1" applyBorder="1" applyAlignment="1">
      <alignment horizontal="right"/>
    </xf>
    <xf numFmtId="0" fontId="6" fillId="13" borderId="36" xfId="0" applyFont="1" applyFill="1" applyBorder="1" applyProtection="1">
      <protection locked="0"/>
    </xf>
    <xf numFmtId="0" fontId="8" fillId="3" borderId="5" xfId="0" applyFont="1" applyFill="1" applyBorder="1" applyProtection="1">
      <protection locked="0"/>
    </xf>
    <xf numFmtId="0" fontId="25" fillId="9" borderId="24" xfId="4" applyFont="1" applyFill="1" applyBorder="1" applyAlignment="1" applyProtection="1">
      <alignment horizontal="right" vertical="center"/>
      <protection hidden="1"/>
    </xf>
    <xf numFmtId="0" fontId="25" fillId="9" borderId="25" xfId="4" applyFont="1" applyFill="1" applyBorder="1" applyAlignment="1" applyProtection="1">
      <alignment horizontal="right" vertical="center"/>
      <protection hidden="1"/>
    </xf>
    <xf numFmtId="14" fontId="25" fillId="9" borderId="25" xfId="4" applyNumberFormat="1" applyFont="1" applyFill="1" applyBorder="1" applyAlignment="1" applyProtection="1">
      <alignment horizontal="right" vertical="center"/>
      <protection hidden="1"/>
    </xf>
    <xf numFmtId="165" fontId="25" fillId="3" borderId="24" xfId="3" applyNumberFormat="1" applyFont="1" applyFill="1" applyBorder="1" applyAlignment="1" applyProtection="1">
      <alignment horizontal="right" vertical="center"/>
      <protection hidden="1"/>
    </xf>
    <xf numFmtId="8" fontId="25" fillId="3" borderId="25" xfId="2" applyNumberFormat="1" applyFont="1" applyFill="1" applyBorder="1" applyAlignment="1" applyProtection="1">
      <alignment horizontal="right" vertical="center"/>
      <protection hidden="1"/>
    </xf>
    <xf numFmtId="8" fontId="25" fillId="9" borderId="24" xfId="4" applyNumberFormat="1" applyFont="1" applyFill="1" applyBorder="1" applyAlignment="1" applyProtection="1">
      <alignment horizontal="right" vertical="center"/>
      <protection hidden="1"/>
    </xf>
    <xf numFmtId="8" fontId="25" fillId="9" borderId="25" xfId="4" applyNumberFormat="1" applyFont="1" applyFill="1" applyBorder="1" applyAlignment="1" applyProtection="1">
      <alignment horizontal="right" vertical="center"/>
      <protection hidden="1"/>
    </xf>
    <xf numFmtId="8" fontId="8" fillId="12" borderId="35" xfId="2" applyNumberFormat="1" applyFont="1" applyFill="1" applyBorder="1" applyAlignment="1" applyProtection="1">
      <alignment horizontal="right"/>
      <protection hidden="1"/>
    </xf>
    <xf numFmtId="8" fontId="8" fillId="12" borderId="6" xfId="2" applyNumberFormat="1" applyFont="1" applyFill="1" applyBorder="1" applyAlignment="1" applyProtection="1">
      <alignment horizontal="right"/>
      <protection hidden="1"/>
    </xf>
    <xf numFmtId="8" fontId="4" fillId="12" borderId="6" xfId="0" applyNumberFormat="1" applyFont="1" applyFill="1" applyBorder="1" applyAlignment="1" applyProtection="1">
      <alignment horizontal="right"/>
      <protection hidden="1"/>
    </xf>
    <xf numFmtId="8" fontId="9" fillId="6" borderId="6" xfId="0" applyNumberFormat="1" applyFont="1" applyFill="1" applyBorder="1" applyAlignment="1" applyProtection="1">
      <alignment horizontal="right"/>
      <protection hidden="1"/>
    </xf>
    <xf numFmtId="8" fontId="9" fillId="6" borderId="37" xfId="0" applyNumberFormat="1" applyFont="1" applyFill="1" applyBorder="1" applyAlignment="1" applyProtection="1">
      <alignment horizontal="right"/>
      <protection hidden="1"/>
    </xf>
    <xf numFmtId="8" fontId="4" fillId="12" borderId="38" xfId="2" applyNumberFormat="1" applyFont="1" applyFill="1" applyBorder="1" applyProtection="1">
      <protection hidden="1"/>
    </xf>
    <xf numFmtId="8" fontId="8" fillId="6" borderId="40" xfId="0" applyNumberFormat="1" applyFont="1" applyFill="1" applyBorder="1" applyAlignment="1" applyProtection="1">
      <alignment horizontal="right"/>
      <protection hidden="1"/>
    </xf>
    <xf numFmtId="8" fontId="8" fillId="6" borderId="33" xfId="2" applyNumberFormat="1" applyFont="1" applyFill="1" applyBorder="1" applyAlignment="1" applyProtection="1">
      <alignment horizontal="right"/>
      <protection hidden="1"/>
    </xf>
    <xf numFmtId="0" fontId="8" fillId="4" borderId="5" xfId="0" applyFont="1" applyFill="1" applyBorder="1" applyProtection="1">
      <protection locked="0"/>
    </xf>
    <xf numFmtId="8" fontId="8" fillId="4" borderId="6" xfId="2" applyNumberFormat="1" applyFont="1" applyFill="1" applyBorder="1" applyAlignment="1" applyProtection="1">
      <alignment horizontal="right"/>
      <protection locked="0"/>
    </xf>
    <xf numFmtId="8" fontId="25" fillId="8" borderId="24" xfId="0" applyNumberFormat="1" applyFont="1" applyFill="1" applyBorder="1" applyAlignment="1" applyProtection="1">
      <alignment horizontal="right" vertical="center"/>
      <protection hidden="1"/>
    </xf>
    <xf numFmtId="8" fontId="25" fillId="8" borderId="25" xfId="0" applyNumberFormat="1" applyFont="1" applyFill="1" applyBorder="1" applyAlignment="1" applyProtection="1">
      <alignment horizontal="right" vertical="center"/>
      <protection hidden="1"/>
    </xf>
    <xf numFmtId="8" fontId="25" fillId="8" borderId="24" xfId="2" applyNumberFormat="1" applyFont="1" applyFill="1" applyBorder="1" applyAlignment="1" applyProtection="1">
      <alignment horizontal="right" vertical="center"/>
      <protection hidden="1"/>
    </xf>
    <xf numFmtId="8" fontId="25" fillId="8" borderId="25" xfId="2" applyNumberFormat="1" applyFont="1" applyFill="1" applyBorder="1" applyAlignment="1" applyProtection="1">
      <alignment horizontal="right" vertical="center"/>
      <protection hidden="1"/>
    </xf>
    <xf numFmtId="8" fontId="25" fillId="8" borderId="42" xfId="2" applyNumberFormat="1" applyFont="1" applyFill="1" applyBorder="1" applyAlignment="1" applyProtection="1">
      <alignment horizontal="right" vertical="center"/>
      <protection hidden="1"/>
    </xf>
    <xf numFmtId="8" fontId="25" fillId="8" borderId="43" xfId="2" applyNumberFormat="1" applyFont="1" applyFill="1" applyBorder="1" applyAlignment="1" applyProtection="1">
      <alignment horizontal="right" vertical="center"/>
      <protection hidden="1"/>
    </xf>
    <xf numFmtId="8" fontId="25" fillId="9" borderId="0" xfId="4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8" fontId="25" fillId="8" borderId="42" xfId="0" applyNumberFormat="1" applyFont="1" applyFill="1" applyBorder="1" applyAlignment="1" applyProtection="1">
      <alignment horizontal="right" vertical="center"/>
      <protection hidden="1"/>
    </xf>
    <xf numFmtId="8" fontId="25" fillId="8" borderId="43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44" fontId="25" fillId="0" borderId="0" xfId="0" applyNumberFormat="1" applyFont="1" applyAlignment="1" applyProtection="1">
      <alignment horizontal="right" vertical="center"/>
      <protection hidden="1"/>
    </xf>
    <xf numFmtId="0" fontId="7" fillId="13" borderId="30" xfId="0" applyFont="1" applyFill="1" applyBorder="1" applyAlignment="1" applyProtection="1">
      <alignment vertical="center" wrapText="1"/>
      <protection hidden="1"/>
    </xf>
    <xf numFmtId="0" fontId="29" fillId="13" borderId="31" xfId="0" applyFont="1" applyFill="1" applyBorder="1" applyAlignment="1" applyProtection="1">
      <alignment vertical="center"/>
      <protection hidden="1"/>
    </xf>
    <xf numFmtId="8" fontId="4" fillId="3" borderId="12" xfId="2" applyNumberFormat="1" applyFont="1" applyFill="1" applyBorder="1" applyAlignment="1" applyProtection="1">
      <alignment horizontal="right"/>
      <protection locked="0"/>
    </xf>
    <xf numFmtId="43" fontId="4" fillId="0" borderId="6" xfId="1" applyFont="1" applyFill="1" applyBorder="1" applyAlignment="1" applyProtection="1">
      <alignment horizontal="right"/>
      <protection hidden="1"/>
    </xf>
    <xf numFmtId="8" fontId="4" fillId="0" borderId="6" xfId="2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28" fillId="13" borderId="30" xfId="4" applyFont="1" applyFill="1" applyBorder="1" applyAlignment="1">
      <alignment horizontal="right" vertical="center" wrapText="1"/>
    </xf>
    <xf numFmtId="0" fontId="28" fillId="13" borderId="31" xfId="4" applyFont="1" applyFill="1" applyBorder="1" applyAlignment="1">
      <alignment horizontal="right" vertical="center" wrapText="1"/>
    </xf>
    <xf numFmtId="0" fontId="25" fillId="8" borderId="21" xfId="4" applyFont="1" applyFill="1" applyBorder="1" applyAlignment="1" applyProtection="1">
      <alignment horizontal="right" vertical="center" wrapText="1"/>
      <protection hidden="1"/>
    </xf>
    <xf numFmtId="0" fontId="25" fillId="8" borderId="22" xfId="4" applyFont="1" applyFill="1" applyBorder="1" applyAlignment="1" applyProtection="1">
      <alignment horizontal="right" vertical="center" wrapText="1"/>
      <protection hidden="1"/>
    </xf>
    <xf numFmtId="0" fontId="25" fillId="9" borderId="24" xfId="4" applyFont="1" applyFill="1" applyBorder="1" applyAlignment="1" applyProtection="1">
      <alignment horizontal="right" vertical="center"/>
      <protection hidden="1"/>
    </xf>
    <xf numFmtId="0" fontId="25" fillId="9" borderId="25" xfId="4" applyFont="1" applyFill="1" applyBorder="1" applyAlignment="1" applyProtection="1">
      <alignment horizontal="right" vertical="center"/>
      <protection hidden="1"/>
    </xf>
    <xf numFmtId="166" fontId="25" fillId="8" borderId="24" xfId="3" applyNumberFormat="1" applyFont="1" applyFill="1" applyBorder="1" applyAlignment="1" applyProtection="1">
      <alignment horizontal="right" vertical="center"/>
      <protection hidden="1"/>
    </xf>
    <xf numFmtId="166" fontId="25" fillId="8" borderId="25" xfId="3" applyNumberFormat="1" applyFont="1" applyFill="1" applyBorder="1" applyAlignment="1" applyProtection="1">
      <alignment horizontal="right" vertical="center"/>
      <protection hidden="1"/>
    </xf>
    <xf numFmtId="165" fontId="25" fillId="3" borderId="24" xfId="3" applyNumberFormat="1" applyFont="1" applyFill="1" applyBorder="1" applyAlignment="1" applyProtection="1">
      <alignment horizontal="right" vertical="center"/>
      <protection hidden="1"/>
    </xf>
    <xf numFmtId="165" fontId="25" fillId="3" borderId="25" xfId="3" applyNumberFormat="1" applyFont="1" applyFill="1" applyBorder="1" applyAlignment="1" applyProtection="1">
      <alignment horizontal="right" vertical="center"/>
      <protection hidden="1"/>
    </xf>
    <xf numFmtId="8" fontId="25" fillId="8" borderId="24" xfId="4" applyNumberFormat="1" applyFont="1" applyFill="1" applyBorder="1" applyAlignment="1" applyProtection="1">
      <alignment horizontal="right" vertical="center"/>
      <protection hidden="1"/>
    </xf>
    <xf numFmtId="8" fontId="25" fillId="8" borderId="25" xfId="4" applyNumberFormat="1" applyFont="1" applyFill="1" applyBorder="1" applyAlignment="1" applyProtection="1">
      <alignment horizontal="right" vertical="center"/>
      <protection hidden="1"/>
    </xf>
    <xf numFmtId="8" fontId="25" fillId="9" borderId="24" xfId="4" applyNumberFormat="1" applyFont="1" applyFill="1" applyBorder="1" applyAlignment="1" applyProtection="1">
      <alignment horizontal="right" vertical="center"/>
      <protection hidden="1"/>
    </xf>
    <xf numFmtId="8" fontId="25" fillId="9" borderId="25" xfId="4" applyNumberFormat="1" applyFont="1" applyFill="1" applyBorder="1" applyAlignment="1" applyProtection="1">
      <alignment horizontal="right" vertical="center"/>
      <protection hidden="1"/>
    </xf>
    <xf numFmtId="8" fontId="25" fillId="9" borderId="15" xfId="4" applyNumberFormat="1" applyFont="1" applyFill="1" applyBorder="1" applyAlignment="1" applyProtection="1">
      <alignment horizontal="right" vertical="center"/>
      <protection hidden="1"/>
    </xf>
    <xf numFmtId="8" fontId="25" fillId="9" borderId="19" xfId="4" applyNumberFormat="1" applyFont="1" applyFill="1" applyBorder="1" applyAlignment="1" applyProtection="1">
      <alignment horizontal="right" vertical="center"/>
      <protection hidden="1"/>
    </xf>
    <xf numFmtId="0" fontId="27" fillId="0" borderId="16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8" fontId="31" fillId="14" borderId="27" xfId="0" applyNumberFormat="1" applyFont="1" applyFill="1" applyBorder="1" applyAlignment="1" applyProtection="1">
      <alignment horizontal="right" vertical="center"/>
      <protection hidden="1"/>
    </xf>
    <xf numFmtId="8" fontId="31" fillId="14" borderId="28" xfId="0" applyNumberFormat="1" applyFont="1" applyFill="1" applyBorder="1" applyAlignment="1" applyProtection="1">
      <alignment horizontal="right" vertical="center"/>
      <protection hidden="1"/>
    </xf>
    <xf numFmtId="8" fontId="31" fillId="14" borderId="21" xfId="0" applyNumberFormat="1" applyFont="1" applyFill="1" applyBorder="1" applyAlignment="1" applyProtection="1">
      <alignment vertical="center"/>
      <protection hidden="1"/>
    </xf>
    <xf numFmtId="8" fontId="31" fillId="14" borderId="22" xfId="0" applyNumberFormat="1" applyFont="1" applyFill="1" applyBorder="1" applyAlignment="1" applyProtection="1">
      <alignment vertical="center"/>
      <protection hidden="1"/>
    </xf>
    <xf numFmtId="43" fontId="31" fillId="13" borderId="15" xfId="1" applyFont="1" applyFill="1" applyBorder="1" applyAlignment="1" applyProtection="1">
      <alignment horizontal="right" vertical="center"/>
      <protection hidden="1"/>
    </xf>
    <xf numFmtId="43" fontId="31" fillId="13" borderId="19" xfId="1" applyFont="1" applyFill="1" applyBorder="1" applyAlignment="1" applyProtection="1">
      <alignment horizontal="right" vertical="center"/>
      <protection hidden="1"/>
    </xf>
    <xf numFmtId="0" fontId="28" fillId="13" borderId="30" xfId="4" applyFont="1" applyFill="1" applyBorder="1" applyAlignment="1" applyProtection="1">
      <alignment horizontal="right" vertical="center" wrapText="1"/>
      <protection hidden="1"/>
    </xf>
    <xf numFmtId="0" fontId="28" fillId="13" borderId="31" xfId="4" applyFont="1" applyFill="1" applyBorder="1" applyAlignment="1" applyProtection="1">
      <alignment horizontal="right" vertical="center" wrapText="1"/>
      <protection hidden="1"/>
    </xf>
    <xf numFmtId="0" fontId="30" fillId="0" borderId="14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8" fontId="25" fillId="8" borderId="24" xfId="0" applyNumberFormat="1" applyFont="1" applyFill="1" applyBorder="1" applyAlignment="1" applyProtection="1">
      <alignment horizontal="right" vertical="center"/>
      <protection hidden="1"/>
    </xf>
    <xf numFmtId="8" fontId="25" fillId="8" borderId="25" xfId="0" applyNumberFormat="1" applyFont="1" applyFill="1" applyBorder="1" applyAlignment="1" applyProtection="1">
      <alignment horizontal="right" vertical="center"/>
      <protection hidden="1"/>
    </xf>
    <xf numFmtId="8" fontId="31" fillId="10" borderId="15" xfId="0" applyNumberFormat="1" applyFont="1" applyFill="1" applyBorder="1" applyAlignment="1" applyProtection="1">
      <alignment horizontal="right" vertical="center"/>
      <protection hidden="1"/>
    </xf>
    <xf numFmtId="8" fontId="31" fillId="10" borderId="19" xfId="0" applyNumberFormat="1" applyFont="1" applyFill="1" applyBorder="1" applyAlignment="1" applyProtection="1">
      <alignment horizontal="right" vertical="center"/>
      <protection hidden="1"/>
    </xf>
    <xf numFmtId="8" fontId="31" fillId="13" borderId="21" xfId="0" applyNumberFormat="1" applyFont="1" applyFill="1" applyBorder="1" applyAlignment="1" applyProtection="1">
      <alignment horizontal="right" vertical="center"/>
      <protection hidden="1"/>
    </xf>
    <xf numFmtId="8" fontId="31" fillId="13" borderId="22" xfId="0" applyNumberFormat="1" applyFont="1" applyFill="1" applyBorder="1" applyAlignment="1" applyProtection="1">
      <alignment horizontal="right" vertical="center"/>
      <protection hidden="1"/>
    </xf>
    <xf numFmtId="8" fontId="25" fillId="3" borderId="21" xfId="0" applyNumberFormat="1" applyFont="1" applyFill="1" applyBorder="1" applyAlignment="1" applyProtection="1">
      <alignment horizontal="right" vertical="center"/>
      <protection hidden="1"/>
    </xf>
    <xf numFmtId="8" fontId="25" fillId="3" borderId="22" xfId="0" applyNumberFormat="1" applyFont="1" applyFill="1" applyBorder="1" applyAlignment="1" applyProtection="1">
      <alignment horizontal="right" vertical="center"/>
      <protection hidden="1"/>
    </xf>
    <xf numFmtId="8" fontId="25" fillId="3" borderId="24" xfId="2" applyNumberFormat="1" applyFont="1" applyFill="1" applyBorder="1" applyAlignment="1" applyProtection="1">
      <alignment horizontal="right" vertical="center"/>
      <protection hidden="1"/>
    </xf>
    <xf numFmtId="8" fontId="25" fillId="3" borderId="25" xfId="2" applyNumberFormat="1" applyFont="1" applyFill="1" applyBorder="1" applyAlignment="1" applyProtection="1">
      <alignment horizontal="right" vertical="center"/>
      <protection hidden="1"/>
    </xf>
    <xf numFmtId="8" fontId="25" fillId="8" borderId="24" xfId="2" applyNumberFormat="1" applyFont="1" applyFill="1" applyBorder="1" applyAlignment="1" applyProtection="1">
      <alignment horizontal="right" vertical="center"/>
      <protection hidden="1"/>
    </xf>
    <xf numFmtId="8" fontId="25" fillId="8" borderId="25" xfId="2" applyNumberFormat="1" applyFont="1" applyFill="1" applyBorder="1" applyAlignment="1" applyProtection="1">
      <alignment horizontal="right" vertical="center"/>
      <protection hidden="1"/>
    </xf>
    <xf numFmtId="8" fontId="25" fillId="3" borderId="24" xfId="0" applyNumberFormat="1" applyFont="1" applyFill="1" applyBorder="1" applyAlignment="1" applyProtection="1">
      <alignment horizontal="right" vertical="center"/>
      <protection hidden="1"/>
    </xf>
    <xf numFmtId="8" fontId="25" fillId="3" borderId="25" xfId="0" applyNumberFormat="1" applyFont="1" applyFill="1" applyBorder="1" applyAlignment="1" applyProtection="1">
      <alignment horizontal="right" vertical="center"/>
      <protection hidden="1"/>
    </xf>
  </cellXfs>
  <cellStyles count="6">
    <cellStyle name="20% - Accent1" xfId="4" builtinId="30"/>
    <cellStyle name="Comma" xfId="1" builtinId="3"/>
    <cellStyle name="Currency" xfId="2" builtinId="4"/>
    <cellStyle name="Normal" xfId="0" builtinId="0"/>
    <cellStyle name="Normal 3" xfId="5" xr:uid="{311F8141-031A-4034-B8E2-FF66F113936C}"/>
    <cellStyle name="Percent" xfId="3" builtinId="5"/>
  </cellStyles>
  <dxfs count="3">
    <dxf>
      <numFmt numFmtId="1" formatCode="0"/>
      <fill>
        <patternFill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  <dxf>
      <numFmt numFmtId="1" formatCode="0"/>
      <fill>
        <patternFill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854B-576D-451C-951B-07A8A8C9B121}">
  <sheetPr>
    <pageSetUpPr fitToPage="1"/>
  </sheetPr>
  <dimension ref="A2:K66"/>
  <sheetViews>
    <sheetView showGridLines="0" zoomScaleNormal="100" zoomScaleSheetLayoutView="100" workbookViewId="0">
      <selection activeCell="B34" sqref="B34"/>
    </sheetView>
  </sheetViews>
  <sheetFormatPr defaultRowHeight="14.5" x14ac:dyDescent="0.35"/>
  <cols>
    <col min="1" max="1" width="3.1796875" customWidth="1"/>
    <col min="2" max="2" width="46.81640625" customWidth="1"/>
    <col min="3" max="8" width="6.54296875" customWidth="1"/>
    <col min="9" max="9" width="14.453125" customWidth="1"/>
    <col min="10" max="10" width="19.26953125" bestFit="1" customWidth="1"/>
  </cols>
  <sheetData>
    <row r="2" spans="1:11" ht="36" customHeight="1" thickBot="1" x14ac:dyDescent="0.65">
      <c r="B2" s="37"/>
      <c r="C2" s="36"/>
      <c r="D2" s="45"/>
      <c r="E2" s="45" t="s">
        <v>0</v>
      </c>
      <c r="F2" s="42"/>
      <c r="G2" s="41"/>
      <c r="H2" s="41"/>
      <c r="I2" s="41"/>
      <c r="J2" s="41"/>
    </row>
    <row r="3" spans="1:11" ht="15" customHeight="1" x14ac:dyDescent="0.35">
      <c r="B3" s="207" t="s">
        <v>1</v>
      </c>
      <c r="C3" s="207"/>
      <c r="D3" s="207"/>
      <c r="E3" s="207"/>
      <c r="F3" s="43"/>
      <c r="G3" s="43"/>
      <c r="H3" s="43"/>
      <c r="I3" s="43"/>
      <c r="J3" s="39"/>
    </row>
    <row r="4" spans="1:11" ht="17.25" customHeight="1" x14ac:dyDescent="0.35">
      <c r="B4" s="208"/>
      <c r="C4" s="208"/>
      <c r="D4" s="208"/>
      <c r="E4" s="208"/>
      <c r="F4" s="44"/>
      <c r="G4" s="44"/>
      <c r="H4" s="44"/>
      <c r="I4" s="79" t="s">
        <v>2</v>
      </c>
      <c r="J4" s="78">
        <f ca="1">TODAY()</f>
        <v>45821</v>
      </c>
    </row>
    <row r="5" spans="1:11" ht="11.25" customHeight="1" x14ac:dyDescent="0.35">
      <c r="B5" s="208"/>
      <c r="C5" s="208"/>
      <c r="D5" s="208"/>
      <c r="E5" s="208"/>
      <c r="F5" s="44"/>
      <c r="G5" s="44"/>
      <c r="H5" s="44"/>
      <c r="I5" s="44"/>
      <c r="J5" s="16"/>
    </row>
    <row r="6" spans="1:11" ht="11.25" customHeight="1" x14ac:dyDescent="0.35">
      <c r="B6" s="208"/>
      <c r="C6" s="208"/>
      <c r="D6" s="208"/>
      <c r="E6" s="208"/>
      <c r="F6" s="44"/>
      <c r="G6" s="44"/>
      <c r="H6" s="44"/>
      <c r="I6" s="44"/>
      <c r="J6" s="16"/>
    </row>
    <row r="7" spans="1:11" ht="11.25" customHeight="1" x14ac:dyDescent="0.35">
      <c r="B7" s="208"/>
      <c r="C7" s="208"/>
      <c r="D7" s="208"/>
      <c r="E7" s="208"/>
      <c r="F7" s="44"/>
      <c r="G7" s="44"/>
      <c r="H7" s="44"/>
      <c r="I7" s="44"/>
      <c r="J7" s="16"/>
    </row>
    <row r="8" spans="1:11" ht="6" customHeight="1" thickBot="1" x14ac:dyDescent="0.65">
      <c r="B8" s="209"/>
      <c r="C8" s="209"/>
      <c r="D8" s="209"/>
      <c r="E8" s="209"/>
      <c r="F8" s="42"/>
      <c r="G8" s="41"/>
      <c r="H8" s="41"/>
      <c r="I8" s="41"/>
      <c r="J8" s="41"/>
    </row>
    <row r="9" spans="1:11" ht="9.75" customHeight="1" x14ac:dyDescent="0.45">
      <c r="K9" s="38"/>
    </row>
    <row r="10" spans="1:11" ht="9.75" customHeight="1" thickBot="1" x14ac:dyDescent="0.4">
      <c r="A10" s="40"/>
      <c r="B10" s="40"/>
      <c r="C10" s="40"/>
      <c r="D10" s="40"/>
      <c r="E10" s="40"/>
      <c r="F10" s="40"/>
      <c r="G10" s="40"/>
      <c r="H10" s="40"/>
      <c r="I10" s="40"/>
      <c r="J10" s="40"/>
    </row>
    <row r="11" spans="1:11" ht="16.5" thickBot="1" x14ac:dyDescent="0.4">
      <c r="A11" s="40"/>
      <c r="B11" s="112" t="s">
        <v>3</v>
      </c>
      <c r="C11" s="113"/>
      <c r="D11" s="113"/>
      <c r="E11" s="113"/>
      <c r="F11" s="113"/>
      <c r="G11" s="113"/>
      <c r="H11" s="113"/>
      <c r="I11" s="177" t="s">
        <v>4</v>
      </c>
      <c r="J11" s="178"/>
    </row>
    <row r="12" spans="1:11" ht="21" customHeight="1" x14ac:dyDescent="0.35">
      <c r="B12" s="64" t="s">
        <v>5</v>
      </c>
      <c r="C12" s="65"/>
      <c r="D12" s="65"/>
      <c r="E12" s="65"/>
      <c r="F12" s="65"/>
      <c r="G12" s="65"/>
      <c r="H12" s="65"/>
      <c r="I12" s="179" t="str">
        <f>'DSCR Calc'!C4&amp;" "&amp;'DSCR Calc'!C5</f>
        <v xml:space="preserve"> </v>
      </c>
      <c r="J12" s="180"/>
    </row>
    <row r="13" spans="1:11" ht="21" customHeight="1" x14ac:dyDescent="0.35">
      <c r="B13" s="66" t="s">
        <v>6</v>
      </c>
      <c r="C13" s="67"/>
      <c r="D13" s="67"/>
      <c r="E13" s="67"/>
      <c r="F13" s="68"/>
      <c r="G13" s="67"/>
      <c r="H13" s="67"/>
      <c r="I13" s="140"/>
      <c r="J13" s="142" t="str">
        <f>'DSCR Calc'!C9</f>
        <v>123 alphabet ave</v>
      </c>
    </row>
    <row r="14" spans="1:11" ht="21" customHeight="1" x14ac:dyDescent="0.35">
      <c r="B14" s="66" t="s">
        <v>7</v>
      </c>
      <c r="C14" s="67"/>
      <c r="D14" s="67"/>
      <c r="E14" s="67"/>
      <c r="F14" s="68"/>
      <c r="G14" s="67"/>
      <c r="H14" s="67"/>
      <c r="I14" s="181" t="str">
        <f>'DSCR Calc'!C10</f>
        <v>Purchase</v>
      </c>
      <c r="J14" s="182"/>
    </row>
    <row r="15" spans="1:11" ht="21" customHeight="1" x14ac:dyDescent="0.35">
      <c r="B15" s="66" t="s">
        <v>8</v>
      </c>
      <c r="C15" s="67"/>
      <c r="D15" s="67"/>
      <c r="E15" s="67"/>
      <c r="F15" s="68"/>
      <c r="G15" s="67"/>
      <c r="H15" s="67"/>
      <c r="I15" s="140"/>
      <c r="J15" s="141" t="str">
        <f>'DSCR Calc'!C11</f>
        <v>SFR(A)</v>
      </c>
    </row>
    <row r="16" spans="1:11" ht="21" customHeight="1" x14ac:dyDescent="0.35">
      <c r="B16" s="66" t="s">
        <v>9</v>
      </c>
      <c r="C16" s="67"/>
      <c r="D16" s="67"/>
      <c r="E16" s="67"/>
      <c r="F16" s="68"/>
      <c r="G16" s="67"/>
      <c r="H16" s="67"/>
      <c r="I16" s="140"/>
      <c r="J16" s="141">
        <f>'DSCR Calc'!C7</f>
        <v>689</v>
      </c>
    </row>
    <row r="17" spans="2:10" ht="21" customHeight="1" x14ac:dyDescent="0.35">
      <c r="B17" s="66" t="s">
        <v>10</v>
      </c>
      <c r="C17" s="67"/>
      <c r="D17" s="67"/>
      <c r="E17" s="67"/>
      <c r="F17" s="68"/>
      <c r="G17" s="67"/>
      <c r="H17" s="67"/>
      <c r="I17" s="140"/>
      <c r="J17" s="142">
        <f>'DSCR Calc'!C8</f>
        <v>45768</v>
      </c>
    </row>
    <row r="18" spans="2:10" ht="21" customHeight="1" x14ac:dyDescent="0.35">
      <c r="B18" s="66" t="s">
        <v>11</v>
      </c>
      <c r="C18" s="67"/>
      <c r="D18" s="67"/>
      <c r="E18" s="67"/>
      <c r="F18" s="68"/>
      <c r="G18" s="67"/>
      <c r="H18" s="67"/>
      <c r="I18" s="140"/>
      <c r="J18" s="141" t="s">
        <v>12</v>
      </c>
    </row>
    <row r="19" spans="2:10" ht="21" customHeight="1" x14ac:dyDescent="0.35">
      <c r="B19" s="69" t="s">
        <v>13</v>
      </c>
      <c r="C19" s="70"/>
      <c r="D19" s="70"/>
      <c r="E19" s="70"/>
      <c r="F19" s="71"/>
      <c r="G19" s="70"/>
      <c r="H19" s="70"/>
      <c r="I19" s="183">
        <f>'DSCR Calc'!C17/'DSCR Calc'!C15</f>
        <v>0.58139534883720934</v>
      </c>
      <c r="J19" s="184"/>
    </row>
    <row r="20" spans="2:10" ht="21" customHeight="1" x14ac:dyDescent="0.35">
      <c r="B20" s="66" t="s">
        <v>14</v>
      </c>
      <c r="C20" s="67"/>
      <c r="D20" s="67"/>
      <c r="E20" s="67"/>
      <c r="F20" s="68"/>
      <c r="G20" s="67"/>
      <c r="H20" s="67"/>
      <c r="I20" s="185">
        <f>'DSCR Calc'!C19</f>
        <v>7.6249999999999998E-2</v>
      </c>
      <c r="J20" s="186"/>
    </row>
    <row r="21" spans="2:10" ht="21" customHeight="1" x14ac:dyDescent="0.35">
      <c r="B21" s="66" t="s">
        <v>15</v>
      </c>
      <c r="C21" s="67"/>
      <c r="D21" s="67"/>
      <c r="E21" s="67"/>
      <c r="F21" s="68"/>
      <c r="G21" s="67"/>
      <c r="H21" s="67"/>
      <c r="I21" s="143"/>
      <c r="J21" s="144">
        <f>'DSCR Calc'!C15</f>
        <v>258000</v>
      </c>
    </row>
    <row r="22" spans="2:10" ht="21" customHeight="1" x14ac:dyDescent="0.35">
      <c r="B22" s="69" t="s">
        <v>16</v>
      </c>
      <c r="C22" s="70"/>
      <c r="D22" s="70"/>
      <c r="E22" s="70"/>
      <c r="F22" s="71"/>
      <c r="G22" s="70"/>
      <c r="H22" s="70"/>
      <c r="I22" s="187">
        <f>'DSCR Calc'!C17</f>
        <v>150000</v>
      </c>
      <c r="J22" s="188"/>
    </row>
    <row r="23" spans="2:10" ht="21" customHeight="1" x14ac:dyDescent="0.35">
      <c r="B23" s="72" t="s">
        <v>17</v>
      </c>
      <c r="C23" s="67"/>
      <c r="D23" s="67"/>
      <c r="E23" s="67"/>
      <c r="F23" s="68"/>
      <c r="G23" s="67"/>
      <c r="H23" s="67"/>
      <c r="I23" s="189">
        <f>IF('DSCR Calc'!C18="NO", 'DSCR Calc'!C23,"NA")</f>
        <v>1061.6906195319523</v>
      </c>
      <c r="J23" s="190"/>
    </row>
    <row r="24" spans="2:10" ht="21" customHeight="1" x14ac:dyDescent="0.35">
      <c r="B24" s="72" t="s">
        <v>18</v>
      </c>
      <c r="C24" s="67"/>
      <c r="D24" s="67"/>
      <c r="E24" s="67"/>
      <c r="F24" s="68"/>
      <c r="G24" s="67"/>
      <c r="H24" s="67"/>
      <c r="I24" s="145"/>
      <c r="J24" s="146">
        <f>'DSCR Calc'!C29</f>
        <v>879.16666666666663</v>
      </c>
    </row>
    <row r="25" spans="2:10" ht="21" customHeight="1" x14ac:dyDescent="0.35">
      <c r="B25" s="73" t="s">
        <v>19</v>
      </c>
      <c r="C25" s="70"/>
      <c r="D25" s="70"/>
      <c r="E25" s="70"/>
      <c r="F25" s="71"/>
      <c r="G25" s="70"/>
      <c r="H25" s="70"/>
      <c r="I25" s="187" t="str">
        <f>IF('DSCR Calc'!C18="YES", 'DSCR Calc'!C23,"NA")</f>
        <v>NA</v>
      </c>
      <c r="J25" s="188"/>
    </row>
    <row r="26" spans="2:10" ht="21" customHeight="1" thickBot="1" x14ac:dyDescent="0.4">
      <c r="B26" s="49" t="s">
        <v>20</v>
      </c>
      <c r="C26" s="50"/>
      <c r="D26" s="50"/>
      <c r="E26" s="50"/>
      <c r="F26" s="51"/>
      <c r="G26" s="50"/>
      <c r="H26" s="50"/>
      <c r="I26" s="191">
        <f>'DSCR Calc'!C30</f>
        <v>1940.857286198619</v>
      </c>
      <c r="J26" s="192"/>
    </row>
    <row r="27" spans="2:10" ht="16.5" thickBot="1" x14ac:dyDescent="0.4">
      <c r="B27" s="52"/>
      <c r="C27" s="47"/>
      <c r="D27" s="47"/>
      <c r="E27" s="47"/>
      <c r="F27" s="48"/>
      <c r="G27" s="47"/>
      <c r="H27" s="47"/>
      <c r="I27" s="163"/>
      <c r="J27" s="163"/>
    </row>
    <row r="28" spans="2:10" ht="16.5" thickBot="1" x14ac:dyDescent="0.4">
      <c r="B28" s="112" t="s">
        <v>21</v>
      </c>
      <c r="C28" s="113"/>
      <c r="D28" s="113"/>
      <c r="E28" s="113"/>
      <c r="F28" s="113"/>
      <c r="G28" s="113"/>
      <c r="H28" s="113"/>
      <c r="I28" s="205"/>
      <c r="J28" s="206"/>
    </row>
    <row r="29" spans="2:10" ht="21" customHeight="1" x14ac:dyDescent="0.35">
      <c r="B29" s="74" t="s">
        <v>22</v>
      </c>
      <c r="C29" s="75"/>
      <c r="D29" s="75"/>
      <c r="E29" s="75"/>
      <c r="F29" s="75"/>
      <c r="G29" s="75"/>
      <c r="H29" s="75"/>
      <c r="I29" s="216">
        <f>'DSCR Calc'!C38+'DSCR Calc'!C39</f>
        <v>0</v>
      </c>
      <c r="J29" s="217"/>
    </row>
    <row r="30" spans="2:10" ht="21" customHeight="1" x14ac:dyDescent="0.35">
      <c r="B30" s="76" t="s">
        <v>23</v>
      </c>
      <c r="C30" s="71"/>
      <c r="D30" s="71"/>
      <c r="E30" s="71"/>
      <c r="F30" s="71"/>
      <c r="G30" s="71"/>
      <c r="H30" s="71"/>
      <c r="I30" s="157"/>
      <c r="J30" s="158">
        <f>SUM('DSCR Calc'!C40:C42)</f>
        <v>6245</v>
      </c>
    </row>
    <row r="31" spans="2:10" ht="21" customHeight="1" x14ac:dyDescent="0.35">
      <c r="B31" s="76" t="s">
        <v>24</v>
      </c>
      <c r="C31" s="71"/>
      <c r="D31" s="71"/>
      <c r="E31" s="71"/>
      <c r="F31" s="71"/>
      <c r="G31" s="71"/>
      <c r="H31" s="71"/>
      <c r="I31" s="157"/>
      <c r="J31" s="158"/>
    </row>
    <row r="32" spans="2:10" ht="21" customHeight="1" x14ac:dyDescent="0.35">
      <c r="B32" s="77" t="s">
        <v>25</v>
      </c>
      <c r="C32" s="68"/>
      <c r="D32" s="68"/>
      <c r="E32" s="68"/>
      <c r="F32" s="68"/>
      <c r="G32" s="68"/>
      <c r="H32" s="68"/>
      <c r="I32" s="218">
        <f>'DSCR Calc'!C43</f>
        <v>1495</v>
      </c>
      <c r="J32" s="219"/>
    </row>
    <row r="33" spans="2:10" ht="21" customHeight="1" x14ac:dyDescent="0.35">
      <c r="B33" s="76" t="s">
        <v>26</v>
      </c>
      <c r="C33" s="71"/>
      <c r="D33" s="71"/>
      <c r="E33" s="71"/>
      <c r="F33" s="71"/>
      <c r="G33" s="71"/>
      <c r="H33" s="71"/>
      <c r="I33" s="220">
        <f>'DSCR Calc'!C44</f>
        <v>590</v>
      </c>
      <c r="J33" s="221"/>
    </row>
    <row r="34" spans="2:10" ht="21" customHeight="1" x14ac:dyDescent="0.35">
      <c r="B34" s="76" t="s">
        <v>27</v>
      </c>
      <c r="C34" s="71"/>
      <c r="D34" s="71"/>
      <c r="E34" s="71"/>
      <c r="F34" s="71"/>
      <c r="G34" s="71"/>
      <c r="H34" s="71"/>
      <c r="I34" s="159"/>
      <c r="J34" s="160">
        <f>'DSCR Calc'!C45</f>
        <v>0</v>
      </c>
    </row>
    <row r="35" spans="2:10" ht="21" customHeight="1" thickBot="1" x14ac:dyDescent="0.4">
      <c r="B35" s="94" t="s">
        <v>28</v>
      </c>
      <c r="C35" s="95"/>
      <c r="D35" s="95"/>
      <c r="E35" s="95"/>
      <c r="F35" s="95"/>
      <c r="G35" s="95"/>
      <c r="H35" s="95"/>
      <c r="I35" s="161"/>
      <c r="J35" s="162" t="str">
        <f>'DSCR Calc'!C49</f>
        <v>5 year prepay</v>
      </c>
    </row>
    <row r="36" spans="2:10" ht="21" customHeight="1" thickBot="1" x14ac:dyDescent="0.4">
      <c r="I36" s="164"/>
      <c r="J36" s="164"/>
    </row>
    <row r="37" spans="2:10" ht="21" customHeight="1" thickBot="1" x14ac:dyDescent="0.4">
      <c r="B37" s="112" t="s">
        <v>29</v>
      </c>
      <c r="C37" s="113"/>
      <c r="D37" s="113"/>
      <c r="E37" s="113"/>
      <c r="F37" s="113"/>
      <c r="G37" s="113"/>
      <c r="H37" s="113"/>
      <c r="I37" s="205"/>
      <c r="J37" s="206"/>
    </row>
    <row r="38" spans="2:10" ht="21" customHeight="1" x14ac:dyDescent="0.35">
      <c r="B38" s="77" t="s">
        <v>30</v>
      </c>
      <c r="C38" s="68"/>
      <c r="D38" s="68"/>
      <c r="E38" s="68"/>
      <c r="F38" s="68"/>
      <c r="G38" s="68"/>
      <c r="H38" s="68"/>
      <c r="I38" s="222">
        <f>'DSCR Calc'!C41</f>
        <v>2250</v>
      </c>
      <c r="J38" s="223"/>
    </row>
    <row r="39" spans="2:10" ht="21" customHeight="1" x14ac:dyDescent="0.35">
      <c r="B39" s="76" t="s">
        <v>31</v>
      </c>
      <c r="C39" s="71"/>
      <c r="D39" s="71"/>
      <c r="E39" s="71"/>
      <c r="F39" s="71"/>
      <c r="G39" s="71"/>
      <c r="H39" s="71"/>
      <c r="I39" s="210" t="s">
        <v>32</v>
      </c>
      <c r="J39" s="211"/>
    </row>
    <row r="40" spans="2:10" ht="21" customHeight="1" x14ac:dyDescent="0.35">
      <c r="B40" s="76" t="s">
        <v>33</v>
      </c>
      <c r="C40" s="71"/>
      <c r="D40" s="71"/>
      <c r="E40" s="71"/>
      <c r="F40" s="71"/>
      <c r="G40" s="71"/>
      <c r="H40" s="71"/>
      <c r="I40" s="157"/>
      <c r="J40" s="158">
        <f>'DSCR Calc'!C62</f>
        <v>353.89687317731739</v>
      </c>
    </row>
    <row r="41" spans="2:10" ht="21" customHeight="1" x14ac:dyDescent="0.35">
      <c r="B41" s="76" t="s">
        <v>34</v>
      </c>
      <c r="C41" s="71"/>
      <c r="D41" s="71"/>
      <c r="E41" s="71"/>
      <c r="F41" s="71"/>
      <c r="G41" s="71"/>
      <c r="H41" s="71"/>
      <c r="I41" s="157"/>
      <c r="J41" s="158">
        <f>SUM('DSCR Calc'!C63:C64)</f>
        <v>5275</v>
      </c>
    </row>
    <row r="42" spans="2:10" ht="21" customHeight="1" x14ac:dyDescent="0.35">
      <c r="B42" s="76" t="s">
        <v>35</v>
      </c>
      <c r="C42" s="71"/>
      <c r="D42" s="71"/>
      <c r="E42" s="71"/>
      <c r="F42" s="71"/>
      <c r="G42" s="71"/>
      <c r="H42" s="71"/>
      <c r="I42" s="157"/>
      <c r="J42" s="158">
        <f>'DSCR Calc'!C47</f>
        <v>0</v>
      </c>
    </row>
    <row r="43" spans="2:10" ht="21" customHeight="1" x14ac:dyDescent="0.35">
      <c r="B43" s="76" t="s">
        <v>36</v>
      </c>
      <c r="C43" s="71"/>
      <c r="D43" s="71"/>
      <c r="E43" s="71"/>
      <c r="F43" s="71"/>
      <c r="G43" s="71"/>
      <c r="H43" s="71"/>
      <c r="I43" s="210">
        <f>'DSCR Calc'!C32</f>
        <v>108000</v>
      </c>
      <c r="J43" s="211"/>
    </row>
    <row r="44" spans="2:10" ht="21" customHeight="1" thickBot="1" x14ac:dyDescent="0.4">
      <c r="B44" s="94" t="s">
        <v>37</v>
      </c>
      <c r="C44" s="95"/>
      <c r="D44" s="95"/>
      <c r="E44" s="95"/>
      <c r="F44" s="95"/>
      <c r="G44" s="95"/>
      <c r="H44" s="95"/>
      <c r="I44" s="165"/>
      <c r="J44" s="166">
        <f>'DSCR Calc'!C46</f>
        <v>0</v>
      </c>
    </row>
    <row r="45" spans="2:10" ht="21" customHeight="1" x14ac:dyDescent="0.35">
      <c r="I45" s="164"/>
      <c r="J45" s="164"/>
    </row>
    <row r="46" spans="2:10" s="1" customFormat="1" ht="18" thickBot="1" x14ac:dyDescent="0.4">
      <c r="B46" s="53" t="s">
        <v>38</v>
      </c>
      <c r="C46" s="54"/>
      <c r="D46" s="54"/>
      <c r="E46" s="54"/>
      <c r="F46" s="55"/>
      <c r="G46" s="55"/>
      <c r="H46" s="54"/>
      <c r="I46" s="212">
        <f>'DSCR Calc'!C50</f>
        <v>11645.143717191713</v>
      </c>
      <c r="J46" s="213"/>
    </row>
    <row r="47" spans="2:10" ht="17.5" x14ac:dyDescent="0.35">
      <c r="B47" s="114" t="str">
        <f>'DSCR Calc'!B48</f>
        <v>Cash from Borrower</v>
      </c>
      <c r="C47" s="115"/>
      <c r="D47" s="115"/>
      <c r="E47" s="115"/>
      <c r="F47" s="116"/>
      <c r="G47" s="116"/>
      <c r="H47" s="115"/>
      <c r="I47" s="214">
        <f>'DSCR Calc'!C65</f>
        <v>121958.89687317732</v>
      </c>
      <c r="J47" s="215"/>
    </row>
    <row r="48" spans="2:10" ht="18" thickBot="1" x14ac:dyDescent="0.4">
      <c r="B48" s="117" t="s">
        <v>39</v>
      </c>
      <c r="C48" s="118"/>
      <c r="D48" s="118"/>
      <c r="E48" s="118"/>
      <c r="F48" s="118"/>
      <c r="G48" s="118"/>
      <c r="H48" s="118"/>
      <c r="I48" s="199">
        <f>'DSCR Calc'!C66</f>
        <v>139426.61244896488</v>
      </c>
      <c r="J48" s="200"/>
    </row>
    <row r="49" spans="2:10" ht="19" thickBot="1" x14ac:dyDescent="0.4">
      <c r="B49" s="56"/>
      <c r="C49" s="57"/>
      <c r="D49" s="57"/>
      <c r="E49" s="57"/>
      <c r="F49" s="57"/>
      <c r="G49" s="57"/>
      <c r="H49" s="57"/>
      <c r="I49" s="167"/>
      <c r="J49" s="167"/>
    </row>
    <row r="50" spans="2:10" ht="17.5" x14ac:dyDescent="0.35">
      <c r="B50" s="119" t="s">
        <v>40</v>
      </c>
      <c r="C50" s="120"/>
      <c r="D50" s="120"/>
      <c r="E50" s="120"/>
      <c r="F50" s="120"/>
      <c r="G50" s="120"/>
      <c r="H50" s="120"/>
      <c r="I50" s="201">
        <f>'DSCR Calc'!C22-'DSCR Calc'!C30</f>
        <v>559.14271380138098</v>
      </c>
      <c r="J50" s="202"/>
    </row>
    <row r="51" spans="2:10" ht="18" thickBot="1" x14ac:dyDescent="0.4">
      <c r="B51" s="121" t="s">
        <v>41</v>
      </c>
      <c r="C51" s="122"/>
      <c r="D51" s="122"/>
      <c r="E51" s="122"/>
      <c r="F51" s="122"/>
      <c r="G51" s="122"/>
      <c r="H51" s="122"/>
      <c r="I51" s="203">
        <f>'DSCR Calc'!C31</f>
        <v>1.2880905864524037</v>
      </c>
      <c r="J51" s="204"/>
    </row>
    <row r="52" spans="2:10" ht="16.5" thickBot="1" x14ac:dyDescent="0.4">
      <c r="B52" s="58"/>
      <c r="C52" s="58"/>
      <c r="D52" s="58"/>
      <c r="E52" s="58"/>
      <c r="F52" s="58"/>
      <c r="G52" s="58"/>
      <c r="H52" s="58"/>
      <c r="I52" s="168"/>
      <c r="J52" s="169"/>
    </row>
    <row r="53" spans="2:10" ht="15.75" customHeight="1" thickBot="1" x14ac:dyDescent="0.4">
      <c r="B53" s="123" t="s">
        <v>42</v>
      </c>
      <c r="C53" s="124"/>
      <c r="D53" s="125"/>
      <c r="E53" s="125"/>
      <c r="F53" s="125"/>
      <c r="G53" s="125"/>
      <c r="H53" s="125"/>
      <c r="I53" s="170"/>
      <c r="J53" s="171"/>
    </row>
    <row r="54" spans="2:10" ht="39" customHeight="1" x14ac:dyDescent="0.35">
      <c r="B54" s="193" t="s">
        <v>43</v>
      </c>
      <c r="C54" s="194"/>
      <c r="D54" s="194"/>
      <c r="E54" s="194"/>
      <c r="F54" s="194"/>
      <c r="G54" s="194"/>
      <c r="H54" s="194"/>
      <c r="I54" s="194"/>
      <c r="J54" s="195"/>
    </row>
    <row r="55" spans="2:10" ht="11.25" customHeight="1" x14ac:dyDescent="0.35">
      <c r="B55" s="59"/>
      <c r="C55" s="60"/>
      <c r="D55" s="60"/>
      <c r="E55" s="60"/>
      <c r="F55" s="60"/>
      <c r="G55" s="60"/>
      <c r="H55" s="60"/>
      <c r="I55" s="60"/>
      <c r="J55" s="61"/>
    </row>
    <row r="56" spans="2:10" ht="15" customHeight="1" x14ac:dyDescent="0.35">
      <c r="B56" s="193" t="s">
        <v>44</v>
      </c>
      <c r="C56" s="194"/>
      <c r="D56" s="194"/>
      <c r="E56" s="194"/>
      <c r="F56" s="194"/>
      <c r="G56" s="194"/>
      <c r="H56" s="194"/>
      <c r="I56" s="194"/>
      <c r="J56" s="195"/>
    </row>
    <row r="57" spans="2:10" ht="21" customHeight="1" x14ac:dyDescent="0.35">
      <c r="B57" s="193"/>
      <c r="C57" s="194"/>
      <c r="D57" s="194"/>
      <c r="E57" s="194"/>
      <c r="F57" s="194"/>
      <c r="G57" s="194"/>
      <c r="H57" s="194"/>
      <c r="I57" s="194"/>
      <c r="J57" s="195"/>
    </row>
    <row r="58" spans="2:10" ht="15" customHeight="1" x14ac:dyDescent="0.35">
      <c r="B58" s="193"/>
      <c r="C58" s="194"/>
      <c r="D58" s="194"/>
      <c r="E58" s="194"/>
      <c r="F58" s="194"/>
      <c r="G58" s="194"/>
      <c r="H58" s="194"/>
      <c r="I58" s="194"/>
      <c r="J58" s="195"/>
    </row>
    <row r="59" spans="2:10" ht="15" customHeight="1" x14ac:dyDescent="0.35">
      <c r="B59" s="193"/>
      <c r="C59" s="194"/>
      <c r="D59" s="194"/>
      <c r="E59" s="194"/>
      <c r="F59" s="194"/>
      <c r="G59" s="194"/>
      <c r="H59" s="194"/>
      <c r="I59" s="194"/>
      <c r="J59" s="195"/>
    </row>
    <row r="60" spans="2:10" ht="21" customHeight="1" thickBot="1" x14ac:dyDescent="0.4">
      <c r="B60" s="196"/>
      <c r="C60" s="197"/>
      <c r="D60" s="197"/>
      <c r="E60" s="197"/>
      <c r="F60" s="197"/>
      <c r="G60" s="197"/>
      <c r="H60" s="197"/>
      <c r="I60" s="197"/>
      <c r="J60" s="198"/>
    </row>
    <row r="61" spans="2:10" ht="10" customHeight="1" x14ac:dyDescent="0.35">
      <c r="B61" s="62"/>
      <c r="C61" s="62"/>
      <c r="D61" s="62"/>
      <c r="E61" s="62"/>
      <c r="F61" s="62"/>
      <c r="G61" s="62"/>
      <c r="H61" s="62"/>
      <c r="I61" s="62"/>
      <c r="J61" s="62"/>
    </row>
    <row r="62" spans="2:10" ht="36.75" customHeight="1" x14ac:dyDescent="0.35">
      <c r="B62" s="175" t="s">
        <v>45</v>
      </c>
      <c r="C62" s="176"/>
      <c r="D62" s="176"/>
      <c r="E62" s="176"/>
      <c r="F62" s="176"/>
      <c r="G62" s="176"/>
      <c r="H62" s="176"/>
      <c r="I62" s="176"/>
      <c r="J62" s="176"/>
    </row>
    <row r="63" spans="2:10" ht="21.75" customHeight="1" x14ac:dyDescent="0.35">
      <c r="B63" s="176"/>
      <c r="C63" s="176"/>
      <c r="D63" s="176"/>
      <c r="E63" s="176"/>
      <c r="F63" s="176"/>
      <c r="G63" s="176"/>
      <c r="H63" s="176"/>
      <c r="I63" s="176"/>
      <c r="J63" s="176"/>
    </row>
    <row r="64" spans="2:10" ht="41.25" customHeight="1" x14ac:dyDescent="0.35">
      <c r="C64" s="46" t="s">
        <v>46</v>
      </c>
      <c r="D64" s="46"/>
      <c r="E64" s="46"/>
      <c r="F64" s="46"/>
      <c r="H64" s="46"/>
      <c r="I64" s="46" t="s">
        <v>47</v>
      </c>
      <c r="J64" s="46"/>
    </row>
    <row r="65" spans="2:10" ht="15" x14ac:dyDescent="0.35">
      <c r="B65" s="63"/>
      <c r="C65" s="57"/>
      <c r="D65" s="57"/>
      <c r="E65" s="57"/>
      <c r="F65" s="57"/>
      <c r="G65" s="57"/>
      <c r="H65" s="57"/>
      <c r="I65" s="57"/>
      <c r="J65" s="57"/>
    </row>
    <row r="66" spans="2:10" x14ac:dyDescent="0.35">
      <c r="B66" s="126"/>
      <c r="C66" s="127"/>
      <c r="D66" s="127"/>
      <c r="E66" s="127"/>
      <c r="F66" s="127"/>
      <c r="G66" s="127"/>
      <c r="H66" s="127"/>
      <c r="I66" s="127"/>
      <c r="J66" s="127"/>
    </row>
  </sheetData>
  <sheetProtection algorithmName="SHA-512" hashValue="rfJXmKprsLBWafbpBA9UEGW0k0ok7fggtnpoDV1rUtKwl7w/s3y367/By0QtHqL4Menu8chhcI6SUD9UhvH3MA==" saltValue="q4BoH3aGPwdGKgFe1bIgyQ==" spinCount="100000" sheet="1" formatCells="0" formatColumns="0" formatRows="0" insertColumns="0" insertRows="0" insertHyperlinks="0" deleteColumns="0" deleteRows="0" sort="0" autoFilter="0" pivotTables="0"/>
  <mergeCells count="26">
    <mergeCell ref="B3:E8"/>
    <mergeCell ref="B54:J54"/>
    <mergeCell ref="I39:J39"/>
    <mergeCell ref="I46:J46"/>
    <mergeCell ref="I47:J47"/>
    <mergeCell ref="I28:J28"/>
    <mergeCell ref="I29:J29"/>
    <mergeCell ref="I32:J32"/>
    <mergeCell ref="I43:J43"/>
    <mergeCell ref="I33:J33"/>
    <mergeCell ref="I38:J38"/>
    <mergeCell ref="B62:J63"/>
    <mergeCell ref="I11:J11"/>
    <mergeCell ref="I12:J12"/>
    <mergeCell ref="I14:J14"/>
    <mergeCell ref="I19:J19"/>
    <mergeCell ref="I20:J20"/>
    <mergeCell ref="I22:J22"/>
    <mergeCell ref="I23:J23"/>
    <mergeCell ref="I25:J25"/>
    <mergeCell ref="I26:J26"/>
    <mergeCell ref="B56:J60"/>
    <mergeCell ref="I48:J48"/>
    <mergeCell ref="I50:J50"/>
    <mergeCell ref="I51:J51"/>
    <mergeCell ref="I37:J37"/>
  </mergeCells>
  <pageMargins left="0.45" right="0.45" top="0.25" bottom="0.5" header="0.05" footer="0.05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D515-F4FC-4AF8-AF03-BEB33C90C55B}">
  <dimension ref="A1:AB66"/>
  <sheetViews>
    <sheetView showGridLines="0" zoomScale="115" zoomScaleNormal="115" workbookViewId="0">
      <selection activeCell="C29" sqref="C29"/>
    </sheetView>
  </sheetViews>
  <sheetFormatPr defaultRowHeight="13.5" x14ac:dyDescent="0.25"/>
  <cols>
    <col min="1" max="1" width="3.7265625" style="16" customWidth="1"/>
    <col min="2" max="2" width="77.81640625" style="16" bestFit="1" customWidth="1"/>
    <col min="3" max="3" width="27.1796875" style="16" bestFit="1" customWidth="1"/>
    <col min="4" max="4" width="9.453125" style="16" customWidth="1"/>
    <col min="5" max="5" width="2" style="16" hidden="1" customWidth="1"/>
    <col min="6" max="6" width="6.54296875" style="16" customWidth="1"/>
    <col min="7" max="7" width="9.1796875" style="16" customWidth="1"/>
    <col min="8" max="8" width="15.7265625" style="16" customWidth="1"/>
    <col min="9" max="10" width="9.1796875" style="16" customWidth="1"/>
    <col min="11" max="11" width="18" style="16" customWidth="1"/>
    <col min="12" max="14" width="9.1796875" style="16" customWidth="1"/>
    <col min="15" max="16381" width="9.1796875" style="16"/>
    <col min="16382" max="16384" width="9.1796875" style="16" bestFit="1" customWidth="1"/>
  </cols>
  <sheetData>
    <row r="1" spans="2:28" ht="27" customHeight="1" thickBot="1" x14ac:dyDescent="0.55000000000000004">
      <c r="B1" s="37" t="s">
        <v>48</v>
      </c>
      <c r="C1" s="36"/>
    </row>
    <row r="2" spans="2:28" ht="15.5" thickBot="1" x14ac:dyDescent="0.35">
      <c r="B2" s="35"/>
      <c r="C2" s="34"/>
      <c r="D2" s="25"/>
      <c r="E2" s="25">
        <f>IF(C31&gt;=1,6,9)</f>
        <v>6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2:28" ht="14" x14ac:dyDescent="0.3">
      <c r="B3" s="128" t="s">
        <v>49</v>
      </c>
      <c r="C3" s="33"/>
      <c r="D3" s="25"/>
      <c r="E3" s="25"/>
      <c r="F3" s="25"/>
      <c r="G3" s="25"/>
      <c r="H3" s="25"/>
      <c r="I3" s="25"/>
      <c r="J3" s="30"/>
      <c r="K3" s="30"/>
      <c r="L3" s="30"/>
      <c r="M3" s="30"/>
      <c r="N3" s="30"/>
      <c r="O3" s="30"/>
      <c r="P3" s="30"/>
      <c r="Q3" s="30"/>
      <c r="R3" s="30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2:28" x14ac:dyDescent="0.25">
      <c r="B4" s="2" t="s">
        <v>50</v>
      </c>
      <c r="C4" s="3"/>
      <c r="D4" s="25"/>
      <c r="E4" s="32"/>
      <c r="F4" s="25"/>
      <c r="G4" s="25"/>
      <c r="H4" s="25"/>
      <c r="I4" s="25"/>
      <c r="J4" s="30"/>
      <c r="K4" s="30"/>
      <c r="L4" s="30"/>
      <c r="M4" s="30"/>
      <c r="N4" s="30"/>
      <c r="O4" s="30"/>
      <c r="P4" s="30"/>
      <c r="Q4" s="30"/>
      <c r="R4" s="30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2:28" x14ac:dyDescent="0.25">
      <c r="B5" s="2" t="s">
        <v>51</v>
      </c>
      <c r="C5" s="3"/>
      <c r="D5" s="25"/>
      <c r="E5" s="25"/>
      <c r="F5" s="25"/>
      <c r="G5" s="25"/>
      <c r="H5" s="25"/>
      <c r="I5" s="25"/>
      <c r="J5" s="30"/>
      <c r="K5" s="30"/>
      <c r="L5" s="30"/>
      <c r="M5" s="30"/>
      <c r="N5" s="30"/>
      <c r="O5" s="30"/>
      <c r="P5" s="30"/>
      <c r="Q5" s="30"/>
      <c r="R5" s="30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2:28" x14ac:dyDescent="0.25">
      <c r="B6" s="2" t="s">
        <v>52</v>
      </c>
      <c r="C6" s="3"/>
      <c r="D6" s="25"/>
      <c r="E6" s="25"/>
      <c r="F6" s="25"/>
      <c r="G6" s="25"/>
      <c r="H6" s="25"/>
      <c r="I6" s="25"/>
      <c r="J6" s="30"/>
      <c r="K6" s="30"/>
      <c r="L6" s="30"/>
      <c r="M6" s="30"/>
      <c r="N6" s="30"/>
      <c r="O6" s="30"/>
      <c r="P6" s="30"/>
      <c r="Q6" s="30"/>
      <c r="R6" s="30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2:28" x14ac:dyDescent="0.25">
      <c r="B7" s="2" t="s">
        <v>9</v>
      </c>
      <c r="C7" s="3">
        <v>689</v>
      </c>
      <c r="D7" s="25"/>
      <c r="E7" s="25"/>
      <c r="F7" s="25"/>
      <c r="G7" s="25"/>
      <c r="H7" s="25"/>
      <c r="I7" s="25"/>
      <c r="J7" s="30"/>
      <c r="K7" s="30"/>
      <c r="L7" s="30"/>
      <c r="M7" s="30"/>
      <c r="N7" s="30"/>
      <c r="O7" s="30"/>
      <c r="P7" s="30"/>
      <c r="Q7" s="30"/>
      <c r="R7" s="30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2:28" x14ac:dyDescent="0.25">
      <c r="B8" s="2" t="s">
        <v>53</v>
      </c>
      <c r="C8" s="91">
        <v>45768</v>
      </c>
      <c r="D8" s="25"/>
      <c r="E8" s="25"/>
      <c r="F8" s="25"/>
      <c r="G8" s="25"/>
      <c r="H8" s="25"/>
      <c r="I8" s="25"/>
      <c r="J8" s="30"/>
      <c r="K8" s="30"/>
      <c r="L8" s="30"/>
      <c r="M8" s="30"/>
      <c r="N8" s="30"/>
      <c r="O8" s="30"/>
      <c r="P8" s="30"/>
      <c r="Q8" s="30"/>
      <c r="R8" s="30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2:28" ht="13.5" customHeight="1" x14ac:dyDescent="0.25">
      <c r="B9" s="2" t="s">
        <v>54</v>
      </c>
      <c r="C9" s="91" t="s">
        <v>55</v>
      </c>
      <c r="D9" s="25"/>
      <c r="E9" s="25"/>
      <c r="F9" s="25"/>
      <c r="G9" s="25"/>
      <c r="H9" s="25"/>
      <c r="I9" s="25"/>
      <c r="J9" s="30"/>
      <c r="K9" s="30"/>
      <c r="L9" s="30"/>
      <c r="M9" s="30"/>
      <c r="N9" s="30"/>
      <c r="O9" s="30"/>
      <c r="P9" s="30"/>
      <c r="Q9" s="30"/>
      <c r="R9" s="30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2:28" ht="14" x14ac:dyDescent="0.3">
      <c r="B10" s="2" t="s">
        <v>7</v>
      </c>
      <c r="C10" s="4" t="s">
        <v>56</v>
      </c>
      <c r="D10" s="25"/>
      <c r="E10" s="25"/>
      <c r="F10" s="25"/>
      <c r="G10" s="25"/>
      <c r="H10" s="25"/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2:28" ht="14" x14ac:dyDescent="0.3">
      <c r="B11" s="2" t="s">
        <v>57</v>
      </c>
      <c r="C11" s="4" t="s">
        <v>58</v>
      </c>
      <c r="D11" s="25"/>
      <c r="E11" s="25"/>
      <c r="F11" s="25"/>
      <c r="G11" s="25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2:28" ht="14" x14ac:dyDescent="0.3">
      <c r="B12" s="2" t="s">
        <v>59</v>
      </c>
      <c r="C12" s="4"/>
      <c r="D12" s="25"/>
      <c r="E12" s="25"/>
      <c r="F12" s="25"/>
      <c r="G12" s="25"/>
      <c r="H12" s="25"/>
      <c r="I12" s="25"/>
      <c r="J12" s="30"/>
      <c r="K12" s="30"/>
      <c r="L12" s="30"/>
      <c r="M12" s="30"/>
      <c r="N12" s="30"/>
      <c r="O12" s="30"/>
      <c r="P12" s="30"/>
      <c r="Q12" s="30"/>
      <c r="R12" s="30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2:28" x14ac:dyDescent="0.25">
      <c r="B13" s="2" t="s">
        <v>60</v>
      </c>
      <c r="C13" s="5">
        <v>258000</v>
      </c>
      <c r="D13" s="25"/>
      <c r="E13" s="25"/>
      <c r="F13" s="25"/>
      <c r="G13" s="25"/>
      <c r="H13" s="25"/>
      <c r="I13" s="25"/>
      <c r="J13" s="30"/>
      <c r="K13" s="30"/>
      <c r="L13" s="30"/>
      <c r="M13" s="30"/>
      <c r="N13" s="30"/>
      <c r="O13" s="30"/>
      <c r="P13" s="30"/>
      <c r="Q13" s="30"/>
      <c r="R13" s="30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2:28" ht="14" thickBot="1" x14ac:dyDescent="0.3">
      <c r="B14" s="6" t="s">
        <v>61</v>
      </c>
      <c r="C14" s="7">
        <v>258000</v>
      </c>
      <c r="D14" s="25"/>
      <c r="E14" s="25"/>
      <c r="F14" s="25"/>
      <c r="G14" s="25"/>
      <c r="H14" s="25"/>
      <c r="I14" s="25"/>
      <c r="J14" s="30"/>
      <c r="K14" s="30"/>
      <c r="L14" s="30"/>
      <c r="M14" s="30"/>
      <c r="N14" s="30"/>
      <c r="O14" s="30"/>
      <c r="P14" s="30"/>
      <c r="Q14" s="30"/>
      <c r="R14" s="30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2:28" ht="14.5" thickBot="1" x14ac:dyDescent="0.35">
      <c r="B15" s="129" t="s">
        <v>62</v>
      </c>
      <c r="C15" s="130">
        <f>IF(C10="Purchase",MIN(C14,C13),C14)</f>
        <v>258000</v>
      </c>
      <c r="D15" s="25"/>
      <c r="E15" s="25"/>
      <c r="F15" s="25"/>
      <c r="G15" s="25"/>
      <c r="H15" s="25"/>
      <c r="I15" s="25"/>
      <c r="J15" s="30"/>
      <c r="K15" s="30"/>
      <c r="L15" s="30"/>
      <c r="M15" s="30"/>
      <c r="N15" s="30"/>
      <c r="O15" s="30"/>
      <c r="P15" s="30"/>
      <c r="Q15" s="30"/>
      <c r="R15" s="30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2:28" ht="14.5" thickBot="1" x14ac:dyDescent="0.35">
      <c r="B16" s="10"/>
      <c r="C16" s="11"/>
      <c r="D16" s="25"/>
      <c r="E16" s="25"/>
      <c r="F16" s="25"/>
      <c r="G16" s="25"/>
      <c r="H16" s="25"/>
      <c r="I16" s="25"/>
      <c r="J16" s="30"/>
      <c r="K16" s="30"/>
      <c r="L16" s="30"/>
      <c r="M16" s="30"/>
      <c r="N16" s="30"/>
      <c r="O16" s="30"/>
      <c r="P16" s="30"/>
      <c r="Q16" s="30"/>
      <c r="R16" s="30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2:28" x14ac:dyDescent="0.25">
      <c r="B17" s="12" t="s">
        <v>63</v>
      </c>
      <c r="C17" s="172">
        <v>150000</v>
      </c>
      <c r="D17" s="25"/>
      <c r="E17" s="25"/>
      <c r="F17" s="25"/>
      <c r="G17" s="25"/>
      <c r="H17" s="25"/>
      <c r="I17" s="25"/>
      <c r="J17" s="30"/>
      <c r="K17" s="31"/>
      <c r="L17" s="30"/>
      <c r="M17" s="30"/>
      <c r="N17" s="30"/>
      <c r="O17" s="30"/>
      <c r="P17" s="30"/>
      <c r="Q17" s="30"/>
      <c r="R17" s="30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2:28" ht="14" x14ac:dyDescent="0.3">
      <c r="B18" s="2" t="s">
        <v>64</v>
      </c>
      <c r="C18" s="13" t="s">
        <v>65</v>
      </c>
      <c r="D18" s="25"/>
      <c r="E18" s="25"/>
      <c r="F18" s="25"/>
      <c r="G18" s="25"/>
      <c r="H18" s="25"/>
      <c r="I18" s="25"/>
      <c r="J18" s="30"/>
      <c r="K18" s="31"/>
      <c r="L18" s="30"/>
      <c r="M18" s="30"/>
      <c r="N18" s="30"/>
      <c r="O18" s="30"/>
      <c r="P18" s="30"/>
      <c r="Q18" s="30"/>
      <c r="R18" s="30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2:28" x14ac:dyDescent="0.25">
      <c r="B19" s="2" t="s">
        <v>66</v>
      </c>
      <c r="C19" s="14">
        <v>7.6249999999999998E-2</v>
      </c>
      <c r="D19" s="25"/>
      <c r="E19" s="25"/>
      <c r="F19" s="25"/>
      <c r="G19" s="25"/>
      <c r="H19" s="25"/>
      <c r="I19" s="25"/>
      <c r="J19" s="30"/>
      <c r="K19" s="30"/>
      <c r="L19" s="30"/>
      <c r="M19" s="30"/>
      <c r="N19" s="30"/>
      <c r="O19" s="30"/>
      <c r="P19" s="30"/>
      <c r="Q19" s="30"/>
      <c r="R19" s="30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2:28" x14ac:dyDescent="0.25">
      <c r="B20" s="2" t="s">
        <v>67</v>
      </c>
      <c r="C20" s="5">
        <v>2500</v>
      </c>
      <c r="D20" s="25"/>
      <c r="E20" s="25"/>
      <c r="F20" s="25"/>
      <c r="G20" s="25"/>
      <c r="H20" s="25"/>
      <c r="I20" s="25"/>
      <c r="J20" s="30"/>
      <c r="K20" s="30"/>
      <c r="L20" s="30"/>
      <c r="M20" s="30"/>
      <c r="N20" s="30"/>
      <c r="O20" s="30"/>
      <c r="P20" s="30"/>
      <c r="Q20" s="30"/>
      <c r="R20" s="30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2:28" ht="14" thickBot="1" x14ac:dyDescent="0.3">
      <c r="B21" s="6" t="s">
        <v>68</v>
      </c>
      <c r="C21" s="7">
        <v>1950</v>
      </c>
      <c r="D21" s="25"/>
      <c r="E21" s="25"/>
      <c r="F21" s="25"/>
      <c r="G21" s="25"/>
      <c r="H21" s="25"/>
      <c r="I21" s="25"/>
      <c r="J21" s="30"/>
      <c r="K21" s="30"/>
      <c r="L21" s="30"/>
      <c r="M21" s="30"/>
      <c r="N21" s="30"/>
      <c r="O21" s="30"/>
      <c r="P21" s="30"/>
      <c r="Q21" s="30"/>
      <c r="R21" s="30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2:28" ht="14" x14ac:dyDescent="0.3">
      <c r="B22" s="128" t="s">
        <v>69</v>
      </c>
      <c r="C22" s="131">
        <f>IF(C10="Purchase",C20,MIN(C20*1.1,C21))</f>
        <v>2500</v>
      </c>
      <c r="D22" s="25"/>
      <c r="E22" s="25"/>
      <c r="F22" s="25"/>
      <c r="G22" s="25"/>
      <c r="H22" s="25"/>
      <c r="I22" s="25"/>
      <c r="J22" s="30"/>
      <c r="K22" s="30"/>
      <c r="L22" s="30"/>
      <c r="M22" s="30"/>
      <c r="N22" s="30"/>
      <c r="O22" s="30"/>
      <c r="P22" s="30"/>
      <c r="Q22" s="30"/>
      <c r="R22" s="30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2:28" ht="14.5" thickBot="1" x14ac:dyDescent="0.35">
      <c r="B23" s="132" t="s">
        <v>70</v>
      </c>
      <c r="C23" s="133">
        <f>IF($C$18="YES",(C$17*C$19/12),PMT(C$19/12,Sheet1!A22,-C$17,0))</f>
        <v>1061.6906195319523</v>
      </c>
      <c r="D23" s="25"/>
      <c r="E23" s="25"/>
      <c r="F23" s="25"/>
      <c r="G23" s="25"/>
      <c r="H23" s="25"/>
      <c r="I23" s="25"/>
      <c r="J23" s="30"/>
      <c r="L23" s="30"/>
      <c r="M23" s="30"/>
      <c r="N23" s="30"/>
      <c r="O23" s="30"/>
      <c r="P23" s="30"/>
      <c r="Q23" s="30"/>
      <c r="R23" s="30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2:28" ht="14" thickBot="1" x14ac:dyDescent="0.3">
      <c r="D24" s="25"/>
      <c r="E24" s="25"/>
      <c r="F24" s="25"/>
      <c r="G24" s="25"/>
      <c r="H24" s="25"/>
      <c r="I24" s="25"/>
      <c r="J24" s="30"/>
      <c r="K24" s="30"/>
      <c r="L24" s="30"/>
      <c r="M24" s="30"/>
      <c r="N24" s="30"/>
      <c r="O24" s="30"/>
      <c r="P24" s="30"/>
      <c r="Q24" s="30"/>
      <c r="R24" s="30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2:28" x14ac:dyDescent="0.25">
      <c r="B25" s="17" t="s">
        <v>71</v>
      </c>
      <c r="C25" s="18">
        <v>8850</v>
      </c>
      <c r="D25" s="25"/>
      <c r="E25" s="25"/>
      <c r="F25" s="25"/>
      <c r="G25" s="25"/>
      <c r="H25" s="25"/>
      <c r="I25" s="25"/>
      <c r="J25" s="30"/>
      <c r="L25" s="30"/>
      <c r="M25" s="30"/>
      <c r="N25" s="30"/>
      <c r="O25" s="30"/>
      <c r="P25" s="30"/>
      <c r="Q25" s="30"/>
      <c r="R25" s="30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2:28" x14ac:dyDescent="0.25">
      <c r="B26" s="19" t="s">
        <v>72</v>
      </c>
      <c r="C26" s="20">
        <v>1700</v>
      </c>
      <c r="D26" s="25"/>
      <c r="E26" s="25"/>
      <c r="F26" s="25"/>
      <c r="G26" s="25"/>
      <c r="I26" s="25"/>
      <c r="J26" s="30"/>
      <c r="L26" s="30"/>
      <c r="M26" s="30"/>
      <c r="N26" s="30"/>
      <c r="O26" s="30"/>
      <c r="P26" s="30"/>
      <c r="Q26" s="30"/>
      <c r="R26" s="30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2:28" x14ac:dyDescent="0.25">
      <c r="B27" s="19" t="s">
        <v>73</v>
      </c>
      <c r="C27" s="20">
        <v>0</v>
      </c>
      <c r="D27" s="25"/>
      <c r="E27" s="25"/>
      <c r="F27" s="25"/>
      <c r="G27" s="25"/>
      <c r="H27" s="25"/>
      <c r="I27" s="25"/>
      <c r="J27" s="30"/>
      <c r="K27" s="30"/>
      <c r="L27" s="30"/>
      <c r="M27" s="30"/>
      <c r="N27" s="30"/>
      <c r="O27" s="30"/>
      <c r="P27" s="30"/>
      <c r="Q27" s="30"/>
      <c r="R27" s="30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2:28" x14ac:dyDescent="0.25">
      <c r="B28" s="19" t="s">
        <v>74</v>
      </c>
      <c r="C28" s="21">
        <v>0</v>
      </c>
      <c r="D28" s="25"/>
      <c r="E28" s="25"/>
      <c r="F28" s="25"/>
      <c r="G28" s="25"/>
      <c r="H28" s="25"/>
      <c r="I28" s="25"/>
      <c r="J28" s="30"/>
      <c r="K28" s="30"/>
      <c r="L28" s="30"/>
      <c r="M28" s="30"/>
      <c r="N28" s="30"/>
      <c r="O28" s="30"/>
      <c r="P28" s="30"/>
      <c r="Q28" s="30"/>
      <c r="R28" s="30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2:28" ht="14" x14ac:dyDescent="0.3">
      <c r="B29" s="134" t="s">
        <v>18</v>
      </c>
      <c r="C29" s="135">
        <f>(C27+C26+C28+C25)/12</f>
        <v>879.16666666666663</v>
      </c>
      <c r="D29" s="25"/>
      <c r="E29" s="25"/>
      <c r="F29" s="25"/>
      <c r="G29" s="25"/>
      <c r="H29" s="25"/>
      <c r="I29" s="25"/>
      <c r="J29" s="30"/>
      <c r="K29" s="30"/>
      <c r="L29" s="30"/>
      <c r="M29" s="30"/>
      <c r="N29" s="30"/>
      <c r="O29" s="30"/>
      <c r="P29" s="30"/>
      <c r="Q29" s="30"/>
      <c r="R29" s="30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2:28" ht="14" x14ac:dyDescent="0.3">
      <c r="B30" s="134" t="s">
        <v>75</v>
      </c>
      <c r="C30" s="135">
        <f>C29+C23</f>
        <v>1940.857286198619</v>
      </c>
      <c r="D30" s="25"/>
      <c r="E30" s="25"/>
      <c r="F30" s="25"/>
      <c r="G30" s="25"/>
      <c r="H30" s="25"/>
      <c r="I30" s="25"/>
      <c r="J30" s="30"/>
      <c r="K30" s="30"/>
      <c r="L30" s="30"/>
      <c r="M30" s="30"/>
      <c r="N30" s="30"/>
      <c r="O30" s="30"/>
      <c r="P30" s="30"/>
      <c r="Q30" s="30"/>
      <c r="R30" s="30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2:28" ht="14" x14ac:dyDescent="0.3">
      <c r="B31" s="134" t="s">
        <v>76</v>
      </c>
      <c r="C31" s="24">
        <f>C22/C30</f>
        <v>1.2880905864524037</v>
      </c>
      <c r="D31" s="25"/>
      <c r="E31" s="25"/>
      <c r="F31" s="25"/>
      <c r="G31" s="25"/>
      <c r="H31" s="25"/>
      <c r="I31" s="25"/>
      <c r="J31" s="30"/>
      <c r="K31" s="30"/>
      <c r="L31" s="30"/>
      <c r="M31" s="30"/>
      <c r="N31" s="30"/>
      <c r="O31" s="30"/>
      <c r="P31" s="30"/>
      <c r="Q31" s="30"/>
      <c r="R31" s="30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2:28" ht="14.5" thickBot="1" x14ac:dyDescent="0.35">
      <c r="B32" s="136" t="s">
        <v>36</v>
      </c>
      <c r="C32" s="137">
        <f>ABS(IF(C10="Purchase",C13-C17,0))</f>
        <v>108000</v>
      </c>
      <c r="D32" s="25"/>
      <c r="E32" s="25"/>
      <c r="F32" s="25"/>
      <c r="G32" s="25"/>
      <c r="H32" s="25"/>
      <c r="I32" s="25"/>
      <c r="J32" s="30"/>
      <c r="K32" s="30"/>
      <c r="L32" s="30"/>
      <c r="M32" s="30"/>
      <c r="N32" s="30"/>
      <c r="O32" s="30"/>
      <c r="P32" s="30"/>
      <c r="Q32" s="30"/>
      <c r="R32" s="30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14" thickBot="1" x14ac:dyDescent="0.3">
      <c r="A33" s="25"/>
      <c r="B33" s="25"/>
      <c r="C33" s="25"/>
      <c r="D33" s="25"/>
      <c r="E33" s="25"/>
      <c r="F33" s="25"/>
      <c r="G33" s="25"/>
      <c r="H33" s="25"/>
      <c r="I33" s="25"/>
      <c r="J33" s="30"/>
      <c r="K33" s="30"/>
      <c r="L33" s="30"/>
      <c r="M33" s="30"/>
      <c r="N33" s="30"/>
      <c r="O33" s="30"/>
      <c r="P33" s="30"/>
      <c r="Q33" s="30"/>
      <c r="R33" s="30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B34" s="17"/>
      <c r="C34" s="87"/>
      <c r="D34" s="25"/>
      <c r="E34" s="25"/>
      <c r="F34" s="25"/>
      <c r="G34" s="25"/>
      <c r="H34" s="25"/>
      <c r="I34" s="25"/>
      <c r="J34" s="30"/>
      <c r="K34" s="30"/>
      <c r="L34" s="30"/>
      <c r="M34" s="30"/>
      <c r="N34" s="30"/>
      <c r="O34" s="30"/>
      <c r="P34" s="30"/>
      <c r="Q34" s="30"/>
      <c r="R34" s="30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B35" s="19" t="s">
        <v>77</v>
      </c>
      <c r="C35" s="82">
        <v>0</v>
      </c>
      <c r="D35" s="25"/>
      <c r="E35" s="25"/>
      <c r="F35" s="25"/>
      <c r="G35" s="25"/>
      <c r="H35" s="25"/>
      <c r="I35" s="25"/>
      <c r="J35" s="30"/>
      <c r="K35" s="30"/>
      <c r="L35" s="30"/>
      <c r="M35" s="30"/>
      <c r="N35" s="30"/>
      <c r="O35" s="30"/>
      <c r="P35" s="30"/>
      <c r="Q35" s="30"/>
      <c r="R35" s="30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B36" s="19" t="s">
        <v>78</v>
      </c>
      <c r="C36" s="82">
        <v>0.02</v>
      </c>
      <c r="D36" s="25"/>
      <c r="E36" s="25"/>
      <c r="F36" s="25"/>
      <c r="G36" s="25"/>
      <c r="H36" s="25"/>
      <c r="I36" s="25"/>
      <c r="J36" s="30"/>
      <c r="K36" s="30"/>
      <c r="L36" s="30"/>
      <c r="M36" s="30"/>
      <c r="N36" s="30"/>
      <c r="O36" s="30"/>
      <c r="P36" s="30"/>
      <c r="Q36" s="30"/>
      <c r="R36" s="30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x14ac:dyDescent="0.25">
      <c r="B37" s="101" t="s">
        <v>79</v>
      </c>
      <c r="C37" s="102">
        <v>1.4999999999999999E-2</v>
      </c>
      <c r="D37" s="25"/>
      <c r="E37" s="25"/>
      <c r="F37" s="25"/>
      <c r="G37" s="25"/>
      <c r="H37" s="25"/>
      <c r="I37" s="25"/>
      <c r="J37" s="30"/>
      <c r="K37" s="30"/>
      <c r="L37" s="30"/>
      <c r="M37" s="30"/>
      <c r="N37" s="30"/>
      <c r="O37" s="30"/>
      <c r="P37" s="30"/>
      <c r="Q37" s="30"/>
      <c r="R37" s="30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4" x14ac:dyDescent="0.3">
      <c r="B38" s="83"/>
      <c r="C38" s="147"/>
      <c r="D38" s="25"/>
      <c r="E38" s="25"/>
      <c r="F38" s="25"/>
      <c r="G38" s="25"/>
      <c r="H38" s="25"/>
      <c r="I38" s="25"/>
      <c r="J38" s="30"/>
      <c r="K38" s="30"/>
      <c r="L38" s="30"/>
      <c r="M38" s="30"/>
      <c r="N38" s="30"/>
      <c r="O38" s="30"/>
      <c r="P38" s="30"/>
      <c r="Q38" s="30"/>
      <c r="R38" s="30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14" x14ac:dyDescent="0.3">
      <c r="B39" s="84" t="s">
        <v>80</v>
      </c>
      <c r="C39" s="148">
        <f>C17*C35</f>
        <v>0</v>
      </c>
      <c r="D39" s="25"/>
      <c r="E39" s="25"/>
      <c r="F39" s="25"/>
      <c r="G39" s="25"/>
      <c r="H39" s="25"/>
      <c r="I39" s="25"/>
      <c r="J39" s="30"/>
      <c r="K39" s="30"/>
      <c r="L39" s="30"/>
      <c r="M39" s="30"/>
      <c r="N39" s="30"/>
      <c r="O39" s="30"/>
      <c r="P39" s="30"/>
      <c r="Q39" s="30"/>
      <c r="R39" s="30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14" x14ac:dyDescent="0.3">
      <c r="B40" s="84" t="s">
        <v>81</v>
      </c>
      <c r="C40" s="148">
        <f>C36*C17</f>
        <v>3000</v>
      </c>
      <c r="D40" s="25"/>
      <c r="E40" s="25"/>
      <c r="F40" s="25"/>
      <c r="G40" s="25"/>
      <c r="H40" s="25"/>
      <c r="I40" s="25"/>
      <c r="J40" s="30"/>
      <c r="K40" s="30"/>
      <c r="L40" s="30"/>
      <c r="M40" s="30"/>
      <c r="N40" s="30"/>
      <c r="O40" s="30"/>
      <c r="P40" s="30"/>
      <c r="Q40" s="30"/>
      <c r="R40" s="30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14" x14ac:dyDescent="0.3">
      <c r="B41" s="84" t="s">
        <v>82</v>
      </c>
      <c r="C41" s="149">
        <f>C17*C37</f>
        <v>2250</v>
      </c>
      <c r="D41" s="25"/>
      <c r="E41" s="25"/>
      <c r="F41" s="25"/>
      <c r="G41" s="25"/>
      <c r="H41" s="25"/>
      <c r="I41" s="25"/>
      <c r="J41" s="30"/>
      <c r="K41" s="30"/>
      <c r="L41" s="30"/>
      <c r="M41" s="30"/>
      <c r="N41" s="30"/>
      <c r="O41" s="30"/>
      <c r="P41" s="30"/>
      <c r="Q41" s="30"/>
      <c r="R41" s="30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B42" s="19" t="s">
        <v>83</v>
      </c>
      <c r="C42" s="26">
        <v>995</v>
      </c>
      <c r="D42" s="25"/>
      <c r="E42" s="25"/>
      <c r="F42" s="25"/>
      <c r="G42" s="25"/>
      <c r="H42" s="25"/>
      <c r="I42" s="25"/>
      <c r="J42" s="30"/>
      <c r="K42" s="30"/>
      <c r="L42" s="30"/>
      <c r="M42" s="30"/>
      <c r="N42" s="30"/>
      <c r="O42" s="30"/>
      <c r="P42" s="30"/>
      <c r="Q42" s="30"/>
      <c r="R42" s="30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14" x14ac:dyDescent="0.3">
      <c r="B43" s="155" t="s">
        <v>25</v>
      </c>
      <c r="C43" s="156">
        <v>1495</v>
      </c>
      <c r="D43" s="25"/>
      <c r="E43" s="25"/>
      <c r="F43" s="25"/>
      <c r="G43" s="25"/>
      <c r="H43" s="25"/>
      <c r="I43" s="25"/>
      <c r="J43" s="30"/>
      <c r="K43" s="30"/>
      <c r="L43" s="30"/>
      <c r="M43" s="30"/>
      <c r="N43" s="30"/>
      <c r="O43" s="30"/>
      <c r="P43" s="30"/>
      <c r="Q43" s="30"/>
      <c r="R43" s="30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14" x14ac:dyDescent="0.3">
      <c r="B44" s="155" t="s">
        <v>26</v>
      </c>
      <c r="C44" s="156">
        <v>590</v>
      </c>
      <c r="D44" s="25"/>
      <c r="E44" s="25"/>
      <c r="F44" s="25"/>
      <c r="G44" s="25"/>
      <c r="H44" s="25"/>
      <c r="I44" s="25"/>
      <c r="J44" s="30"/>
      <c r="K44" s="30"/>
      <c r="L44" s="30"/>
      <c r="M44" s="30"/>
      <c r="N44" s="30"/>
      <c r="O44" s="30"/>
      <c r="P44" s="30"/>
      <c r="Q44" s="30"/>
      <c r="R44" s="30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14" x14ac:dyDescent="0.3">
      <c r="B45" s="155" t="s">
        <v>84</v>
      </c>
      <c r="C45" s="156">
        <v>0</v>
      </c>
      <c r="D45" s="25"/>
      <c r="E45" s="25"/>
      <c r="F45" s="25"/>
      <c r="G45" s="25"/>
      <c r="H45" s="25"/>
      <c r="I45" s="25"/>
      <c r="J45" s="30"/>
      <c r="K45" s="30"/>
      <c r="L45" s="30"/>
      <c r="M45" s="30"/>
      <c r="N45" s="30"/>
      <c r="O45" s="30"/>
      <c r="P45" s="30"/>
      <c r="Q45" s="30"/>
      <c r="R45" s="30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14" x14ac:dyDescent="0.3">
      <c r="B46" s="139" t="s">
        <v>85</v>
      </c>
      <c r="C46" s="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B47" s="19" t="s">
        <v>86</v>
      </c>
      <c r="C47" s="26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14" x14ac:dyDescent="0.3">
      <c r="B48" s="134" t="str">
        <f>IF(OR(C10="Purchase",C48&lt;0),"Cash from Borrower","Cash to Borrower")</f>
        <v>Cash from Borrower</v>
      </c>
      <c r="C48" s="150">
        <f>IF(C10="Purchase",SUM(C32,C38:C46)-C47,C17-SUM(C32,C38:C46))</f>
        <v>116330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2:28" x14ac:dyDescent="0.25">
      <c r="B49" s="19" t="s">
        <v>87</v>
      </c>
      <c r="C49" s="27" t="s">
        <v>88</v>
      </c>
      <c r="D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2:28" ht="14" x14ac:dyDescent="0.3">
      <c r="B50" s="134" t="str">
        <f>E2&amp;" months of PITIA "</f>
        <v xml:space="preserve">6 months of PITIA </v>
      </c>
      <c r="C50" s="150">
        <f>E2*(C29+C23)</f>
        <v>11645.143717191713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2:28" x14ac:dyDescent="0.25">
      <c r="B51" s="19" t="s">
        <v>89</v>
      </c>
      <c r="C51" s="173">
        <v>1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2:28" x14ac:dyDescent="0.25">
      <c r="B52" s="28" t="s">
        <v>90</v>
      </c>
      <c r="C52" s="174">
        <f>(IF(C30*18&lt;((C30*3*C51)+C50),C30*18-C50,C30*3*C51))</f>
        <v>5822.5718585958566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2:28" ht="14" x14ac:dyDescent="0.3">
      <c r="B53" s="134" t="s">
        <v>91</v>
      </c>
      <c r="C53" s="150">
        <f xml:space="preserve"> C50+C52</f>
        <v>17467.71557578757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2:28" x14ac:dyDescent="0.25">
      <c r="B54" s="19" t="s">
        <v>92</v>
      </c>
      <c r="C54" s="29">
        <v>0</v>
      </c>
    </row>
    <row r="55" spans="2:28" x14ac:dyDescent="0.25">
      <c r="B55" s="19" t="s">
        <v>92</v>
      </c>
      <c r="C55" s="29">
        <v>0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2:28" x14ac:dyDescent="0.25">
      <c r="B56" s="19" t="s">
        <v>92</v>
      </c>
      <c r="C56" s="29">
        <v>0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2:28" x14ac:dyDescent="0.25">
      <c r="B57" s="19" t="s">
        <v>92</v>
      </c>
      <c r="C57" s="29">
        <v>0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2:28" x14ac:dyDescent="0.25">
      <c r="B58" s="19" t="s">
        <v>92</v>
      </c>
      <c r="C58" s="29">
        <v>0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2:28" x14ac:dyDescent="0.25">
      <c r="B59" s="19" t="s">
        <v>92</v>
      </c>
      <c r="C59" s="29">
        <v>0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2:28" x14ac:dyDescent="0.25">
      <c r="B60" s="19" t="s">
        <v>92</v>
      </c>
      <c r="C60" s="29">
        <v>0</v>
      </c>
    </row>
    <row r="61" spans="2:28" ht="14" x14ac:dyDescent="0.3">
      <c r="B61" s="138" t="s">
        <v>93</v>
      </c>
      <c r="C61" s="151">
        <f>IF(C10="Purchase",(C63+C64+C62),(-C62-C63-C64))</f>
        <v>5628.8968731773175</v>
      </c>
    </row>
    <row r="62" spans="2:28" x14ac:dyDescent="0.25">
      <c r="B62" s="90" t="str">
        <f>Sheet1!A51 &amp; " Days of Daily interest charged"</f>
        <v>10 Days of Daily interest charged</v>
      </c>
      <c r="C62" s="152">
        <f>Sheet1!A50</f>
        <v>353.89687317731739</v>
      </c>
    </row>
    <row r="63" spans="2:28" x14ac:dyDescent="0.25">
      <c r="B63" s="86" t="s">
        <v>94</v>
      </c>
      <c r="C63" s="152">
        <f>(C26/12)*6</f>
        <v>850</v>
      </c>
    </row>
    <row r="64" spans="2:28" x14ac:dyDescent="0.25">
      <c r="B64" s="86" t="s">
        <v>95</v>
      </c>
      <c r="C64" s="152">
        <f>(C25/12)*6</f>
        <v>4425</v>
      </c>
    </row>
    <row r="65" spans="2:28" ht="14" x14ac:dyDescent="0.3">
      <c r="B65" s="85" t="s">
        <v>96</v>
      </c>
      <c r="C65" s="153">
        <f>(IF(B48="Cash from Borrower",C48+SUM(C54:C60)+C61,(C48)-SUM(C54:C60)+C61))</f>
        <v>121958.89687317732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2:28" ht="14" x14ac:dyDescent="0.3">
      <c r="B66" s="80" t="s">
        <v>97</v>
      </c>
      <c r="C66" s="154">
        <f>ABS(IF(B48="Cash from Borrower",C65,0))+SUM(C53:C60)</f>
        <v>139426.61244896488</v>
      </c>
    </row>
  </sheetData>
  <sheetProtection formatCells="0" formatColumns="0" formatRows="0" insertColumns="0" insertRows="0" insertHyperlinks="0" deleteColumns="0" deleteRows="0" sort="0" autoFilter="0" pivotTables="0"/>
  <conditionalFormatting sqref="B46:C46">
    <cfRule type="expression" dxfId="2" priority="3">
      <formula>$C$10="Purchase"</formula>
    </cfRule>
  </conditionalFormatting>
  <conditionalFormatting sqref="B47:C47">
    <cfRule type="expression" dxfId="1" priority="1">
      <formula>$C$10="Rate &amp; Term "</formula>
    </cfRule>
    <cfRule type="expression" dxfId="0" priority="2">
      <formula>$C$10="CashOut "</formula>
    </cfRule>
  </conditionalFormatting>
  <dataValidations disablePrompts="1" count="1">
    <dataValidation type="list" allowBlank="1" showInputMessage="1" showErrorMessage="1" sqref="C73:C74" xr:uid="{33A4C87F-27AD-4A11-92D5-79F117720402}">
      <formula1>$K$17:$K$18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65626A4-CB8F-47C2-ADD1-AF42335B9C35}">
          <x14:formula1>
            <xm:f>Sheet1!$A$38:$A$45</xm:f>
          </x14:formula1>
          <xm:sqref>C49</xm:sqref>
        </x14:dataValidation>
        <x14:dataValidation type="list" allowBlank="1" showInputMessage="1" showErrorMessage="1" xr:uid="{1BFC4853-B16E-45FB-BBD6-70CC92D78BA9}">
          <x14:formula1>
            <xm:f>Sheet1!$A$23:$A$25</xm:f>
          </x14:formula1>
          <xm:sqref>C10</xm:sqref>
        </x14:dataValidation>
        <x14:dataValidation type="list" allowBlank="1" showInputMessage="1" showErrorMessage="1" xr:uid="{906158DE-F2E4-4449-96D4-73768932CD10}">
          <x14:formula1>
            <xm:f>Sheet1!$A$27:$A$34</xm:f>
          </x14:formula1>
          <xm:sqref>C11</xm:sqref>
        </x14:dataValidation>
        <x14:dataValidation type="list" allowBlank="1" showInputMessage="1" showErrorMessage="1" xr:uid="{72588208-8C5D-49D6-A325-3A6250D133C9}">
          <x14:formula1>
            <xm:f>Sheet1!$A$4:$A$16</xm:f>
          </x14:formula1>
          <xm:sqref>C12</xm:sqref>
        </x14:dataValidation>
        <x14:dataValidation type="list" allowBlank="1" showInputMessage="1" showErrorMessage="1" xr:uid="{C99999C9-1354-4D6E-B89C-65B70C45C8E3}">
          <x14:formula1>
            <xm:f>Sheet1!$A$20:$A$21</xm:f>
          </x14:formula1>
          <xm:sqref>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85C1-2CB0-496E-9AEB-0FD914F5CF24}">
  <sheetPr>
    <pageSetUpPr fitToPage="1"/>
  </sheetPr>
  <dimension ref="A1:Q46"/>
  <sheetViews>
    <sheetView tabSelected="1" zoomScale="70" zoomScaleNormal="70" workbookViewId="0">
      <selection activeCell="A27" sqref="A27:A42"/>
    </sheetView>
  </sheetViews>
  <sheetFormatPr defaultRowHeight="14.5" x14ac:dyDescent="0.35"/>
  <cols>
    <col min="1" max="1" width="38" bestFit="1" customWidth="1"/>
    <col min="2" max="2" width="26.54296875" customWidth="1"/>
    <col min="3" max="3" width="15.1796875" bestFit="1" customWidth="1"/>
    <col min="4" max="4" width="38.7265625" bestFit="1" customWidth="1"/>
    <col min="5" max="5" width="24.54296875" bestFit="1" customWidth="1"/>
    <col min="6" max="6" width="16.453125" bestFit="1" customWidth="1"/>
    <col min="7" max="7" width="20.453125" bestFit="1" customWidth="1"/>
    <col min="8" max="8" width="16.453125" customWidth="1"/>
    <col min="9" max="9" width="26" bestFit="1" customWidth="1"/>
    <col min="10" max="10" width="28" customWidth="1"/>
    <col min="11" max="11" width="25.7265625" bestFit="1" customWidth="1"/>
    <col min="12" max="12" width="25.7265625" customWidth="1"/>
    <col min="13" max="13" width="18.54296875" bestFit="1" customWidth="1"/>
    <col min="14" max="14" width="24.26953125" bestFit="1" customWidth="1"/>
    <col min="15" max="15" width="20.54296875" bestFit="1" customWidth="1"/>
    <col min="16" max="16" width="9.81640625" customWidth="1"/>
    <col min="17" max="17" width="14.7265625" bestFit="1" customWidth="1"/>
  </cols>
  <sheetData>
    <row r="1" spans="1:2" ht="15" thickBot="1" x14ac:dyDescent="0.4"/>
    <row r="2" spans="1:2" x14ac:dyDescent="0.35">
      <c r="A2" s="15" t="s">
        <v>49</v>
      </c>
      <c r="B2" s="15"/>
    </row>
    <row r="3" spans="1:2" x14ac:dyDescent="0.35">
      <c r="A3" s="2" t="s">
        <v>50</v>
      </c>
      <c r="B3" s="3"/>
    </row>
    <row r="4" spans="1:2" x14ac:dyDescent="0.35">
      <c r="A4" s="2" t="s">
        <v>51</v>
      </c>
      <c r="B4" s="3"/>
    </row>
    <row r="5" spans="1:2" x14ac:dyDescent="0.35">
      <c r="A5" s="2" t="s">
        <v>52</v>
      </c>
      <c r="B5" s="3"/>
    </row>
    <row r="6" spans="1:2" x14ac:dyDescent="0.35">
      <c r="A6" s="2" t="s">
        <v>9</v>
      </c>
      <c r="B6" s="3"/>
    </row>
    <row r="7" spans="1:2" x14ac:dyDescent="0.35">
      <c r="A7" s="2" t="s">
        <v>7</v>
      </c>
      <c r="B7" s="4" t="s">
        <v>56</v>
      </c>
    </row>
    <row r="8" spans="1:2" x14ac:dyDescent="0.35">
      <c r="A8" s="2" t="s">
        <v>57</v>
      </c>
      <c r="B8" s="4" t="s">
        <v>58</v>
      </c>
    </row>
    <row r="9" spans="1:2" x14ac:dyDescent="0.35">
      <c r="A9" s="2" t="s">
        <v>98</v>
      </c>
      <c r="B9" s="98">
        <v>0.8</v>
      </c>
    </row>
    <row r="10" spans="1:2" ht="15" thickBot="1" x14ac:dyDescent="0.4">
      <c r="A10" s="2" t="s">
        <v>99</v>
      </c>
      <c r="B10" s="108" t="e">
        <f>AVERAGE(G27:G46)</f>
        <v>#DIV/0!</v>
      </c>
    </row>
    <row r="11" spans="1:2" ht="15" thickBot="1" x14ac:dyDescent="0.4">
      <c r="A11" s="8" t="s">
        <v>62</v>
      </c>
      <c r="B11" s="9">
        <f>SUM(F27:F46)</f>
        <v>0</v>
      </c>
    </row>
    <row r="12" spans="1:2" x14ac:dyDescent="0.35">
      <c r="A12" s="104" t="s">
        <v>63</v>
      </c>
      <c r="B12" s="105">
        <f>B11*B9</f>
        <v>0</v>
      </c>
    </row>
    <row r="13" spans="1:2" x14ac:dyDescent="0.35">
      <c r="A13" s="2" t="s">
        <v>64</v>
      </c>
      <c r="B13" s="13" t="s">
        <v>65</v>
      </c>
    </row>
    <row r="14" spans="1:2" x14ac:dyDescent="0.35">
      <c r="A14" s="2" t="s">
        <v>66</v>
      </c>
      <c r="B14" s="14">
        <v>7.7499999999999999E-2</v>
      </c>
    </row>
    <row r="15" spans="1:2" x14ac:dyDescent="0.35">
      <c r="A15" s="84" t="s">
        <v>100</v>
      </c>
      <c r="B15" s="106">
        <f>SUM(K27:K46)</f>
        <v>0</v>
      </c>
    </row>
    <row r="16" spans="1:2" x14ac:dyDescent="0.35">
      <c r="A16" s="84" t="s">
        <v>101</v>
      </c>
      <c r="B16" s="107">
        <f>IF($B$13="YES",(B$12*B$14/12),PMT(B$14/12,Sheet1!A22,-B$12,0))</f>
        <v>0</v>
      </c>
    </row>
    <row r="17" spans="1:17" x14ac:dyDescent="0.35">
      <c r="A17" s="84" t="s">
        <v>102</v>
      </c>
      <c r="B17" s="107">
        <f>SUM(M27:M46)</f>
        <v>0</v>
      </c>
    </row>
    <row r="18" spans="1:17" x14ac:dyDescent="0.35">
      <c r="A18" s="84" t="s">
        <v>103</v>
      </c>
      <c r="B18" s="107">
        <f>SUM(N27:N46)</f>
        <v>0</v>
      </c>
    </row>
    <row r="19" spans="1:17" x14ac:dyDescent="0.35">
      <c r="A19" s="84" t="s">
        <v>104</v>
      </c>
      <c r="B19" s="107">
        <f>SUM(O27:O46)</f>
        <v>0</v>
      </c>
    </row>
    <row r="20" spans="1:17" x14ac:dyDescent="0.35">
      <c r="A20" s="84" t="s">
        <v>105</v>
      </c>
      <c r="B20" s="107">
        <f>SUM(P27:P46)</f>
        <v>0</v>
      </c>
    </row>
    <row r="21" spans="1:17" x14ac:dyDescent="0.35">
      <c r="A21" s="22" t="s">
        <v>18</v>
      </c>
      <c r="B21" s="23">
        <f>(B17+B18+B19+B20)</f>
        <v>0</v>
      </c>
    </row>
    <row r="22" spans="1:17" x14ac:dyDescent="0.35">
      <c r="A22" s="22" t="s">
        <v>75</v>
      </c>
      <c r="B22" s="23">
        <f>SUM(B16:B20)</f>
        <v>0</v>
      </c>
    </row>
    <row r="23" spans="1:17" x14ac:dyDescent="0.35">
      <c r="A23" s="22" t="s">
        <v>76</v>
      </c>
      <c r="B23" s="24" t="e">
        <f>B15/B22</f>
        <v>#DIV/0!</v>
      </c>
    </row>
    <row r="26" spans="1:17" x14ac:dyDescent="0.35">
      <c r="A26" s="96" t="s">
        <v>54</v>
      </c>
      <c r="B26" s="96" t="s">
        <v>8</v>
      </c>
      <c r="C26" s="96" t="s">
        <v>106</v>
      </c>
      <c r="D26" s="96" t="s">
        <v>107</v>
      </c>
      <c r="E26" s="96" t="s">
        <v>108</v>
      </c>
      <c r="F26" s="96" t="s">
        <v>109</v>
      </c>
      <c r="G26" s="110" t="s">
        <v>110</v>
      </c>
      <c r="H26" s="96" t="s">
        <v>111</v>
      </c>
      <c r="I26" s="96" t="s">
        <v>112</v>
      </c>
      <c r="J26" s="96" t="s">
        <v>113</v>
      </c>
      <c r="K26" s="96" t="s">
        <v>114</v>
      </c>
      <c r="L26" s="96" t="s">
        <v>115</v>
      </c>
      <c r="M26" s="96" t="s">
        <v>116</v>
      </c>
      <c r="N26" s="96" t="s">
        <v>117</v>
      </c>
      <c r="O26" s="96" t="s">
        <v>118</v>
      </c>
      <c r="P26" s="96" t="s">
        <v>119</v>
      </c>
      <c r="Q26" s="96" t="s">
        <v>120</v>
      </c>
    </row>
    <row r="27" spans="1:17" x14ac:dyDescent="0.35">
      <c r="A27" s="97" t="s">
        <v>139</v>
      </c>
      <c r="B27" s="103" t="s">
        <v>58</v>
      </c>
      <c r="C27" s="99"/>
      <c r="D27" s="99"/>
      <c r="E27" s="99"/>
      <c r="F27" s="100">
        <f>IF(B7="Purchase",MIN(D27,C27),D27)</f>
        <v>0</v>
      </c>
      <c r="G27" s="111" t="str">
        <f>IFERROR(E27/F27,"-")</f>
        <v>-</v>
      </c>
      <c r="H27" s="100">
        <f>F27*B9</f>
        <v>0</v>
      </c>
      <c r="I27" s="99"/>
      <c r="J27" s="97"/>
      <c r="K27" s="100">
        <f>IF(B7="Purchase",I27,MIN(J27*1.1,J27))</f>
        <v>0</v>
      </c>
      <c r="L27" s="100">
        <f>IF($B$13="YES",(H$27*B$14/12),PMT(B$14/12,Sheet1!A22,-H$27,0))</f>
        <v>0</v>
      </c>
      <c r="M27" s="99"/>
      <c r="N27" s="99"/>
      <c r="O27" s="97"/>
      <c r="P27" s="97"/>
      <c r="Q27" s="109" t="str">
        <f>IFERROR(K27/(SUM(L27:P27)),"-")</f>
        <v>-</v>
      </c>
    </row>
    <row r="28" spans="1:17" x14ac:dyDescent="0.35">
      <c r="A28" s="97" t="s">
        <v>139</v>
      </c>
      <c r="B28" s="103" t="s">
        <v>58</v>
      </c>
      <c r="C28" s="99"/>
      <c r="D28" s="99"/>
      <c r="E28" s="99"/>
      <c r="F28" s="100">
        <f>IF(B7="Purchase",MIN(D28,C28),D28)</f>
        <v>0</v>
      </c>
      <c r="G28" s="111" t="str">
        <f t="shared" ref="G28:G46" si="0">IFERROR(E28/F28,"-")</f>
        <v>-</v>
      </c>
      <c r="H28" s="100">
        <f>F28*B9</f>
        <v>0</v>
      </c>
      <c r="I28" s="99"/>
      <c r="J28" s="97"/>
      <c r="K28" s="100">
        <f>IF(B7="Purchase",I28,MIN(J28*1.1,J28))</f>
        <v>0</v>
      </c>
      <c r="L28" s="100">
        <f>IF($B$13="YES",(H$28*B$14/12),PMT(B$14/12,Sheet1!A22,-H$28,0))</f>
        <v>0</v>
      </c>
      <c r="M28" s="99"/>
      <c r="N28" s="99"/>
      <c r="O28" s="97"/>
      <c r="P28" s="97"/>
      <c r="Q28" s="109" t="str">
        <f t="shared" ref="Q28:Q46" si="1">IFERROR(K28/(SUM(L28:P28)),"-")</f>
        <v>-</v>
      </c>
    </row>
    <row r="29" spans="1:17" x14ac:dyDescent="0.35">
      <c r="A29" s="97" t="s">
        <v>139</v>
      </c>
      <c r="B29" s="103" t="s">
        <v>58</v>
      </c>
      <c r="C29" s="99"/>
      <c r="D29" s="99"/>
      <c r="E29" s="99"/>
      <c r="F29" s="100">
        <f>IF(B7="Purchase",MIN(D29,C29),D29)</f>
        <v>0</v>
      </c>
      <c r="G29" s="111" t="str">
        <f t="shared" si="0"/>
        <v>-</v>
      </c>
      <c r="H29" s="100">
        <f>F29*B9</f>
        <v>0</v>
      </c>
      <c r="I29" s="99"/>
      <c r="J29" s="97"/>
      <c r="K29" s="100">
        <f>IF(B7="Purchase",I29,MIN(J29*1.1,J29))</f>
        <v>0</v>
      </c>
      <c r="L29" s="100">
        <f>IF($B$13="YES",(H$29*B$14/12),PMT(B$14/12,Sheet1!A22,-H$29,0))</f>
        <v>0</v>
      </c>
      <c r="M29" s="99"/>
      <c r="N29" s="99"/>
      <c r="O29" s="97"/>
      <c r="P29" s="97"/>
      <c r="Q29" s="109" t="str">
        <f t="shared" si="1"/>
        <v>-</v>
      </c>
    </row>
    <row r="30" spans="1:17" x14ac:dyDescent="0.35">
      <c r="A30" s="97" t="s">
        <v>139</v>
      </c>
      <c r="B30" s="103" t="s">
        <v>58</v>
      </c>
      <c r="C30" s="99"/>
      <c r="D30" s="99"/>
      <c r="E30" s="99"/>
      <c r="F30" s="100">
        <f>IF(B7="Purchase",MIN(D30,C30),D30)</f>
        <v>0</v>
      </c>
      <c r="G30" s="111" t="str">
        <f t="shared" si="0"/>
        <v>-</v>
      </c>
      <c r="H30" s="100">
        <f>F30*B9</f>
        <v>0</v>
      </c>
      <c r="I30" s="99"/>
      <c r="J30" s="97"/>
      <c r="K30" s="100">
        <f>IF(B7="Purchase",I30,MIN(J30*1.1,J30))</f>
        <v>0</v>
      </c>
      <c r="L30" s="100">
        <f>IF($B$13="YES",(H$30*B$14/12),PMT(B$14/12,Sheet1!A22,-H$30,0))</f>
        <v>0</v>
      </c>
      <c r="M30" s="99"/>
      <c r="N30" s="99"/>
      <c r="O30" s="97"/>
      <c r="P30" s="97"/>
      <c r="Q30" s="109" t="str">
        <f t="shared" si="1"/>
        <v>-</v>
      </c>
    </row>
    <row r="31" spans="1:17" x14ac:dyDescent="0.35">
      <c r="A31" s="97" t="s">
        <v>139</v>
      </c>
      <c r="B31" s="103" t="s">
        <v>58</v>
      </c>
      <c r="C31" s="99"/>
      <c r="D31" s="99"/>
      <c r="E31" s="99"/>
      <c r="F31" s="100">
        <f>IF(B7="Purchase",MIN(D31,C31),D31)</f>
        <v>0</v>
      </c>
      <c r="G31" s="111" t="str">
        <f t="shared" si="0"/>
        <v>-</v>
      </c>
      <c r="H31" s="100">
        <f>F31*B9</f>
        <v>0</v>
      </c>
      <c r="I31" s="99"/>
      <c r="J31" s="97"/>
      <c r="K31" s="100">
        <f>IF(B7="Purchase",I31,MIN(J31*1.1,J31))</f>
        <v>0</v>
      </c>
      <c r="L31" s="100">
        <f>IF($B$13="YES",(H$31*B$14/12),PMT(B$14/12,Sheet1!A22,-H$31,0))</f>
        <v>0</v>
      </c>
      <c r="M31" s="99"/>
      <c r="N31" s="99"/>
      <c r="O31" s="97"/>
      <c r="P31" s="97"/>
      <c r="Q31" s="109" t="str">
        <f t="shared" si="1"/>
        <v>-</v>
      </c>
    </row>
    <row r="32" spans="1:17" x14ac:dyDescent="0.35">
      <c r="A32" s="97" t="s">
        <v>139</v>
      </c>
      <c r="B32" s="103" t="s">
        <v>58</v>
      </c>
      <c r="C32" s="99"/>
      <c r="D32" s="99"/>
      <c r="E32" s="99"/>
      <c r="F32" s="100">
        <f>IF(B7="Purchase",MIN(D32,C32),D32)</f>
        <v>0</v>
      </c>
      <c r="G32" s="111" t="str">
        <f t="shared" si="0"/>
        <v>-</v>
      </c>
      <c r="H32" s="100">
        <f>F32*B9</f>
        <v>0</v>
      </c>
      <c r="I32" s="99"/>
      <c r="J32" s="97"/>
      <c r="K32" s="100">
        <f>IF(B7="Purchase",I32,MIN(J32*1.1,J32))</f>
        <v>0</v>
      </c>
      <c r="L32" s="100">
        <f>IF($B$13="YES",(H$32*B$14/12),PMT(B$14/12,Sheet1!A22,-H$32,0))</f>
        <v>0</v>
      </c>
      <c r="M32" s="99"/>
      <c r="N32" s="99"/>
      <c r="O32" s="97"/>
      <c r="P32" s="97"/>
      <c r="Q32" s="109" t="str">
        <f t="shared" si="1"/>
        <v>-</v>
      </c>
    </row>
    <row r="33" spans="1:17" x14ac:dyDescent="0.35">
      <c r="A33" s="97" t="s">
        <v>139</v>
      </c>
      <c r="B33" s="103" t="s">
        <v>58</v>
      </c>
      <c r="C33" s="99"/>
      <c r="D33" s="99"/>
      <c r="E33" s="99"/>
      <c r="F33" s="100">
        <f>IF(B7="Purchase",MIN(D33,C33),D33)</f>
        <v>0</v>
      </c>
      <c r="G33" s="111" t="str">
        <f t="shared" si="0"/>
        <v>-</v>
      </c>
      <c r="H33" s="100">
        <f>F33*B9</f>
        <v>0</v>
      </c>
      <c r="I33" s="99"/>
      <c r="J33" s="97"/>
      <c r="K33" s="100">
        <f>IF(B7="Purchase",I33,MIN(J33*1.1,J33))</f>
        <v>0</v>
      </c>
      <c r="L33" s="100">
        <f>IF($B$13="YES",(H$33*B$14/12),PMT(B$14/12,Sheet1!A22,-H$33,0))</f>
        <v>0</v>
      </c>
      <c r="M33" s="99"/>
      <c r="N33" s="99"/>
      <c r="O33" s="97"/>
      <c r="P33" s="97"/>
      <c r="Q33" s="109" t="str">
        <f t="shared" si="1"/>
        <v>-</v>
      </c>
    </row>
    <row r="34" spans="1:17" x14ac:dyDescent="0.35">
      <c r="A34" s="97" t="s">
        <v>139</v>
      </c>
      <c r="B34" s="103" t="s">
        <v>58</v>
      </c>
      <c r="C34" s="99"/>
      <c r="D34" s="99"/>
      <c r="E34" s="99"/>
      <c r="F34" s="100">
        <f>IF(B7="Purchase",MIN(D34,C34),D34)</f>
        <v>0</v>
      </c>
      <c r="G34" s="111" t="str">
        <f t="shared" si="0"/>
        <v>-</v>
      </c>
      <c r="H34" s="100">
        <f>F34*B9</f>
        <v>0</v>
      </c>
      <c r="I34" s="99"/>
      <c r="J34" s="97"/>
      <c r="K34" s="100">
        <f>IF(B7="Purchase",I34,MIN(J34*1.1,J34))</f>
        <v>0</v>
      </c>
      <c r="L34" s="100">
        <f>IF($B$13="YES",(H$34*B$14/12),PMT(B$14/12,Sheet1!A22,-H$34,0))</f>
        <v>0</v>
      </c>
      <c r="M34" s="99"/>
      <c r="N34" s="99"/>
      <c r="O34" s="97"/>
      <c r="P34" s="97"/>
      <c r="Q34" s="109" t="str">
        <f t="shared" si="1"/>
        <v>-</v>
      </c>
    </row>
    <row r="35" spans="1:17" x14ac:dyDescent="0.35">
      <c r="A35" s="97" t="s">
        <v>139</v>
      </c>
      <c r="B35" s="103" t="s">
        <v>58</v>
      </c>
      <c r="C35" s="99"/>
      <c r="D35" s="99"/>
      <c r="E35" s="99"/>
      <c r="F35" s="100">
        <f>IF(B7="Purchase",MIN(D35,C35),D35)</f>
        <v>0</v>
      </c>
      <c r="G35" s="111" t="str">
        <f t="shared" si="0"/>
        <v>-</v>
      </c>
      <c r="H35" s="100">
        <f>F35*B9</f>
        <v>0</v>
      </c>
      <c r="I35" s="99"/>
      <c r="J35" s="97"/>
      <c r="K35" s="100">
        <f>IF(B7="Purchase",I35,MIN(J35*1.1,J35))</f>
        <v>0</v>
      </c>
      <c r="L35" s="100">
        <f>IF($B$13="YES",(H$35*B$14/12),PMT(B$14/12,Sheet1!A22,-H$35,0))</f>
        <v>0</v>
      </c>
      <c r="M35" s="99"/>
      <c r="N35" s="99"/>
      <c r="O35" s="97"/>
      <c r="P35" s="97"/>
      <c r="Q35" s="109" t="str">
        <f t="shared" si="1"/>
        <v>-</v>
      </c>
    </row>
    <row r="36" spans="1:17" x14ac:dyDescent="0.35">
      <c r="A36" s="97" t="s">
        <v>139</v>
      </c>
      <c r="B36" s="103" t="s">
        <v>58</v>
      </c>
      <c r="C36" s="99"/>
      <c r="D36" s="99"/>
      <c r="E36" s="99"/>
      <c r="F36" s="100">
        <f>IF(B7="Purchase",MIN(D36,C36),D36)</f>
        <v>0</v>
      </c>
      <c r="G36" s="111" t="str">
        <f t="shared" si="0"/>
        <v>-</v>
      </c>
      <c r="H36" s="100">
        <f>F36*B9</f>
        <v>0</v>
      </c>
      <c r="I36" s="99"/>
      <c r="J36" s="97"/>
      <c r="K36" s="100">
        <f>IF(B7="Purchase",I36,MIN(J36*1.1,J36))</f>
        <v>0</v>
      </c>
      <c r="L36" s="100">
        <f>IF($B$13="YES",(H$36*B$14/12),PMT(B$14/12,Sheet1!A22,-H$36,0))</f>
        <v>0</v>
      </c>
      <c r="M36" s="99"/>
      <c r="N36" s="99"/>
      <c r="O36" s="97"/>
      <c r="P36" s="97"/>
      <c r="Q36" s="109" t="str">
        <f t="shared" si="1"/>
        <v>-</v>
      </c>
    </row>
    <row r="37" spans="1:17" x14ac:dyDescent="0.35">
      <c r="A37" s="97" t="s">
        <v>139</v>
      </c>
      <c r="B37" s="103" t="s">
        <v>58</v>
      </c>
      <c r="C37" s="99"/>
      <c r="D37" s="99"/>
      <c r="E37" s="99"/>
      <c r="F37" s="100">
        <f>IF(B7="Purchase",MIN(D37,C37),D37)</f>
        <v>0</v>
      </c>
      <c r="G37" s="111" t="str">
        <f t="shared" si="0"/>
        <v>-</v>
      </c>
      <c r="H37" s="100">
        <f>F37*B9</f>
        <v>0</v>
      </c>
      <c r="I37" s="99"/>
      <c r="J37" s="97"/>
      <c r="K37" s="100">
        <f>IF(B7="Purchase",I37,MIN(J37*1.1,J37))</f>
        <v>0</v>
      </c>
      <c r="L37" s="100">
        <f>IF($B$13="YES",(H$37*B$14/12),PMT(B$14/12,Sheet1!A22,-H$37,0))</f>
        <v>0</v>
      </c>
      <c r="M37" s="99"/>
      <c r="N37" s="99"/>
      <c r="O37" s="97"/>
      <c r="P37" s="97"/>
      <c r="Q37" s="109" t="str">
        <f t="shared" si="1"/>
        <v>-</v>
      </c>
    </row>
    <row r="38" spans="1:17" x14ac:dyDescent="0.35">
      <c r="A38" s="97" t="s">
        <v>139</v>
      </c>
      <c r="B38" s="103" t="s">
        <v>58</v>
      </c>
      <c r="C38" s="99"/>
      <c r="D38" s="99"/>
      <c r="E38" s="99"/>
      <c r="F38" s="100">
        <f>IF(B7="Purchase",MIN(D38,C38),D38)</f>
        <v>0</v>
      </c>
      <c r="G38" s="111" t="str">
        <f t="shared" si="0"/>
        <v>-</v>
      </c>
      <c r="H38" s="100">
        <f>F38*B9</f>
        <v>0</v>
      </c>
      <c r="I38" s="99"/>
      <c r="J38" s="97"/>
      <c r="K38" s="100">
        <f>IF(B7="Purchase",I38,MIN(J38*1.1,J38))</f>
        <v>0</v>
      </c>
      <c r="L38" s="100">
        <f>IF($B$13="YES",(H$38*B$14/12),PMT(B$14/12,Sheet1!A22,-H$38,0))</f>
        <v>0</v>
      </c>
      <c r="M38" s="99"/>
      <c r="N38" s="99"/>
      <c r="O38" s="97"/>
      <c r="P38" s="97"/>
      <c r="Q38" s="109" t="str">
        <f t="shared" si="1"/>
        <v>-</v>
      </c>
    </row>
    <row r="39" spans="1:17" x14ac:dyDescent="0.35">
      <c r="A39" s="97" t="s">
        <v>139</v>
      </c>
      <c r="B39" s="103" t="s">
        <v>58</v>
      </c>
      <c r="C39" s="99"/>
      <c r="D39" s="99"/>
      <c r="E39" s="99"/>
      <c r="F39" s="100">
        <f>IF(B7="Purchase",MIN(D39,C39),D39)</f>
        <v>0</v>
      </c>
      <c r="G39" s="111" t="str">
        <f t="shared" si="0"/>
        <v>-</v>
      </c>
      <c r="H39" s="100">
        <f>F39*B9</f>
        <v>0</v>
      </c>
      <c r="I39" s="99"/>
      <c r="J39" s="97"/>
      <c r="K39" s="100">
        <f>IF(B7="Purchase",I39,MIN(J39*1.1,J39))</f>
        <v>0</v>
      </c>
      <c r="L39" s="100">
        <f>IF($B$13="YES",(H$39*B$14/12),PMT(B$14/12,Sheet1!A22,-H$39,0))</f>
        <v>0</v>
      </c>
      <c r="M39" s="99"/>
      <c r="N39" s="99"/>
      <c r="O39" s="97"/>
      <c r="P39" s="97"/>
      <c r="Q39" s="109" t="str">
        <f t="shared" si="1"/>
        <v>-</v>
      </c>
    </row>
    <row r="40" spans="1:17" x14ac:dyDescent="0.35">
      <c r="A40" s="97" t="s">
        <v>139</v>
      </c>
      <c r="B40" s="103" t="s">
        <v>58</v>
      </c>
      <c r="C40" s="99"/>
      <c r="D40" s="99"/>
      <c r="E40" s="99"/>
      <c r="F40" s="100">
        <f>IF(B7="Purchase",MIN(D40,C40),D40)</f>
        <v>0</v>
      </c>
      <c r="G40" s="111" t="str">
        <f t="shared" si="0"/>
        <v>-</v>
      </c>
      <c r="H40" s="100">
        <f>F40*B9</f>
        <v>0</v>
      </c>
      <c r="I40" s="99"/>
      <c r="J40" s="97"/>
      <c r="K40" s="100">
        <f>IF(B7="Purchase",I40,MIN(J40*1.1,J40))</f>
        <v>0</v>
      </c>
      <c r="L40" s="100">
        <f>IF($B$13="YES",(H$40*B$14/12),PMT(B$14/12,Sheet1!A22,-H$40,0))</f>
        <v>0</v>
      </c>
      <c r="M40" s="99"/>
      <c r="N40" s="99"/>
      <c r="O40" s="97"/>
      <c r="P40" s="97"/>
      <c r="Q40" s="109" t="str">
        <f t="shared" si="1"/>
        <v>-</v>
      </c>
    </row>
    <row r="41" spans="1:17" x14ac:dyDescent="0.35">
      <c r="A41" s="97" t="s">
        <v>139</v>
      </c>
      <c r="B41" s="103" t="s">
        <v>58</v>
      </c>
      <c r="C41" s="99"/>
      <c r="D41" s="99"/>
      <c r="E41" s="99"/>
      <c r="F41" s="100">
        <f>IF(B7="Purchase",MIN(D41,C41),D41)</f>
        <v>0</v>
      </c>
      <c r="G41" s="111" t="str">
        <f t="shared" si="0"/>
        <v>-</v>
      </c>
      <c r="H41" s="100">
        <f>F41*B9</f>
        <v>0</v>
      </c>
      <c r="I41" s="99"/>
      <c r="J41" s="97"/>
      <c r="K41" s="100">
        <f>IF(B7="Purchase",I41,MIN(J41*1.1,J41))</f>
        <v>0</v>
      </c>
      <c r="L41" s="100">
        <f>IF($B$13="YES",(H$41*B$14/12),PMT(B$14/12,Sheet1!A22,-H$41,0))</f>
        <v>0</v>
      </c>
      <c r="M41" s="99"/>
      <c r="N41" s="99"/>
      <c r="O41" s="97"/>
      <c r="P41" s="97"/>
      <c r="Q41" s="109" t="str">
        <f t="shared" si="1"/>
        <v>-</v>
      </c>
    </row>
    <row r="42" spans="1:17" x14ac:dyDescent="0.35">
      <c r="A42" s="97" t="s">
        <v>139</v>
      </c>
      <c r="B42" s="103" t="s">
        <v>58</v>
      </c>
      <c r="C42" s="99"/>
      <c r="D42" s="99"/>
      <c r="E42" s="99"/>
      <c r="F42" s="100">
        <f>IF(B7="Purchase",MIN(D42,C42),D42)</f>
        <v>0</v>
      </c>
      <c r="G42" s="111" t="str">
        <f t="shared" si="0"/>
        <v>-</v>
      </c>
      <c r="H42" s="100">
        <f>F42*B9</f>
        <v>0</v>
      </c>
      <c r="I42" s="99"/>
      <c r="J42" s="97"/>
      <c r="K42" s="100">
        <f>IF(B7="Purchase",I42,MIN(J42*1.1,J42))</f>
        <v>0</v>
      </c>
      <c r="L42" s="100">
        <f>IF($B$13="YES",(H$42*B$14/12),PMT(B$14/12,Sheet1!A22,-H$42,0))</f>
        <v>0</v>
      </c>
      <c r="M42" s="99"/>
      <c r="N42" s="99"/>
      <c r="O42" s="97"/>
      <c r="P42" s="97"/>
      <c r="Q42" s="109" t="str">
        <f t="shared" si="1"/>
        <v>-</v>
      </c>
    </row>
    <row r="43" spans="1:17" x14ac:dyDescent="0.35">
      <c r="A43" s="97"/>
      <c r="B43" s="103" t="s">
        <v>58</v>
      </c>
      <c r="C43" s="99"/>
      <c r="D43" s="99"/>
      <c r="E43" s="99"/>
      <c r="F43" s="100">
        <f>IF(B7="Purchase",MIN(D43,C43),D43)</f>
        <v>0</v>
      </c>
      <c r="G43" s="111" t="str">
        <f t="shared" si="0"/>
        <v>-</v>
      </c>
      <c r="H43" s="100">
        <f>F43*B9</f>
        <v>0</v>
      </c>
      <c r="I43" s="99"/>
      <c r="J43" s="97"/>
      <c r="K43" s="100">
        <f>IF(B7="Purchase",I43,MIN(J43*1.1,J43))</f>
        <v>0</v>
      </c>
      <c r="L43" s="100">
        <f>IF($B$13="YES",(H$43*B$14/12),PMT(B$14/12,Sheet1!A22,-H$43,0))</f>
        <v>0</v>
      </c>
      <c r="M43" s="99"/>
      <c r="N43" s="99"/>
      <c r="O43" s="97"/>
      <c r="P43" s="97"/>
      <c r="Q43" s="109" t="str">
        <f t="shared" si="1"/>
        <v>-</v>
      </c>
    </row>
    <row r="44" spans="1:17" x14ac:dyDescent="0.35">
      <c r="A44" s="97"/>
      <c r="B44" s="103" t="s">
        <v>58</v>
      </c>
      <c r="C44" s="99"/>
      <c r="D44" s="99"/>
      <c r="E44" s="99"/>
      <c r="F44" s="100">
        <f>IF(B7="Purchase",MIN(D44,C44),D44)</f>
        <v>0</v>
      </c>
      <c r="G44" s="111" t="str">
        <f t="shared" si="0"/>
        <v>-</v>
      </c>
      <c r="H44" s="100">
        <f>F44*B9</f>
        <v>0</v>
      </c>
      <c r="I44" s="99"/>
      <c r="J44" s="97"/>
      <c r="K44" s="100">
        <f>IF(B7="Purchase",I44,MIN(J44*1.1,J44))</f>
        <v>0</v>
      </c>
      <c r="L44" s="100">
        <f>IF($B$13="YES",(H$44*B$14/12),PMT(B$14/12,Sheet1!A22,-H$244,0))</f>
        <v>0</v>
      </c>
      <c r="M44" s="99"/>
      <c r="N44" s="99"/>
      <c r="O44" s="97"/>
      <c r="P44" s="97"/>
      <c r="Q44" s="109" t="str">
        <f t="shared" si="1"/>
        <v>-</v>
      </c>
    </row>
    <row r="45" spans="1:17" x14ac:dyDescent="0.35">
      <c r="A45" s="97"/>
      <c r="B45" s="103" t="s">
        <v>58</v>
      </c>
      <c r="C45" s="99"/>
      <c r="D45" s="99"/>
      <c r="E45" s="99"/>
      <c r="F45" s="100">
        <f>IF(B7="Purchase",MIN(D45,C45),D45)</f>
        <v>0</v>
      </c>
      <c r="G45" s="111" t="str">
        <f t="shared" si="0"/>
        <v>-</v>
      </c>
      <c r="H45" s="100">
        <f>F45*B9</f>
        <v>0</v>
      </c>
      <c r="I45" s="99"/>
      <c r="J45" s="97"/>
      <c r="K45" s="100">
        <f>IF(B7="Purchase",I45,MIN(J45*1.1,J45))</f>
        <v>0</v>
      </c>
      <c r="L45" s="100">
        <f>IF($B$13="YES",(H$45*B$14/12),PMT(B$14/12,Sheet1!A22,-H$45,0))</f>
        <v>0</v>
      </c>
      <c r="M45" s="99"/>
      <c r="N45" s="99"/>
      <c r="O45" s="97"/>
      <c r="P45" s="97"/>
      <c r="Q45" s="109" t="str">
        <f t="shared" si="1"/>
        <v>-</v>
      </c>
    </row>
    <row r="46" spans="1:17" x14ac:dyDescent="0.35">
      <c r="A46" s="97"/>
      <c r="B46" s="103" t="s">
        <v>58</v>
      </c>
      <c r="C46" s="99"/>
      <c r="D46" s="99"/>
      <c r="E46" s="99"/>
      <c r="F46" s="100">
        <f>IF(B7="Purchase",MIN(D46,C46),D46)</f>
        <v>0</v>
      </c>
      <c r="G46" s="111" t="str">
        <f t="shared" si="0"/>
        <v>-</v>
      </c>
      <c r="H46" s="100">
        <f>F46*B9</f>
        <v>0</v>
      </c>
      <c r="I46" s="99"/>
      <c r="J46" s="97"/>
      <c r="K46" s="100">
        <f>IF(B7="Purchase",I46,MIN(J46*1.1,J46))</f>
        <v>0</v>
      </c>
      <c r="L46" s="100">
        <f>IF($B$13="YES",(H$46*B$14/12),PMT(B$14/12,Sheet1!A22,-H$46,0))</f>
        <v>0</v>
      </c>
      <c r="M46" s="99"/>
      <c r="N46" s="99"/>
      <c r="O46" s="97"/>
      <c r="P46" s="97"/>
      <c r="Q46" s="109" t="str">
        <f t="shared" si="1"/>
        <v>-</v>
      </c>
    </row>
  </sheetData>
  <pageMargins left="0.7" right="0.7" top="0.75" bottom="0.75" header="0.3" footer="0.3"/>
  <pageSetup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628EA9-7A94-4362-9CF5-1D573C97D0B1}">
          <x14:formula1>
            <xm:f>Sheet1!$A$27:$A$34</xm:f>
          </x14:formula1>
          <xm:sqref>B8 B27:B46</xm:sqref>
        </x14:dataValidation>
        <x14:dataValidation type="list" allowBlank="1" showInputMessage="1" showErrorMessage="1" xr:uid="{37D9CD9F-8AB3-4C91-B4CA-0A3ED91B3D17}">
          <x14:formula1>
            <xm:f>Sheet1!$A$23:$A$25</xm:f>
          </x14:formula1>
          <xm:sqref>B7</xm:sqref>
        </x14:dataValidation>
        <x14:dataValidation type="list" allowBlank="1" showInputMessage="1" showErrorMessage="1" xr:uid="{A81633C2-4E10-4485-BE2D-B152260B2275}">
          <x14:formula1>
            <xm:f>Sheet1!$A$20:$A$21</xm:f>
          </x14:formula1>
          <xm:sqref>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0939-15FC-4BAC-997F-12AC5F2F4272}">
  <dimension ref="A3:A52"/>
  <sheetViews>
    <sheetView topLeftCell="A25" workbookViewId="0">
      <selection activeCell="A38" sqref="A38"/>
    </sheetView>
  </sheetViews>
  <sheetFormatPr defaultRowHeight="14.5" x14ac:dyDescent="0.35"/>
  <cols>
    <col min="1" max="1" width="9.7265625" bestFit="1" customWidth="1"/>
  </cols>
  <sheetData>
    <row r="3" spans="1:1" x14ac:dyDescent="0.35">
      <c r="A3" t="s">
        <v>121</v>
      </c>
    </row>
    <row r="5" spans="1:1" x14ac:dyDescent="0.35">
      <c r="A5">
        <v>1</v>
      </c>
    </row>
    <row r="6" spans="1:1" x14ac:dyDescent="0.35">
      <c r="A6">
        <v>2</v>
      </c>
    </row>
    <row r="7" spans="1:1" x14ac:dyDescent="0.35">
      <c r="A7">
        <v>3</v>
      </c>
    </row>
    <row r="8" spans="1:1" x14ac:dyDescent="0.35">
      <c r="A8">
        <v>4</v>
      </c>
    </row>
    <row r="9" spans="1:1" x14ac:dyDescent="0.35">
      <c r="A9">
        <v>5</v>
      </c>
    </row>
    <row r="10" spans="1:1" x14ac:dyDescent="0.35">
      <c r="A10">
        <v>6</v>
      </c>
    </row>
    <row r="11" spans="1:1" x14ac:dyDescent="0.35">
      <c r="A11">
        <v>7</v>
      </c>
    </row>
    <row r="12" spans="1:1" x14ac:dyDescent="0.35">
      <c r="A12">
        <v>8</v>
      </c>
    </row>
    <row r="13" spans="1:1" x14ac:dyDescent="0.35">
      <c r="A13">
        <v>9</v>
      </c>
    </row>
    <row r="14" spans="1:1" x14ac:dyDescent="0.35">
      <c r="A14">
        <v>10</v>
      </c>
    </row>
    <row r="15" spans="1:1" x14ac:dyDescent="0.35">
      <c r="A15">
        <v>11</v>
      </c>
    </row>
    <row r="16" spans="1:1" x14ac:dyDescent="0.35">
      <c r="A16" s="81" t="s">
        <v>122</v>
      </c>
    </row>
    <row r="19" spans="1:1" x14ac:dyDescent="0.35">
      <c r="A19" s="30"/>
    </row>
    <row r="20" spans="1:1" x14ac:dyDescent="0.35">
      <c r="A20" s="31" t="s">
        <v>123</v>
      </c>
    </row>
    <row r="21" spans="1:1" x14ac:dyDescent="0.35">
      <c r="A21" s="31" t="s">
        <v>65</v>
      </c>
    </row>
    <row r="22" spans="1:1" x14ac:dyDescent="0.35">
      <c r="A22" s="30">
        <v>360</v>
      </c>
    </row>
    <row r="23" spans="1:1" x14ac:dyDescent="0.35">
      <c r="A23" s="30" t="s">
        <v>56</v>
      </c>
    </row>
    <row r="24" spans="1:1" x14ac:dyDescent="0.35">
      <c r="A24" s="30" t="s">
        <v>124</v>
      </c>
    </row>
    <row r="25" spans="1:1" x14ac:dyDescent="0.35">
      <c r="A25" s="30" t="s">
        <v>125</v>
      </c>
    </row>
    <row r="26" spans="1:1" x14ac:dyDescent="0.35">
      <c r="A26" s="16"/>
    </row>
    <row r="27" spans="1:1" x14ac:dyDescent="0.35">
      <c r="A27" s="30" t="s">
        <v>58</v>
      </c>
    </row>
    <row r="28" spans="1:1" x14ac:dyDescent="0.35">
      <c r="A28" s="16" t="s">
        <v>126</v>
      </c>
    </row>
    <row r="29" spans="1:1" x14ac:dyDescent="0.35">
      <c r="A29" s="16" t="s">
        <v>127</v>
      </c>
    </row>
    <row r="30" spans="1:1" x14ac:dyDescent="0.35">
      <c r="A30" s="30" t="s">
        <v>128</v>
      </c>
    </row>
    <row r="31" spans="1:1" x14ac:dyDescent="0.35">
      <c r="A31" s="30" t="s">
        <v>129</v>
      </c>
    </row>
    <row r="32" spans="1:1" x14ac:dyDescent="0.35">
      <c r="A32" s="30" t="s">
        <v>130</v>
      </c>
    </row>
    <row r="33" spans="1:1" x14ac:dyDescent="0.35">
      <c r="A33" s="30" t="s">
        <v>131</v>
      </c>
    </row>
    <row r="34" spans="1:1" x14ac:dyDescent="0.35">
      <c r="A34" s="30" t="s">
        <v>132</v>
      </c>
    </row>
    <row r="37" spans="1:1" x14ac:dyDescent="0.35">
      <c r="A37" s="25"/>
    </row>
    <row r="38" spans="1:1" x14ac:dyDescent="0.35">
      <c r="A38" s="25" t="s">
        <v>133</v>
      </c>
    </row>
    <row r="39" spans="1:1" x14ac:dyDescent="0.35">
      <c r="A39" s="25" t="s">
        <v>134</v>
      </c>
    </row>
    <row r="40" spans="1:1" x14ac:dyDescent="0.35">
      <c r="A40" s="25" t="s">
        <v>135</v>
      </c>
    </row>
    <row r="41" spans="1:1" x14ac:dyDescent="0.35">
      <c r="A41" s="25" t="s">
        <v>136</v>
      </c>
    </row>
    <row r="42" spans="1:1" x14ac:dyDescent="0.35">
      <c r="A42" s="25" t="s">
        <v>137</v>
      </c>
    </row>
    <row r="43" spans="1:1" x14ac:dyDescent="0.35">
      <c r="A43" s="25"/>
    </row>
    <row r="44" spans="1:1" x14ac:dyDescent="0.35">
      <c r="A44" s="25"/>
    </row>
    <row r="45" spans="1:1" x14ac:dyDescent="0.35">
      <c r="A45" s="25" t="s">
        <v>138</v>
      </c>
    </row>
    <row r="48" spans="1:1" x14ac:dyDescent="0.35">
      <c r="A48" s="88">
        <f>'DSCR Calc'!C23/30</f>
        <v>35.389687317731742</v>
      </c>
    </row>
    <row r="49" spans="1:1" x14ac:dyDescent="0.35">
      <c r="A49" s="89">
        <f>'DSCR Calc'!C8</f>
        <v>45768</v>
      </c>
    </row>
    <row r="50" spans="1:1" x14ac:dyDescent="0.35">
      <c r="A50" s="88">
        <f>A48*A51</f>
        <v>353.89687317731739</v>
      </c>
    </row>
    <row r="51" spans="1:1" x14ac:dyDescent="0.35">
      <c r="A51" s="92">
        <f>EOMONTH('DSCR Calc'!C8, 0) - 'DSCR Calc'!C8 + 1</f>
        <v>10</v>
      </c>
    </row>
    <row r="52" spans="1:1" x14ac:dyDescent="0.35">
      <c r="A52" s="9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Y D A A B Q S w M E F A A C A A g A 6 1 H G V G R s f M W j A A A A 9 g A A A B I A H A B D b 2 5 m a W c v U G F j a 2 F n Z S 5 4 b W w g o h g A K K A U A A A A A A A A A A A A A A A A A A A A A A A A A A A A h Y + x D o I w F E V / h X S n L e B A y K M M r p K Y E I 1 r A x U a 4 W F o s f y b g 5 / k L 4 h R 1 M 3 x n n u G e + / X G 2 R T 1 3 o X N R j d Y 0 o C y o m n s O w r j X V K R n v 0 Y 5 I J 2 M r y J G v l z T K a Z D J V S h p r z w l j z j n q I t o P N Q s 5 D 9 g h 3 x R l o z p J P r L + L / s a j Z V Y K i J g / x o j Q h r w F Y 3 i e R O w B U K u 8 S u E c / d s f y C s x 9 a O g x I K / V 0 B b I n A 3 h / E A 1 B L A w Q U A A I A C A D r U c Z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1 H G V F Z 7 3 o W h A A A A 1 w A A A B M A H A B G b 3 J t d W x h c y 9 T Z W N 0 a W 9 u M S 5 t I K I Y A C i g F A A A A A A A A A A A A A A A A A A A A A A A A A A A A G 2 N M Q u D M B C F 9 0 D + Q 0 g X B R G c p V P o W g o K H c Q h 2 m s V Y 6 4 k J 1 j E / 9 7 Y r L 3 l H v f e + 8 5 D T y N a U c V d l J x x 5 g f t 4 C F q 3 R k o x F k Y I M 5 E m A o X 1 0 O 4 X N Y e T K 4 W 5 8 D S H d 3 U I U 5 J u j V X P c N Z x q Z s 9 0 a h p R B p s w g 4 S T V o + z r g n z f I Q P p F 8 9 p p 6 5 / o Z o V m m e 1 h + i R + y 7 Z N 3 o I Y t A e Z C Q q W I F h p 3 1 P O R v u X W 3 4 B U E s B A i 0 A F A A C A A g A 6 1 H G V G R s f M W j A A A A 9 g A A A B I A A A A A A A A A A A A A A A A A A A A A A E N v b m Z p Z y 9 Q Y W N r Y W d l L n h t b F B L A Q I t A B Q A A g A I A O t R x l Q P y u m r p A A A A O k A A A A T A A A A A A A A A A A A A A A A A O 8 A A A B b Q 2 9 u d G V u d F 9 U e X B l c 1 0 u e G 1 s U E s B A i 0 A F A A C A A g A 6 1 H G V F Z 7 3 o W h A A A A 1 w A A A B M A A A A A A A A A A A A A A A A A 4 A E A A E Z v c m 1 1 b G F z L 1 N l Y 3 R p b 2 4 x L m 1 Q S w U G A A A A A A M A A w D C A A A A z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g c A A A A A A A C k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A 2 V D E 3 O j E 1 O j A y L j Y z M T g 5 N D Z a I i A v P j x F b n R y e S B U e X B l P S J G a W x s Q 2 9 s d W 1 u V H l w Z X M i I F Z h b H V l P S J z Q m c 9 P S I g L z 4 8 R W 5 0 c n k g V H l w Z T 0 i R m l s b E N v b H V t b k 5 h b W V z I i B W Y W x 1 Z T 0 i c 1 s m c X V v d D t Q d X J j a G F z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Q d X J j a G F z Z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U H V y Y 2 h h c 2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V l G D Z R g k a i T 0 y L X 8 T c 5 Q A A A A A C A A A A A A A Q Z g A A A A E A A C A A A A C A 9 I s R 6 + u u P j C 4 1 M / n 7 K B V r i q c 7 N K J z E t l Y z b z E I d g t g A A A A A O g A A A A A I A A C A A A A B a 6 w W o Q 5 v I o A 4 M r i L M m F s p g H 0 c v t 9 4 6 p D 7 u E P X g g H h 2 V A A A A D e a J F y j q o h 4 H T 8 s m U T Z W E 7 v M K c 8 y 5 W m p 3 D l V R R z 1 U 7 u H d k L k 7 m x f P S C E R A I j V k M N Y c A v r A X a v z J O l i G 5 / 3 k 4 Z s d g s + I x h 2 o i a H I q A / j D E 1 B E A A A A A D a P 2 W R s u 9 Y w f B p r 6 u N J / K W i X q l 1 0 F Z l 9 S f y 2 9 + d a s s q 3 8 r U q 6 P k t j V e c J J / F g 6 A A h U S n s d D i P N V b Q 4 l m H D F 1 B < / D a t a M a s h u p > 
</file>

<file path=customXml/itemProps1.xml><?xml version="1.0" encoding="utf-8"?>
<ds:datastoreItem xmlns:ds="http://schemas.openxmlformats.org/officeDocument/2006/customXml" ds:itemID="{66C70DAB-0524-4A14-9E4A-864216DB4E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TERM SHEET</vt:lpstr>
      <vt:lpstr>DSCR Calc</vt:lpstr>
      <vt:lpstr>Blanket Calculator</vt:lpstr>
      <vt:lpstr>Sheet1</vt:lpstr>
      <vt:lpstr>'TERM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Levy</dc:creator>
  <cp:keywords/>
  <dc:description/>
  <cp:lastModifiedBy>Ben Levy</cp:lastModifiedBy>
  <cp:revision/>
  <cp:lastPrinted>2025-06-13T16:16:56Z</cp:lastPrinted>
  <dcterms:created xsi:type="dcterms:W3CDTF">2022-05-27T18:49:59Z</dcterms:created>
  <dcterms:modified xsi:type="dcterms:W3CDTF">2025-06-13T16:16:56Z</dcterms:modified>
  <cp:category/>
  <cp:contentStatus/>
</cp:coreProperties>
</file>