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Instructions" sheetId="1" state="visible" r:id="rId1"/>
    <sheet name="Dashboard" sheetId="2" state="visible" r:id="rId2"/>
    <sheet name="M1-Scope" sheetId="3" state="visible" r:id="rId3"/>
    <sheet name="M2-Governance" sheetId="4" state="visible" r:id="rId4"/>
    <sheet name="M3-Providers" sheetId="5" state="visible" r:id="rId5"/>
    <sheet name="M4-Preparation" sheetId="6" state="visible" r:id="rId6"/>
    <sheet name="M5-ThreatIntel" sheetId="7" state="visible" r:id="rId7"/>
    <sheet name="M6-RedTeam" sheetId="8" state="visible" r:id="rId8"/>
    <sheet name="M7-Closure" sheetId="9" state="visible" r:id="rId9"/>
    <sheet name="M8-Remediation" sheetId="10" state="visible" r:id="rId10"/>
    <sheet name="Timeline" sheetId="11" state="visible" r:id="rId11"/>
    <sheet name="Provider Scorecard" sheetId="12" state="visible" r:id="rId12"/>
    <sheet name="Risk Register" sheetId="13" state="visible" r:id="rId13"/>
    <sheet name="National Comparison" sheetId="14" state="visible" r:id="rId14"/>
  </sheets>
  <definedNames>
    <definedName name="NotificationDate">'Dashboard'!$B$17</definedName>
    <definedName name="_xlnm.Print_Area" localSheetId="0">'Instructions'!$A$1:$B$44</definedName>
    <definedName name="_xlnm.Print_Area" localSheetId="1">'Dashboard'!$A$1:$H$32</definedName>
    <definedName name="_xlnm.Print_Titles" localSheetId="2">'M1-Scope'!$1:$3</definedName>
    <definedName name="_xlnm.Print_Area" localSheetId="2">'M1-Scope'!$A$1:$J$9</definedName>
    <definedName name="_xlnm.Print_Titles" localSheetId="3">'M2-Governance'!$1:$3</definedName>
    <definedName name="_xlnm.Print_Area" localSheetId="3">'M2-Governance'!$A$1:$J$43</definedName>
    <definedName name="_xlnm.Print_Titles" localSheetId="4">'M3-Providers'!$1:$3</definedName>
    <definedName name="_xlnm.Print_Area" localSheetId="4">'M3-Providers'!$A$1:$J$50</definedName>
    <definedName name="_xlnm.Print_Titles" localSheetId="5">'M4-Preparation'!$1:$3</definedName>
    <definedName name="_xlnm.Print_Area" localSheetId="5">'M4-Preparation'!$A$1:$J$57</definedName>
    <definedName name="_xlnm.Print_Titles" localSheetId="6">'M5-ThreatIntel'!$1:$3</definedName>
    <definedName name="_xlnm.Print_Area" localSheetId="6">'M5-ThreatIntel'!$A$1:$J$44</definedName>
    <definedName name="_xlnm.Print_Titles" localSheetId="7">'M6-RedTeam'!$1:$3</definedName>
    <definedName name="_xlnm.Print_Area" localSheetId="7">'M6-RedTeam'!$A$1:$J$38</definedName>
    <definedName name="_xlnm.Print_Titles" localSheetId="8">'M7-Closure'!$1:$3</definedName>
    <definedName name="_xlnm.Print_Area" localSheetId="8">'M7-Closure'!$A$1:$J$58</definedName>
    <definedName name="_xlnm.Print_Titles" localSheetId="9">'M8-Remediation'!$1:$3</definedName>
    <definedName name="_xlnm.Print_Area" localSheetId="9">'M8-Remediation'!$A$1:$J$30</definedName>
    <definedName name="_xlnm.Print_Titles" localSheetId="10">'Timeline'!$1:$2</definedName>
    <definedName name="_xlnm.Print_Area" localSheetId="10">'Timeline'!$A$1:$H$22</definedName>
    <definedName name="_xlnm.Print_Area" localSheetId="11">'Provider Scorecard'!$A$1:$I$96</definedName>
    <definedName name="_xlnm.Print_Titles" localSheetId="12">'Risk Register'!$1:$2</definedName>
    <definedName name="_xlnm.Print_Area" localSheetId="12">'Risk Register'!$A$1:$N$26</definedName>
    <definedName name="_xlnm.Print_Titles" localSheetId="13">'National Comparison'!$1:$2</definedName>
    <definedName name="_xlnm.Print_Area" localSheetId="13">'National Comparison'!$A$1:$G$34</definedName>
  </definedNames>
  <calcPr calcId="124519" fullCalcOnLoad="1"/>
</workbook>
</file>

<file path=xl/styles.xml><?xml version="1.0" encoding="utf-8"?>
<styleSheet xmlns="http://schemas.openxmlformats.org/spreadsheetml/2006/main">
  <numFmts count="3">
    <numFmt numFmtId="164" formatCode="0&quot;%&quot;"/>
    <numFmt numFmtId="165" formatCode="DD-MMM-YYYY"/>
    <numFmt numFmtId="166" formatCode="D-MMM"/>
  </numFmts>
  <fonts count="29">
    <font>
      <name val="Calibri"/>
      <family val="2"/>
      <color theme="1"/>
      <sz val="11"/>
      <scheme val="minor"/>
    </font>
    <font>
      <name val="Red Hat Display"/>
      <b val="1"/>
      <color rgb="00FFFFFF"/>
      <sz val="14"/>
    </font>
    <font>
      <name val="Red Hat Display"/>
      <b val="1"/>
      <color rgb="00FFFFFF"/>
      <sz val="10"/>
    </font>
    <font>
      <name val="Red Hat Display"/>
      <color rgb="00666666"/>
      <sz val="10"/>
    </font>
    <font>
      <name val="Red Hat Display"/>
      <color rgb="002C2C2E"/>
      <sz val="10"/>
    </font>
    <font>
      <name val="Red Hat Display"/>
      <b val="1"/>
      <color rgb="00DA250D"/>
      <sz val="10"/>
    </font>
    <font>
      <name val="Red Hat Display"/>
      <color rgb="000066CC"/>
      <sz val="9"/>
      <u val="single"/>
    </font>
    <font>
      <name val="Red Hat Display"/>
      <b val="1"/>
      <color rgb="00F2994A"/>
      <sz val="10"/>
    </font>
    <font>
      <name val="Red Hat Display"/>
      <i val="1"/>
      <color rgb="002C2C2E"/>
      <sz val="9"/>
    </font>
    <font>
      <name val="Red Hat Display"/>
      <b val="1"/>
      <color rgb="002C2C2E"/>
      <sz val="11"/>
    </font>
    <font>
      <name val="Red Hat Display"/>
      <b val="1"/>
      <color rgb="00FFFFFF"/>
      <sz val="11"/>
    </font>
    <font>
      <name val="Red Hat Display"/>
      <color rgb="00666666"/>
      <sz val="9"/>
    </font>
    <font>
      <name val="Red Hat Display"/>
      <color rgb="0027AE60"/>
      <sz val="10"/>
    </font>
    <font>
      <name val="Red Hat Display"/>
      <color rgb="00FFFFFF"/>
      <sz val="7"/>
    </font>
    <font>
      <name val="Red Hat Display"/>
      <b val="1"/>
      <color rgb="002C2C2E"/>
      <sz val="10"/>
    </font>
    <font>
      <name val="Red Hat Display"/>
      <b val="1"/>
      <color rgb="002C2C2E"/>
      <sz val="12"/>
    </font>
    <font>
      <name val="Red Hat Display"/>
      <color rgb="002C2C2E"/>
      <sz val="9"/>
    </font>
    <font>
      <name val="Red Hat Display"/>
      <b val="1"/>
      <color rgb="002C2C2E"/>
      <sz val="9"/>
    </font>
    <font>
      <name val="Red Hat Display"/>
      <b val="1"/>
      <color rgb="00333333"/>
      <sz val="14"/>
    </font>
    <font>
      <name val="Red Hat Display"/>
      <b val="1"/>
      <color rgb="00333333"/>
      <sz val="11"/>
    </font>
    <font>
      <name val="Red Hat Display"/>
      <b val="1"/>
      <color rgb="00FFFFFF"/>
      <sz val="9"/>
    </font>
    <font>
      <name val="Red Hat Display"/>
      <b val="1"/>
      <color rgb="002C2C2E"/>
      <sz val="11"/>
      <u val="single"/>
    </font>
    <font>
      <name val="Red Hat Display"/>
      <color rgb="003366CC"/>
      <sz val="11"/>
      <u val="single"/>
    </font>
    <font>
      <name val="Red Hat Display"/>
      <b val="1"/>
      <color rgb="00FFFFFF"/>
      <sz val="20"/>
    </font>
    <font>
      <name val="Red Hat Display"/>
      <color rgb="00999999"/>
      <sz val="10"/>
    </font>
    <font>
      <name val="Red Hat Display"/>
      <b val="1"/>
      <color rgb="002C2C2E"/>
      <sz val="14"/>
    </font>
    <font>
      <name val="Red Hat Display"/>
      <b val="1"/>
      <color rgb="00FFFFFF"/>
      <sz val="12"/>
    </font>
    <font>
      <name val="Red Hat Display"/>
      <b val="1"/>
      <color rgb="00333333"/>
      <sz val="12"/>
    </font>
    <font>
      <name val="Red Hat Display"/>
      <i val="1"/>
      <color rgb="00666666"/>
      <sz val="9"/>
    </font>
  </fonts>
  <fills count="12">
    <fill>
      <patternFill/>
    </fill>
    <fill>
      <patternFill patternType="gray125"/>
    </fill>
    <fill>
      <patternFill patternType="solid">
        <fgColor rgb="00333333"/>
        <bgColor rgb="00333333"/>
      </patternFill>
    </fill>
    <fill>
      <patternFill patternType="solid">
        <fgColor rgb="00F5F5F7"/>
        <bgColor rgb="00F5F5F7"/>
      </patternFill>
    </fill>
    <fill>
      <patternFill patternType="solid">
        <fgColor rgb="005C5C5C"/>
        <bgColor rgb="005C5C5C"/>
      </patternFill>
    </fill>
    <fill>
      <patternFill patternType="solid">
        <fgColor rgb="00FFF3E0"/>
        <bgColor rgb="00FFF3E0"/>
      </patternFill>
    </fill>
    <fill>
      <patternFill patternType="solid">
        <fgColor rgb="00FFEBEE"/>
        <bgColor rgb="00FFEBEE"/>
      </patternFill>
    </fill>
    <fill>
      <patternFill patternType="solid">
        <fgColor rgb="00DA250D"/>
        <bgColor rgb="00DA250D"/>
      </patternFill>
    </fill>
    <fill>
      <patternFill patternType="solid">
        <fgColor rgb="00E8F5E9"/>
        <bgColor rgb="00E8F5E9"/>
      </patternFill>
    </fill>
    <fill>
      <patternFill patternType="solid">
        <fgColor rgb="00F2994A"/>
        <bgColor rgb="00F2994A"/>
      </patternFill>
    </fill>
    <fill>
      <patternFill patternType="solid">
        <fgColor rgb="0027AE60"/>
        <bgColor rgb="0027AE60"/>
      </patternFill>
    </fill>
    <fill>
      <patternFill patternType="solid">
        <fgColor rgb="00FFFDE7"/>
        <bgColor rgb="00FFFDE7"/>
      </patternFill>
    </fill>
  </fills>
  <borders count="8">
    <border>
      <left/>
      <right/>
      <top/>
      <bottom/>
      <diagonal/>
    </border>
    <border>
      <left style="thin">
        <color rgb="00E0E0E0"/>
      </left>
      <right style="thin">
        <color rgb="00E0E0E0"/>
      </right>
      <top style="thin">
        <color rgb="00E0E0E0"/>
      </top>
      <bottom style="thin">
        <color rgb="00E0E0E0"/>
      </bottom>
    </border>
    <border>
      <left style="medium">
        <color rgb="003F51B5"/>
      </left>
      <right style="thin">
        <color rgb="00E0E0E0"/>
      </right>
      <top style="thin">
        <color rgb="00E0E0E0"/>
      </top>
      <bottom style="thin">
        <color rgb="00E0E0E0"/>
      </bottom>
    </border>
    <border>
      <left style="medium">
        <color rgb="00E94560"/>
      </left>
      <right style="medium">
        <color rgb="00E94560"/>
      </right>
      <top style="medium">
        <color rgb="00E94560"/>
      </top>
      <bottom style="medium">
        <color rgb="00E94560"/>
      </bottom>
    </border>
    <border>
      <left/>
      <right/>
      <top style="thin">
        <color rgb="00E0E0E0"/>
      </top>
      <bottom/>
      <diagonal/>
    </border>
    <border>
      <left/>
      <right style="thin">
        <color rgb="00E0E0E0"/>
      </right>
      <top style="thin">
        <color rgb="00E0E0E0"/>
      </top>
      <bottom/>
      <diagonal/>
    </border>
    <border>
      <left/>
      <right/>
      <top style="thin">
        <color rgb="00E0E0E0"/>
      </top>
      <bottom style="thin">
        <color rgb="00E0E0E0"/>
      </bottom>
      <diagonal/>
    </border>
    <border>
      <left/>
      <right style="thin">
        <color rgb="00E0E0E0"/>
      </right>
      <top style="thin">
        <color rgb="00E0E0E0"/>
      </top>
      <bottom style="thin">
        <color rgb="00E0E0E0"/>
      </bottom>
      <diagonal/>
    </border>
  </borders>
  <cellStyleXfs count="1">
    <xf numFmtId="0" fontId="0" fillId="0" borderId="0"/>
  </cellStyleXfs>
  <cellXfs count="81">
    <xf numFmtId="0" fontId="0" fillId="0" borderId="0" pivotButton="0" quotePrefix="0" xfId="0"/>
    <xf numFmtId="0" fontId="18" fillId="0" borderId="0" applyAlignment="1" pivotButton="0" quotePrefix="0" xfId="0">
      <alignment horizontal="left" vertical="center"/>
    </xf>
    <xf numFmtId="0" fontId="11" fillId="0" borderId="0" applyAlignment="1" pivotButton="0" quotePrefix="0" xfId="0">
      <alignment horizontal="left" vertical="center"/>
    </xf>
    <xf numFmtId="0" fontId="19" fillId="0" borderId="0" pivotButton="0" quotePrefix="0" xfId="0"/>
    <xf numFmtId="0" fontId="4" fillId="0" borderId="0" applyAlignment="1" pivotButton="0" quotePrefix="0" xfId="0">
      <alignment horizontal="left" vertical="top" wrapText="1"/>
    </xf>
    <xf numFmtId="0" fontId="20" fillId="7" borderId="1" applyAlignment="1" pivotButton="0" quotePrefix="0" xfId="0">
      <alignment horizontal="center" vertical="center"/>
    </xf>
    <xf numFmtId="0" fontId="4" fillId="0" borderId="1" pivotButton="0" quotePrefix="0" xfId="0"/>
    <xf numFmtId="0" fontId="20" fillId="9" borderId="1" applyAlignment="1" pivotButton="0" quotePrefix="0" xfId="0">
      <alignment horizontal="center" vertical="center"/>
    </xf>
    <xf numFmtId="0" fontId="20" fillId="10" borderId="1" applyAlignment="1" pivotButton="0" quotePrefix="0" xfId="0">
      <alignment horizontal="center" vertical="center"/>
    </xf>
    <xf numFmtId="0" fontId="17" fillId="8" borderId="1" applyAlignment="1" pivotButton="0" quotePrefix="0" xfId="0">
      <alignment horizontal="center" vertical="center"/>
    </xf>
    <xf numFmtId="0" fontId="17" fillId="6" borderId="1" applyAlignment="1" pivotButton="0" quotePrefix="0" xfId="0">
      <alignment horizontal="center" vertical="center"/>
    </xf>
    <xf numFmtId="0" fontId="17" fillId="3" borderId="1" applyAlignment="1" pivotButton="0" quotePrefix="0" xfId="0">
      <alignment horizontal="center" vertical="center"/>
    </xf>
    <xf numFmtId="0" fontId="21" fillId="0" borderId="0" applyAlignment="1" pivotButton="0" quotePrefix="0" xfId="0">
      <alignment horizontal="left" vertical="center"/>
    </xf>
    <xf numFmtId="0" fontId="22" fillId="0" borderId="0" applyAlignment="1" pivotButton="0" quotePrefix="0" xfId="0">
      <alignment horizontal="left" vertical="center"/>
    </xf>
    <xf numFmtId="0" fontId="23" fillId="2" borderId="0" applyAlignment="1" pivotButton="0" quotePrefix="0" xfId="0">
      <alignment horizontal="center" vertical="center"/>
    </xf>
    <xf numFmtId="0" fontId="0" fillId="2" borderId="0" pivotButton="0" quotePrefix="0" xfId="0"/>
    <xf numFmtId="0" fontId="24" fillId="2" borderId="0" applyAlignment="1" pivotButton="0" quotePrefix="0" xfId="0">
      <alignment horizontal="center" vertical="center"/>
    </xf>
    <xf numFmtId="0" fontId="25" fillId="0" borderId="0" pivotButton="0" quotePrefix="0" xfId="0"/>
    <xf numFmtId="0" fontId="26" fillId="2" borderId="0" applyAlignment="1" pivotButton="0" quotePrefix="0" xfId="0">
      <alignment horizontal="left" vertical="center"/>
    </xf>
    <xf numFmtId="0" fontId="14" fillId="3" borderId="1" applyAlignment="1" pivotButton="0" quotePrefix="0" xfId="0">
      <alignment horizontal="center" vertical="center"/>
    </xf>
    <xf numFmtId="0" fontId="14" fillId="0" borderId="1" applyAlignment="1" pivotButton="0" quotePrefix="0" xfId="0">
      <alignment horizontal="left" vertical="center"/>
    </xf>
    <xf numFmtId="0" fontId="4" fillId="0" borderId="1" applyAlignment="1" pivotButton="0" quotePrefix="0" xfId="0">
      <alignment horizontal="center" vertical="center"/>
    </xf>
    <xf numFmtId="164" fontId="4" fillId="0" borderId="1" applyAlignment="1" pivotButton="0" quotePrefix="0" xfId="0">
      <alignment horizontal="center" vertical="center"/>
    </xf>
    <xf numFmtId="9" fontId="4" fillId="0" borderId="1" applyAlignment="1" pivotButton="0" quotePrefix="0" xfId="0">
      <alignment horizontal="center" vertical="center"/>
    </xf>
    <xf numFmtId="0" fontId="14" fillId="0" borderId="1" applyAlignment="1" pivotButton="0" quotePrefix="0" xfId="0">
      <alignment horizontal="center" vertical="center"/>
    </xf>
    <xf numFmtId="165" fontId="0" fillId="0" borderId="1" applyProtection="1" pivotButton="0" quotePrefix="0" xfId="0">
      <protection locked="0" hidden="0"/>
    </xf>
    <xf numFmtId="0" fontId="0" fillId="0" borderId="1" pivotButton="0" quotePrefix="0" xfId="0"/>
    <xf numFmtId="0" fontId="26" fillId="2" borderId="0" pivotButton="0" quotePrefix="0" xfId="0"/>
    <xf numFmtId="0" fontId="9" fillId="0" borderId="1" applyAlignment="1" pivotButton="0" quotePrefix="0" xfId="0">
      <alignment horizontal="left" vertical="center"/>
    </xf>
    <xf numFmtId="165" fontId="27" fillId="11" borderId="3" applyAlignment="1" applyProtection="1" pivotButton="0" quotePrefix="0" xfId="0">
      <alignment horizontal="center" vertical="center"/>
      <protection locked="0" hidden="0"/>
    </xf>
    <xf numFmtId="0" fontId="28" fillId="0" borderId="1" applyAlignment="1" pivotButton="0" quotePrefix="0" xfId="0">
      <alignment horizontal="left" vertical="center"/>
    </xf>
    <xf numFmtId="0" fontId="0" fillId="3" borderId="1" pivotButton="0" quotePrefix="0" xfId="0"/>
    <xf numFmtId="0" fontId="4" fillId="0" borderId="1" applyAlignment="1" pivotButton="0" quotePrefix="0" xfId="0">
      <alignment horizontal="left" vertical="center"/>
    </xf>
    <xf numFmtId="165" fontId="4" fillId="0" borderId="1" applyAlignment="1" pivotButton="0" quotePrefix="0" xfId="0">
      <alignment horizontal="center" vertical="center"/>
    </xf>
    <xf numFmtId="0" fontId="9" fillId="0" borderId="1" pivotButton="0" quotePrefix="0" xfId="0"/>
    <xf numFmtId="0" fontId="4" fillId="0" borderId="1" applyAlignment="1" applyProtection="1" pivotButton="0" quotePrefix="0" xfId="0">
      <alignment horizontal="center" vertical="center"/>
      <protection locked="0" hidden="0"/>
    </xf>
    <xf numFmtId="0" fontId="1" fillId="2" borderId="0" applyAlignment="1" pivotButton="0" quotePrefix="0" xfId="0">
      <alignment horizontal="center" vertical="center"/>
    </xf>
    <xf numFmtId="0" fontId="2" fillId="2" borderId="1" applyAlignment="1" pivotButton="0" quotePrefix="0" xfId="0">
      <alignment horizontal="center" vertical="center" wrapText="1"/>
    </xf>
    <xf numFmtId="0" fontId="9" fillId="3" borderId="1" applyAlignment="1" pivotButton="0" quotePrefix="0" xfId="0">
      <alignment horizontal="center" vertical="center"/>
    </xf>
    <xf numFmtId="0" fontId="3" fillId="0" borderId="1" applyAlignment="1" pivotButton="0" quotePrefix="0" xfId="0">
      <alignment horizontal="center" vertical="center"/>
    </xf>
    <xf numFmtId="0" fontId="4" fillId="0" borderId="1" applyAlignment="1" pivotButton="0" quotePrefix="0" xfId="0">
      <alignment horizontal="left" vertical="top" wrapText="1"/>
    </xf>
    <xf numFmtId="0" fontId="5" fillId="0" borderId="1" applyAlignment="1" pivotButton="0" quotePrefix="0" xfId="0">
      <alignment horizontal="center" vertical="center"/>
    </xf>
    <xf numFmtId="0" fontId="4" fillId="0" borderId="1" applyAlignment="1" applyProtection="1" pivotButton="0" quotePrefix="0" xfId="0">
      <alignment horizontal="left" vertical="center"/>
      <protection locked="0" hidden="0"/>
    </xf>
    <xf numFmtId="165" fontId="4" fillId="0" borderId="1" applyAlignment="1" applyProtection="1" pivotButton="0" quotePrefix="0" xfId="0">
      <alignment horizontal="center" vertical="center"/>
      <protection locked="0" hidden="0"/>
    </xf>
    <xf numFmtId="0" fontId="6" fillId="0" borderId="1" applyAlignment="1" pivotButton="0" quotePrefix="0" xfId="0">
      <alignment horizontal="left" vertical="top" wrapText="1"/>
    </xf>
    <xf numFmtId="0" fontId="4" fillId="0" borderId="1" applyAlignment="1" applyProtection="1" pivotButton="0" quotePrefix="0" xfId="0">
      <alignment horizontal="left" vertical="top" wrapText="1"/>
      <protection locked="0" hidden="0"/>
    </xf>
    <xf numFmtId="0" fontId="7" fillId="0" borderId="1" applyAlignment="1" pivotButton="0" quotePrefix="0" xfId="0">
      <alignment horizontal="center" vertical="center"/>
    </xf>
    <xf numFmtId="0" fontId="8" fillId="3" borderId="2" applyAlignment="1" pivotButton="0" quotePrefix="0" xfId="0">
      <alignment horizontal="left" vertical="top" wrapText="1"/>
    </xf>
    <xf numFmtId="0" fontId="10" fillId="4" borderId="1" applyAlignment="1" pivotButton="0" quotePrefix="0" xfId="0">
      <alignment horizontal="left" vertical="center"/>
    </xf>
    <xf numFmtId="0" fontId="0" fillId="4" borderId="1" pivotButton="0" quotePrefix="0" xfId="0"/>
    <xf numFmtId="0" fontId="11" fillId="0" borderId="1" applyAlignment="1" pivotButton="0" quotePrefix="0" xfId="0">
      <alignment horizontal="left" vertical="top" wrapText="1"/>
    </xf>
    <xf numFmtId="0" fontId="12" fillId="0" borderId="1" applyAlignment="1" pivotButton="0" quotePrefix="0" xfId="0">
      <alignment horizontal="center" vertical="center"/>
    </xf>
    <xf numFmtId="166" fontId="13" fillId="2" borderId="1" applyAlignment="1" pivotButton="0" quotePrefix="0" xfId="0">
      <alignment horizontal="center" vertical="center"/>
    </xf>
    <xf numFmtId="0" fontId="15" fillId="0" borderId="0" pivotButton="0" quotePrefix="0" xfId="0"/>
    <xf numFmtId="0" fontId="0" fillId="2" borderId="1" pivotButton="0" quotePrefix="0" xfId="0"/>
    <xf numFmtId="0" fontId="0" fillId="0" borderId="1" applyAlignment="1" applyProtection="1" pivotButton="0" quotePrefix="0" xfId="0">
      <alignment horizontal="center" vertical="center"/>
      <protection locked="0" hidden="0"/>
    </xf>
    <xf numFmtId="0" fontId="14" fillId="0" borderId="1" pivotButton="0" quotePrefix="0" xfId="0"/>
    <xf numFmtId="0" fontId="9" fillId="0" borderId="1" applyAlignment="1" pivotButton="0" quotePrefix="0" xfId="0">
      <alignment horizontal="center" vertical="center"/>
    </xf>
    <xf numFmtId="0" fontId="15" fillId="0" borderId="1" applyAlignment="1" pivotButton="0" quotePrefix="0" xfId="0">
      <alignment horizontal="center" vertical="center"/>
    </xf>
    <xf numFmtId="0" fontId="16" fillId="0" borderId="1" applyAlignment="1" applyProtection="1" pivotButton="0" quotePrefix="0" xfId="0">
      <alignment horizontal="left" vertical="top" wrapText="1"/>
      <protection locked="0" hidden="0"/>
    </xf>
    <xf numFmtId="0" fontId="4" fillId="3" borderId="1" applyAlignment="1" pivotButton="0" quotePrefix="0" xfId="0">
      <alignment horizontal="left" vertical="top" wrapText="1"/>
    </xf>
    <xf numFmtId="0" fontId="4" fillId="3" borderId="1" applyAlignment="1" applyProtection="1" pivotButton="0" quotePrefix="0" xfId="0">
      <alignment horizontal="center" vertical="center"/>
      <protection locked="0" hidden="0"/>
    </xf>
    <xf numFmtId="0" fontId="16" fillId="3" borderId="1" applyAlignment="1" applyProtection="1" pivotButton="0" quotePrefix="0" xfId="0">
      <alignment horizontal="left" vertical="top" wrapText="1"/>
      <protection locked="0" hidden="0"/>
    </xf>
    <xf numFmtId="0" fontId="4" fillId="3" borderId="1" applyAlignment="1" applyProtection="1" pivotButton="0" quotePrefix="0" xfId="0">
      <alignment horizontal="left" vertical="top" wrapText="1"/>
      <protection locked="0" hidden="0"/>
    </xf>
    <xf numFmtId="0" fontId="17" fillId="0" borderId="0" pivotButton="0" quotePrefix="0" xfId="0"/>
    <xf numFmtId="0" fontId="14" fillId="5" borderId="1" applyAlignment="1" pivotButton="0" quotePrefix="0" xfId="0">
      <alignment horizontal="center" vertical="center"/>
    </xf>
    <xf numFmtId="0" fontId="14" fillId="6" borderId="1" applyAlignment="1" pivotButton="0" quotePrefix="0" xfId="0">
      <alignment horizontal="center" vertical="center"/>
    </xf>
    <xf numFmtId="0" fontId="2" fillId="7" borderId="1" applyAlignment="1" pivotButton="0" quotePrefix="0" xfId="0">
      <alignment horizontal="center" vertical="center"/>
    </xf>
    <xf numFmtId="0" fontId="14" fillId="8" borderId="1" applyAlignment="1" pivotButton="0" quotePrefix="0" xfId="0">
      <alignment horizontal="center" vertical="center"/>
    </xf>
    <xf numFmtId="0" fontId="16" fillId="0" borderId="1" applyAlignment="1" pivotButton="0" quotePrefix="0" xfId="0">
      <alignment horizontal="left" vertical="top" wrapText="1"/>
    </xf>
    <xf numFmtId="0" fontId="14" fillId="3" borderId="1" applyAlignment="1" pivotButton="0" quotePrefix="0" xfId="0">
      <alignment horizontal="left" vertical="center"/>
    </xf>
    <xf numFmtId="0" fontId="16" fillId="3" borderId="1" applyAlignment="1" pivotButton="0" quotePrefix="0" xfId="0">
      <alignment horizontal="left" vertical="top" wrapText="1"/>
    </xf>
    <xf numFmtId="0" fontId="6" fillId="3" borderId="1" applyAlignment="1" pivotButton="0" quotePrefix="0" xfId="0">
      <alignment horizontal="left" vertical="top" wrapText="1"/>
    </xf>
    <xf numFmtId="164" fontId="4" fillId="0" borderId="1" applyAlignment="1" pivotButton="0" quotePrefix="0" xfId="0">
      <alignment horizontal="center" vertical="center"/>
    </xf>
    <xf numFmtId="165" fontId="0" fillId="0" borderId="1" applyProtection="1" pivotButton="0" quotePrefix="0" xfId="0">
      <protection locked="0" hidden="0"/>
    </xf>
    <xf numFmtId="165" fontId="27" fillId="11" borderId="3" applyAlignment="1" applyProtection="1" pivotButton="0" quotePrefix="0" xfId="0">
      <alignment horizontal="center" vertical="center"/>
      <protection locked="0" hidden="0"/>
    </xf>
    <xf numFmtId="0" fontId="0" fillId="0" borderId="6" pivotButton="0" quotePrefix="0" xfId="0"/>
    <xf numFmtId="0" fontId="0" fillId="0" borderId="7" pivotButton="0" quotePrefix="0" xfId="0"/>
    <xf numFmtId="165" fontId="4" fillId="0" borderId="1" applyAlignment="1" pivotButton="0" quotePrefix="0" xfId="0">
      <alignment horizontal="center" vertical="center"/>
    </xf>
    <xf numFmtId="165" fontId="4" fillId="0" borderId="1" applyAlignment="1" applyProtection="1" pivotButton="0" quotePrefix="0" xfId="0">
      <alignment horizontal="center" vertical="center"/>
      <protection locked="0" hidden="0"/>
    </xf>
    <xf numFmtId="166" fontId="13" fillId="2" borderId="1" applyAlignment="1" pivotButton="0" quotePrefix="0" xfId="0">
      <alignment horizontal="center" vertical="center"/>
    </xf>
  </cellXfs>
  <cellStyles count="1">
    <cellStyle name="Normal" xfId="0" builtinId="0" hidden="0"/>
  </cellStyles>
  <dxfs count="14">
    <dxf>
      <fill>
        <patternFill patternType="solid">
          <fgColor rgb="00E8F5E9"/>
          <bgColor rgb="00E8F5E9"/>
        </patternFill>
      </fill>
    </dxf>
    <dxf>
      <font>
        <name val="Red Hat Display"/>
        <b val="1"/>
        <color rgb="00DA250D"/>
        <sz val="10"/>
      </font>
      <fill>
        <patternFill patternType="solid">
          <fgColor rgb="00FFEBEE"/>
          <bgColor rgb="00FFEBEE"/>
        </patternFill>
      </fill>
    </dxf>
    <dxf>
      <font>
        <name val="Red Hat Display"/>
        <b val="1"/>
        <color rgb="00F2994A"/>
        <sz val="10"/>
      </font>
      <fill>
        <patternFill patternType="solid">
          <fgColor rgb="00FFF3E0"/>
          <bgColor rgb="00FFF3E0"/>
        </patternFill>
      </fill>
    </dxf>
    <dxf>
      <font>
        <name val="Red Hat Display"/>
        <color rgb="0027AE60"/>
        <sz val="10"/>
      </font>
      <fill>
        <patternFill patternType="solid">
          <fgColor rgb="00E8F5E9"/>
          <bgColor rgb="00E8F5E9"/>
        </patternFill>
      </fill>
    </dxf>
    <dxf>
      <font>
        <name val="Red Hat Display"/>
        <color rgb="00999999"/>
        <sz val="10"/>
      </font>
      <fill>
        <patternFill patternType="solid">
          <fgColor rgb="00F5F5F7"/>
          <bgColor rgb="00F5F5F7"/>
        </patternFill>
      </fill>
    </dxf>
    <dxf>
      <fill>
        <patternFill patternType="solid">
          <fgColor rgb="00FFEBEE"/>
          <bgColor rgb="00FFEBEE"/>
        </patternFill>
      </fill>
    </dxf>
    <dxf>
      <fill>
        <patternFill patternType="solid">
          <fgColor rgb="0027AE60"/>
          <bgColor rgb="0027AE60"/>
        </patternFill>
      </fill>
    </dxf>
    <dxf>
      <font>
        <name val="Red Hat Display"/>
        <b val="1"/>
        <color rgb="00DA250D"/>
        <sz val="11"/>
      </font>
      <fill>
        <patternFill patternType="solid">
          <fgColor rgb="00FFEBEE"/>
          <bgColor rgb="00FFEBEE"/>
        </patternFill>
      </fill>
    </dxf>
    <dxf>
      <font>
        <name val="Red Hat Display"/>
        <b val="1"/>
        <color rgb="0027AE60"/>
        <sz val="11"/>
      </font>
      <fill>
        <patternFill patternType="solid">
          <fgColor rgb="00E8F5E9"/>
          <bgColor rgb="00E8F5E9"/>
        </patternFill>
      </fill>
    </dxf>
    <dxf>
      <font>
        <name val="Red Hat Display"/>
        <color rgb="00F2994A"/>
        <sz val="10"/>
      </font>
      <fill>
        <patternFill patternType="solid">
          <fgColor rgb="00FFF3E0"/>
          <bgColor rgb="00FFF3E0"/>
        </patternFill>
      </fill>
    </dxf>
    <dxf>
      <font>
        <name val="Red Hat Display"/>
        <color rgb="00DA250D"/>
        <sz val="10"/>
      </font>
      <fill>
        <patternFill patternType="solid">
          <fgColor rgb="00FFEBEE"/>
          <bgColor rgb="00FFEBEE"/>
        </patternFill>
      </fill>
    </dxf>
    <dxf>
      <font>
        <name val="Red Hat Display"/>
        <b val="1"/>
        <color rgb="00FFFFFF"/>
        <sz val="10"/>
      </font>
      <fill>
        <patternFill patternType="solid">
          <fgColor rgb="00DA250D"/>
          <bgColor rgb="00DA250D"/>
        </patternFill>
      </fill>
    </dxf>
    <dxf>
      <fill>
        <patternFill patternType="solid">
          <fgColor rgb="00FFF3E0"/>
          <bgColor rgb="00FFF3E0"/>
        </patternFill>
      </fill>
    </dxf>
    <dxf>
      <fill>
        <patternFill patternType="solid">
          <fgColor rgb="00FFFDE7"/>
          <bgColor rgb="00FFFDE7"/>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styles" Target="styles.xml" Id="rId15" /><Relationship Type="http://schemas.openxmlformats.org/officeDocument/2006/relationships/theme" Target="theme/theme1.xml" Id="rId16"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afine.com" TargetMode="External" Id="rId1" /><Relationship Type="http://schemas.openxmlformats.org/officeDocument/2006/relationships/hyperlink" Target="https://app.iclosed.io/e/afine/tlpt-dora-consultation" TargetMode="External" Id="rId2" /></Relationships>
</file>

<file path=xl/worksheets/_rels/sheet10.xml.rels><Relationships xmlns="http://schemas.openxmlformats.org/package/2006/relationships"><Relationship Type="http://schemas.openxmlformats.org/officeDocument/2006/relationships/hyperlink" Target="https://eur-lex.europa.eu/legal-content/EN/TXT/HTML/?uri=CELEX:32025R1190#art_13" TargetMode="External" Id="rId1" /><Relationship Type="http://schemas.openxmlformats.org/officeDocument/2006/relationships/hyperlink" Target="https://eur-lex.europa.eu/legal-content/EN/TXT/HTML/?uri=CELEX:32025R1190#art_13" TargetMode="External" Id="rId2" /><Relationship Type="http://schemas.openxmlformats.org/officeDocument/2006/relationships/hyperlink" Target="https://eur-lex.europa.eu/legal-content/EN/TXT/HTML/?uri=CELEX:32025R1190#art_13" TargetMode="External" Id="rId3" /><Relationship Type="http://schemas.openxmlformats.org/officeDocument/2006/relationships/hyperlink" Target="https://eur-lex.europa.eu/legal-content/EN/TXT/HTML/?uri=CELEX:32025R1190#art_13" TargetMode="External" Id="rId4" /><Relationship Type="http://schemas.openxmlformats.org/officeDocument/2006/relationships/hyperlink" Target="https://eur-lex.europa.eu/legal-content/EN/TXT/HTML/?uri=CELEX:32025R1190#art_13" TargetMode="External" Id="rId5" /><Relationship Type="http://schemas.openxmlformats.org/officeDocument/2006/relationships/hyperlink" Target="https://eur-lex.europa.eu/legal-content/EN/TXT/HTML/?uri=CELEX:32025R1190#art_13" TargetMode="External" Id="rId6" /><Relationship Type="http://schemas.openxmlformats.org/officeDocument/2006/relationships/hyperlink" Target="https://eur-lex.europa.eu/legal-content/EN/TXT/HTML/?uri=CELEX:32025R1190#art_13" TargetMode="External" Id="rId7" /><Relationship Type="http://schemas.openxmlformats.org/officeDocument/2006/relationships/hyperlink" Target="https://eur-lex.europa.eu/legal-content/EN/TXT/HTML/?uri=CELEX:32025R1190#art_13" TargetMode="External" Id="rId8" /><Relationship Type="http://schemas.openxmlformats.org/officeDocument/2006/relationships/hyperlink" Target="https://eur-lex.europa.eu/legal-content/EN/TXT/HTML/?uri=CELEX:32025R1190#art_13" TargetMode="External" Id="rId9" /><Relationship Type="http://schemas.openxmlformats.org/officeDocument/2006/relationships/hyperlink" Target="https://eur-lex.europa.eu/legal-content/EN/TXT/HTML/?uri=CELEX:32022R2554#art_26" TargetMode="External" Id="rId10" /><Relationship Type="http://schemas.openxmlformats.org/officeDocument/2006/relationships/hyperlink" Target="https://eur-lex.europa.eu/legal-content/EN/TXT/HTML/?uri=CELEX:32025R1190#art_14" TargetMode="External" Id="rId11" /><Relationship Type="http://schemas.openxmlformats.org/officeDocument/2006/relationships/hyperlink" Target="https://eur-lex.europa.eu/legal-content/EN/TXT/HTML/?uri=CELEX:32025R1190#art_14" TargetMode="External" Id="rId12" /><Relationship Type="http://schemas.openxmlformats.org/officeDocument/2006/relationships/hyperlink" Target="https://eur-lex.europa.eu/legal-content/EN/TXT/HTML/?uri=CELEX:32025R1190#anx_VIII" TargetMode="External" Id="rId13" /><Relationship Type="http://schemas.openxmlformats.org/officeDocument/2006/relationships/hyperlink" Target="https://eur-lex.europa.eu/legal-content/EN/TXT/HTML/?uri=CELEX:32025R1190#anx_VIII" TargetMode="External" Id="rId14" /><Relationship Type="http://schemas.openxmlformats.org/officeDocument/2006/relationships/hyperlink" Target="https://eur-lex.europa.eu/legal-content/EN/TXT/HTML/?uri=CELEX:32025R1190#anx_VIII" TargetMode="External" Id="rId15" /><Relationship Type="http://schemas.openxmlformats.org/officeDocument/2006/relationships/hyperlink" Target="https://eur-lex.europa.eu/legal-content/EN/TXT/HTML/?uri=CELEX:32025R1190#anx_VIII" TargetMode="External" Id="rId16" /><Relationship Type="http://schemas.openxmlformats.org/officeDocument/2006/relationships/hyperlink" Target="https://eur-lex.europa.eu/legal-content/EN/TXT/HTML/?uri=CELEX:32025R1190#anx_VIII" TargetMode="External" Id="rId17" /><Relationship Type="http://schemas.openxmlformats.org/officeDocument/2006/relationships/hyperlink" Target="https://eur-lex.europa.eu/legal-content/EN/TXT/HTML/?uri=CELEX:32025R1190#anx_VIII" TargetMode="External" Id="rId18" /><Relationship Type="http://schemas.openxmlformats.org/officeDocument/2006/relationships/hyperlink" Target="https://eur-lex.europa.eu/legal-content/EN/TXT/HTML/?uri=CELEX:32025R1190#anx_VIII" TargetMode="External" Id="rId19" /><Relationship Type="http://schemas.openxmlformats.org/officeDocument/2006/relationships/hyperlink" Target="https://eur-lex.europa.eu/legal-content/EN/TXT/HTML/?uri=CELEX:32025R1190#anx_VIII" TargetMode="External" Id="rId20" /><Relationship Type="http://schemas.openxmlformats.org/officeDocument/2006/relationships/hyperlink" Target="https://eur-lex.europa.eu/legal-content/EN/TXT/HTML/?uri=CELEX:32025R1190#anx_VIII" TargetMode="External" Id="rId21" /><Relationship Type="http://schemas.openxmlformats.org/officeDocument/2006/relationships/hyperlink" Target="https://eur-lex.europa.eu/legal-content/EN/TXT/HTML/?uri=CELEX:32025R1190#art_16" TargetMode="External" Id="rId22" /><Relationship Type="http://schemas.openxmlformats.org/officeDocument/2006/relationships/hyperlink" Target="https://eur-lex.europa.eu/legal-content/EN/TXT/HTML/?uri=CELEX:32022R2554#art_26" TargetMode="External" Id="rId23" /></Relationships>
</file>

<file path=xl/worksheets/_rels/sheet11.xml.rels><Relationships xmlns="http://schemas.openxmlformats.org/package/2006/relationships"><Relationship Type="http://schemas.openxmlformats.org/officeDocument/2006/relationships/hyperlink" Target="https://eur-lex.europa.eu/legal-content/EN/TXT/HTML/?uri=CELEX:32025R1190#art_9" TargetMode="External" Id="rId1" /><Relationship Type="http://schemas.openxmlformats.org/officeDocument/2006/relationships/hyperlink" Target="https://eur-lex.europa.eu/legal-content/EN/TXT/HTML/?uri=CELEX:32025R1190#art_9" TargetMode="External" Id="rId2" /><Relationship Type="http://schemas.openxmlformats.org/officeDocument/2006/relationships/hyperlink" Target="https://eur-lex.europa.eu/legal-content/EN/TXT/HTML/?uri=CELEX:32025R1190#art_9" TargetMode="External" Id="rId3" /><Relationship Type="http://schemas.openxmlformats.org/officeDocument/2006/relationships/hyperlink" Target="https://eur-lex.europa.eu/legal-content/EN/TXT/HTML/?uri=CELEX:32025R1190#art_16" TargetMode="External" Id="rId4" /><Relationship Type="http://schemas.openxmlformats.org/officeDocument/2006/relationships/hyperlink" Target="https://eur-lex.europa.eu/legal-content/EN/TXT/HTML/?uri=CELEX:32025R1190#art_9" TargetMode="External" Id="rId5" /><Relationship Type="http://schemas.openxmlformats.org/officeDocument/2006/relationships/hyperlink" Target="https://eur-lex.europa.eu/legal-content/EN/TXT/HTML/?uri=CELEX:32025R1190#art_5" TargetMode="External" Id="rId6" /><Relationship Type="http://schemas.openxmlformats.org/officeDocument/2006/relationships/hyperlink" Target="https://eur-lex.europa.eu/legal-content/EN/TXT/HTML/?uri=CELEX:32025R1190#art_10" TargetMode="External" Id="rId7" /><Relationship Type="http://schemas.openxmlformats.org/officeDocument/2006/relationships/hyperlink" Target="https://eur-lex.europa.eu/legal-content/EN/TXT/HTML/?uri=CELEX:32025R1190#art_10" TargetMode="External" Id="rId8" /><Relationship Type="http://schemas.openxmlformats.org/officeDocument/2006/relationships/hyperlink" Target="https://eur-lex.europa.eu/legal-content/EN/TXT/HTML/?uri=CELEX:32025R1190#art_10" TargetMode="External" Id="rId9" /><Relationship Type="http://schemas.openxmlformats.org/officeDocument/2006/relationships/hyperlink" Target="https://eur-lex.europa.eu/legal-content/EN/TXT/HTML/?uri=CELEX:32025R1190#art_10" TargetMode="External" Id="rId10" /><Relationship Type="http://schemas.openxmlformats.org/officeDocument/2006/relationships/hyperlink" Target="https://eur-lex.europa.eu/legal-content/EN/TXT/HTML/?uri=CELEX:32025R1190#art_11" TargetMode="External" Id="rId11" /><Relationship Type="http://schemas.openxmlformats.org/officeDocument/2006/relationships/hyperlink" Target="https://eur-lex.europa.eu/legal-content/EN/TXT/HTML/?uri=CELEX:32025R1190#art_11" TargetMode="External" Id="rId12" /><Relationship Type="http://schemas.openxmlformats.org/officeDocument/2006/relationships/hyperlink" Target="https://eur-lex.europa.eu/legal-content/EN/TXT/HTML/?uri=CELEX:32025R1190#art_12" TargetMode="External" Id="rId13" /><Relationship Type="http://schemas.openxmlformats.org/officeDocument/2006/relationships/hyperlink" Target="https://eur-lex.europa.eu/legal-content/EN/TXT/HTML/?uri=CELEX:32025R1190#art_12" TargetMode="External" Id="rId14" /><Relationship Type="http://schemas.openxmlformats.org/officeDocument/2006/relationships/hyperlink" Target="https://eur-lex.europa.eu/legal-content/EN/TXT/HTML/?uri=CELEX:32025R1190#art_12" TargetMode="External" Id="rId15" /><Relationship Type="http://schemas.openxmlformats.org/officeDocument/2006/relationships/hyperlink" Target="https://eur-lex.europa.eu/legal-content/EN/TXT/HTML/?uri=CELEX:32025R1190#art_12" TargetMode="External" Id="rId16" /><Relationship Type="http://schemas.openxmlformats.org/officeDocument/2006/relationships/hyperlink" Target="https://eur-lex.europa.eu/legal-content/EN/TXT/HTML/?uri=CELEX:32025R1190#art_12" TargetMode="External" Id="rId17" /><Relationship Type="http://schemas.openxmlformats.org/officeDocument/2006/relationships/hyperlink" Target="https://eur-lex.europa.eu/legal-content/EN/TXT/HTML/?uri=CELEX:32025R1190#art_12" TargetMode="External" Id="rId18" /><Relationship Type="http://schemas.openxmlformats.org/officeDocument/2006/relationships/hyperlink" Target="https://eur-lex.europa.eu/legal-content/EN/TXT/HTML/?uri=CELEX:32025R1190#art_13" TargetMode="External" Id="rId19" /><Relationship Type="http://schemas.openxmlformats.org/officeDocument/2006/relationships/hyperlink" Target="https://eur-lex.europa.eu/legal-content/EN/TXT/HTML/?uri=CELEX:32025R1190#art_14" TargetMode="External" Id="rId20" /></Relationships>
</file>

<file path=xl/worksheets/_rels/sheet12.xml.rels><Relationships xmlns="http://schemas.openxmlformats.org/package/2006/relationships"><Relationship Type="http://schemas.openxmlformats.org/officeDocument/2006/relationships/hyperlink" Target="https://eur-lex.europa.eu/legal-content/EN/TXT/HTML/?uri=CELEX:32022R2554#art_27" TargetMode="External" Id="rId1" /><Relationship Type="http://schemas.openxmlformats.org/officeDocument/2006/relationships/hyperlink" Target="https://eur-lex.europa.eu/legal-content/EN/TXT/HTML/?uri=CELEX:32025R1190#art_7" TargetMode="External" Id="rId2" /><Relationship Type="http://schemas.openxmlformats.org/officeDocument/2006/relationships/hyperlink" Target="https://eur-lex.europa.eu/legal-content/EN/TXT/HTML/?uri=CELEX:32025R1190#art_7" TargetMode="External" Id="rId3" /><Relationship Type="http://schemas.openxmlformats.org/officeDocument/2006/relationships/hyperlink" Target="https://www.ecb.europa.eu/paym/cyber-resilience/tiber-eu/html/index.en.html" TargetMode="External" Id="rId4" /><Relationship Type="http://schemas.openxmlformats.org/officeDocument/2006/relationships/hyperlink" Target="https://www.ecb.europa.eu/paym/cyber-resilience/tiber-eu/html/index.en.html" TargetMode="External" Id="rId5" /><Relationship Type="http://schemas.openxmlformats.org/officeDocument/2006/relationships/hyperlink" Target="https://eur-lex.europa.eu/legal-content/EN/TXT/HTML/?uri=CELEX:32022R2554#art_27" TargetMode="External" Id="rId6" /><Relationship Type="http://schemas.openxmlformats.org/officeDocument/2006/relationships/hyperlink" Target="https://eur-lex.europa.eu/legal-content/EN/TXT/HTML/?uri=CELEX:32022R2554#art_27" TargetMode="External" Id="rId7" /><Relationship Type="http://schemas.openxmlformats.org/officeDocument/2006/relationships/hyperlink" Target="https://eur-lex.europa.eu/legal-content/EN/TXT/HTML/?uri=CELEX:32025R1190#art_7" TargetMode="External" Id="rId8" /><Relationship Type="http://schemas.openxmlformats.org/officeDocument/2006/relationships/hyperlink" Target="https://www.ecb.europa.eu/paym/cyber-resilience/tiber-eu/html/index.en.html" TargetMode="External" Id="rId9" /><Relationship Type="http://schemas.openxmlformats.org/officeDocument/2006/relationships/hyperlink" Target="https://eur-lex.europa.eu/legal-content/EN/TXT/HTML/?uri=CELEX:32025R1190#art_7" TargetMode="External" Id="rId10" /><Relationship Type="http://schemas.openxmlformats.org/officeDocument/2006/relationships/hyperlink" Target="https://eur-lex.europa.eu/legal-content/EN/TXT/HTML/?uri=CELEX:32025R1190#art_7" TargetMode="External" Id="rId11" /><Relationship Type="http://schemas.openxmlformats.org/officeDocument/2006/relationships/hyperlink" Target="https://eur-lex.europa.eu/legal-content/EN/TXT/HTML/?uri=CELEX:32022R2554#art_27" TargetMode="External" Id="rId12" /><Relationship Type="http://schemas.openxmlformats.org/officeDocument/2006/relationships/hyperlink" Target="https://eur-lex.europa.eu/legal-content/EN/TXT/HTML/?uri=CELEX:32025R1190#art_7" TargetMode="External" Id="rId13" /><Relationship Type="http://schemas.openxmlformats.org/officeDocument/2006/relationships/hyperlink" Target="https://eur-lex.europa.eu/legal-content/EN/TXT/HTML/?uri=CELEX:32025R1190#art_7" TargetMode="External" Id="rId14" /><Relationship Type="http://schemas.openxmlformats.org/officeDocument/2006/relationships/hyperlink" Target="https://www.ecb.europa.eu/paym/cyber-resilience/tiber-eu/html/index.en.html" TargetMode="External" Id="rId15" /><Relationship Type="http://schemas.openxmlformats.org/officeDocument/2006/relationships/hyperlink" Target="https://www.ecb.europa.eu/paym/cyber-resilience/tiber-eu/html/index.en.html" TargetMode="External" Id="rId16" /><Relationship Type="http://schemas.openxmlformats.org/officeDocument/2006/relationships/hyperlink" Target="https://www.ecb.europa.eu/paym/cyber-resilience/tiber-eu/html/index.en.html" TargetMode="External" Id="rId17" /><Relationship Type="http://schemas.openxmlformats.org/officeDocument/2006/relationships/hyperlink" Target="https://eur-lex.europa.eu/legal-content/EN/TXT/HTML/?uri=CELEX:32022R2554#art_27" TargetMode="External" Id="rId18" /><Relationship Type="http://schemas.openxmlformats.org/officeDocument/2006/relationships/hyperlink" Target="https://eur-lex.europa.eu/legal-content/EN/TXT/HTML/?uri=CELEX:32022R2554#art_27" TargetMode="External" Id="rId19" /><Relationship Type="http://schemas.openxmlformats.org/officeDocument/2006/relationships/hyperlink" Target="https://eur-lex.europa.eu/legal-content/EN/TXT/HTML/?uri=CELEX:32025R1190#art_7" TargetMode="External" Id="rId20" /><Relationship Type="http://schemas.openxmlformats.org/officeDocument/2006/relationships/hyperlink" Target="https://www.ecb.europa.eu/paym/cyber-resilience/tiber-eu/html/index.en.html" TargetMode="External" Id="rId21" /><Relationship Type="http://schemas.openxmlformats.org/officeDocument/2006/relationships/hyperlink" Target="https://eur-lex.europa.eu/legal-content/EN/TXT/HTML/?uri=CELEX:32025R1190#art_7" TargetMode="External" Id="rId22" /><Relationship Type="http://schemas.openxmlformats.org/officeDocument/2006/relationships/hyperlink" Target="https://eur-lex.europa.eu/legal-content/EN/TXT/HTML/?uri=CELEX:32025R1190#art_7" TargetMode="External" Id="rId23" /><Relationship Type="http://schemas.openxmlformats.org/officeDocument/2006/relationships/hyperlink" Target="https://eur-lex.europa.eu/legal-content/EN/TXT/HTML/?uri=CELEX:32022R2554#art_27" TargetMode="External" Id="rId24" /><Relationship Type="http://schemas.openxmlformats.org/officeDocument/2006/relationships/hyperlink" Target="https://eur-lex.europa.eu/legal-content/EN/TXT/HTML/?uri=CELEX:32022R2554#art_26" TargetMode="External" Id="rId25" /></Relationships>
</file>

<file path=xl/worksheets/_rels/sheet3.xml.rels><Relationships xmlns="http://schemas.openxmlformats.org/package/2006/relationships"><Relationship Type="http://schemas.openxmlformats.org/officeDocument/2006/relationships/hyperlink" Target="https://eur-lex.europa.eu/legal-content/EN/TXT/HTML/?uri=CELEX:32022R2554#art_2" TargetMode="External" Id="rId1" /><Relationship Type="http://schemas.openxmlformats.org/officeDocument/2006/relationships/hyperlink" Target="https://eur-lex.europa.eu/legal-content/EN/TXT/HTML/?uri=CELEX:32025R1190#art_2" TargetMode="External" Id="rId2" /><Relationship Type="http://schemas.openxmlformats.org/officeDocument/2006/relationships/hyperlink" Target="https://eur-lex.europa.eu/legal-content/EN/TXT/HTML/?uri=CELEX:32025R1190#art_2" TargetMode="External" Id="rId3" /><Relationship Type="http://schemas.openxmlformats.org/officeDocument/2006/relationships/hyperlink" Target="https://eur-lex.europa.eu/legal-content/EN/TXT/HTML/?uri=CELEX:32022R2554#art_26" TargetMode="External" Id="rId4" /></Relationships>
</file>

<file path=xl/worksheets/_rels/sheet4.xml.rels><Relationships xmlns="http://schemas.openxmlformats.org/package/2006/relationships"><Relationship Type="http://schemas.openxmlformats.org/officeDocument/2006/relationships/hyperlink" Target="https://eur-lex.europa.eu/legal-content/EN/TXT/HTML/?uri=CELEX:32022R2554#art_26" TargetMode="External" Id="rId1" /><Relationship Type="http://schemas.openxmlformats.org/officeDocument/2006/relationships/hyperlink" Target="https://eur-lex.europa.eu/legal-content/EN/TXT/HTML/?uri=CELEX:32025R1190#art_9" TargetMode="External" Id="rId2" /><Relationship Type="http://schemas.openxmlformats.org/officeDocument/2006/relationships/hyperlink" Target="https://eur-lex.europa.eu/legal-content/EN/TXT/HTML/?uri=CELEX:32025R1190#art_4" TargetMode="External" Id="rId3" /><Relationship Type="http://schemas.openxmlformats.org/officeDocument/2006/relationships/hyperlink" Target="https://eur-lex.europa.eu/legal-content/EN/TXT/HTML/?uri=CELEX:32025R1190#art_4" TargetMode="External" Id="rId4" /><Relationship Type="http://schemas.openxmlformats.org/officeDocument/2006/relationships/hyperlink" Target="https://eur-lex.europa.eu/legal-content/EN/TXT/HTML/?uri=CELEX:32025R1190#art_4" TargetMode="External" Id="rId5" /><Relationship Type="http://schemas.openxmlformats.org/officeDocument/2006/relationships/hyperlink" Target="https://eur-lex.europa.eu/legal-content/EN/TXT/HTML/?uri=CELEX:32025R1190#art_4" TargetMode="External" Id="rId6" /><Relationship Type="http://schemas.openxmlformats.org/officeDocument/2006/relationships/hyperlink" Target="https://eur-lex.europa.eu/legal-content/EN/TXT/HTML/?uri=CELEX:32025R1190#art_9" TargetMode="External" Id="rId7" /><Relationship Type="http://schemas.openxmlformats.org/officeDocument/2006/relationships/hyperlink" Target="https://eur-lex.europa.eu/legal-content/EN/TXT/HTML/?uri=CELEX:32025R1190#art_9" TargetMode="External" Id="rId8" /><Relationship Type="http://schemas.openxmlformats.org/officeDocument/2006/relationships/hyperlink" Target="https://eur-lex.europa.eu/legal-content/EN/TXT/HTML/?uri=CELEX:32025R1190#art_4" TargetMode="External" Id="rId9" /><Relationship Type="http://schemas.openxmlformats.org/officeDocument/2006/relationships/hyperlink" Target="https://eur-lex.europa.eu/legal-content/EN/TXT/HTML/?uri=CELEX:32025R1190#art_9" TargetMode="External" Id="rId10" /><Relationship Type="http://schemas.openxmlformats.org/officeDocument/2006/relationships/hyperlink" Target="https://eur-lex.europa.eu/legal-content/EN/TXT/HTML/?uri=CELEX:32025R1190#art_9" TargetMode="External" Id="rId11" /><Relationship Type="http://schemas.openxmlformats.org/officeDocument/2006/relationships/hyperlink" Target="https://eur-lex.europa.eu/legal-content/EN/TXT/HTML/?uri=CELEX:32025R1190#art_9" TargetMode="External" Id="rId12" /><Relationship Type="http://schemas.openxmlformats.org/officeDocument/2006/relationships/hyperlink" Target="https://eur-lex.europa.eu/legal-content/EN/TXT/HTML/?uri=CELEX:32025R1190#art_4" TargetMode="External" Id="rId13" /><Relationship Type="http://schemas.openxmlformats.org/officeDocument/2006/relationships/hyperlink" Target="https://eur-lex.europa.eu/legal-content/EN/TXT/HTML/?uri=CELEX:32025R1190#art_4" TargetMode="External" Id="rId14" /><Relationship Type="http://schemas.openxmlformats.org/officeDocument/2006/relationships/hyperlink" Target="https://eur-lex.europa.eu/legal-content/EN/TXT/HTML/?uri=CELEX:32025R1190#art_4" TargetMode="External" Id="rId15" /><Relationship Type="http://schemas.openxmlformats.org/officeDocument/2006/relationships/hyperlink" Target="https://eur-lex.europa.eu/legal-content/EN/TXT/HTML/?uri=CELEX:32025R1190#art_4" TargetMode="External" Id="rId16" /><Relationship Type="http://schemas.openxmlformats.org/officeDocument/2006/relationships/hyperlink" Target="https://eur-lex.europa.eu/legal-content/EN/TXT/HTML/?uri=CELEX:32025R1190#art_4" TargetMode="External" Id="rId17" /><Relationship Type="http://schemas.openxmlformats.org/officeDocument/2006/relationships/hyperlink" Target="https://eur-lex.europa.eu/legal-content/EN/TXT/HTML/?uri=CELEX:32025R1190#art_4" TargetMode="External" Id="rId18" /><Relationship Type="http://schemas.openxmlformats.org/officeDocument/2006/relationships/hyperlink" Target="https://eur-lex.europa.eu/legal-content/EN/TXT/HTML/?uri=CELEX:32022R2554#art_3" TargetMode="External" Id="rId19" /><Relationship Type="http://schemas.openxmlformats.org/officeDocument/2006/relationships/hyperlink" Target="https://eur-lex.europa.eu/legal-content/EN/TXT/HTML/?uri=CELEX:32025R1190#art_9" TargetMode="External" Id="rId20" /><Relationship Type="http://schemas.openxmlformats.org/officeDocument/2006/relationships/hyperlink" Target="https://eur-lex.europa.eu/legal-content/EN/TXT/HTML/?uri=CELEX:32025R1190#anx_II" TargetMode="External" Id="rId21" /><Relationship Type="http://schemas.openxmlformats.org/officeDocument/2006/relationships/hyperlink" Target="https://eur-lex.europa.eu/legal-content/EN/TXT/HTML/?uri=CELEX:32025R1190#anx_II" TargetMode="External" Id="rId22" /><Relationship Type="http://schemas.openxmlformats.org/officeDocument/2006/relationships/hyperlink" Target="https://eur-lex.europa.eu/legal-content/EN/TXT/HTML/?uri=CELEX:32025R1190#anx_II" TargetMode="External" Id="rId23" /><Relationship Type="http://schemas.openxmlformats.org/officeDocument/2006/relationships/hyperlink" Target="https://eur-lex.europa.eu/legal-content/EN/TXT/HTML/?uri=CELEX:32025R1190#anx_II" TargetMode="External" Id="rId24" /><Relationship Type="http://schemas.openxmlformats.org/officeDocument/2006/relationships/hyperlink" Target="https://eur-lex.europa.eu/legal-content/EN/TXT/HTML/?uri=CELEX:32025R1190#art_9" TargetMode="External" Id="rId25" /><Relationship Type="http://schemas.openxmlformats.org/officeDocument/2006/relationships/hyperlink" Target="https://eur-lex.europa.eu/legal-content/EN/TXT/HTML/?uri=CELEX:32025R1190#art_9" TargetMode="External" Id="rId26" /><Relationship Type="http://schemas.openxmlformats.org/officeDocument/2006/relationships/hyperlink" Target="https://eur-lex.europa.eu/legal-content/EN/TXT/HTML/?uri=CELEX:32025R1190#art_9" TargetMode="External" Id="rId27" /><Relationship Type="http://schemas.openxmlformats.org/officeDocument/2006/relationships/hyperlink" Target="https://eur-lex.europa.eu/legal-content/EN/TXT/HTML/?uri=CELEX:32025R1190#anx_II" TargetMode="External" Id="rId28" /><Relationship Type="http://schemas.openxmlformats.org/officeDocument/2006/relationships/hyperlink" Target="https://eur-lex.europa.eu/legal-content/EN/TXT/HTML/?uri=CELEX:32025R1190#anx_II" TargetMode="External" Id="rId29" /><Relationship Type="http://schemas.openxmlformats.org/officeDocument/2006/relationships/hyperlink" Target="https://eur-lex.europa.eu/legal-content/EN/TXT/HTML/?uri=CELEX:32025R1190#anx_II" TargetMode="External" Id="rId30" /><Relationship Type="http://schemas.openxmlformats.org/officeDocument/2006/relationships/hyperlink" Target="https://eur-lex.europa.eu/legal-content/EN/TXT/HTML/?uri=CELEX:32025R1190#anx_II" TargetMode="External" Id="rId31" /></Relationships>
</file>

<file path=xl/worksheets/_rels/sheet5.xml.rels><Relationships xmlns="http://schemas.openxmlformats.org/package/2006/relationships"><Relationship Type="http://schemas.openxmlformats.org/officeDocument/2006/relationships/hyperlink" Target="https://eur-lex.europa.eu/legal-content/EN/TXT/HTML/?uri=CELEX:32022R2554#art_27" TargetMode="External" Id="rId1" /><Relationship Type="http://schemas.openxmlformats.org/officeDocument/2006/relationships/hyperlink" Target="https://eur-lex.europa.eu/legal-content/EN/TXT/HTML/?uri=CELEX:32025R1190#art_7" TargetMode="External" Id="rId2" /><Relationship Type="http://schemas.openxmlformats.org/officeDocument/2006/relationships/hyperlink" Target="https://eur-lex.europa.eu/legal-content/EN/TXT/HTML/?uri=CELEX:32025R1190#art_7" TargetMode="External" Id="rId3" /><Relationship Type="http://schemas.openxmlformats.org/officeDocument/2006/relationships/hyperlink" Target="https://www.ecb.europa.eu/paym/cyber-resilience/tiber-eu/html/index.en.html" TargetMode="External" Id="rId4" /><Relationship Type="http://schemas.openxmlformats.org/officeDocument/2006/relationships/hyperlink" Target="https://eur-lex.europa.eu/legal-content/EN/TXT/HTML/?uri=CELEX:32022R2554#art_27" TargetMode="External" Id="rId5" /><Relationship Type="http://schemas.openxmlformats.org/officeDocument/2006/relationships/hyperlink" Target="https://eur-lex.europa.eu/legal-content/EN/TXT/HTML/?uri=CELEX:32022R2554#art_27" TargetMode="External" Id="rId6" /><Relationship Type="http://schemas.openxmlformats.org/officeDocument/2006/relationships/hyperlink" Target="https://eur-lex.europa.eu/legal-content/EN/TXT/HTML/?uri=CELEX:32025R1190#art_7" TargetMode="External" Id="rId7" /><Relationship Type="http://schemas.openxmlformats.org/officeDocument/2006/relationships/hyperlink" Target="https://eur-lex.europa.eu/legal-content/EN/TXT/HTML/?uri=CELEX:32025R1190#art_7" TargetMode="External" Id="rId8" /><Relationship Type="http://schemas.openxmlformats.org/officeDocument/2006/relationships/hyperlink" Target="https://eur-lex.europa.eu/legal-content/EN/TXT/HTML/?uri=CELEX:32025R1190#art_7" TargetMode="External" Id="rId9" /><Relationship Type="http://schemas.openxmlformats.org/officeDocument/2006/relationships/hyperlink" Target="https://eur-lex.europa.eu/legal-content/EN/TXT/HTML/?uri=CELEX:32025R1190#art_7" TargetMode="External" Id="rId10" /><Relationship Type="http://schemas.openxmlformats.org/officeDocument/2006/relationships/hyperlink" Target="https://eur-lex.europa.eu/legal-content/EN/TXT/HTML/?uri=CELEX:32025R1190#art_7" TargetMode="External" Id="rId11" /><Relationship Type="http://schemas.openxmlformats.org/officeDocument/2006/relationships/hyperlink" Target="https://eur-lex.europa.eu/legal-content/EN/TXT/HTML/?uri=CELEX:32025R1190#art_7" TargetMode="External" Id="rId12" /><Relationship Type="http://schemas.openxmlformats.org/officeDocument/2006/relationships/hyperlink" Target="https://www.ecb.europa.eu/paym/cyber-resilience/tiber-eu/html/index.en.html" TargetMode="External" Id="rId13" /><Relationship Type="http://schemas.openxmlformats.org/officeDocument/2006/relationships/hyperlink" Target="https://eur-lex.europa.eu/legal-content/EN/TXT/HTML/?uri=CELEX:32022R2554#art_27" TargetMode="External" Id="rId14" /><Relationship Type="http://schemas.openxmlformats.org/officeDocument/2006/relationships/hyperlink" Target="https://eur-lex.europa.eu/legal-content/EN/TXT/HTML/?uri=CELEX:32022R2554#art_27" TargetMode="External" Id="rId15" /><Relationship Type="http://schemas.openxmlformats.org/officeDocument/2006/relationships/hyperlink" Target="https://eur-lex.europa.eu/legal-content/EN/TXT/HTML/?uri=CELEX:32025R1190#art_7" TargetMode="External" Id="rId16" /><Relationship Type="http://schemas.openxmlformats.org/officeDocument/2006/relationships/hyperlink" Target="https://eur-lex.europa.eu/legal-content/EN/TXT/HTML/?uri=CELEX:32025R1190#art_7" TargetMode="External" Id="rId17" /><Relationship Type="http://schemas.openxmlformats.org/officeDocument/2006/relationships/hyperlink" Target="https://www.ecb.europa.eu/paym/cyber-resilience/tiber-eu/html/index.en.html" TargetMode="External" Id="rId18" /><Relationship Type="http://schemas.openxmlformats.org/officeDocument/2006/relationships/hyperlink" Target="https://www.ecb.europa.eu/paym/cyber-resilience/tiber-eu/html/index.en.html" TargetMode="External" Id="rId19" /><Relationship Type="http://schemas.openxmlformats.org/officeDocument/2006/relationships/hyperlink" Target="https://www.ecb.europa.eu/paym/cyber-resilience/tiber-eu/html/index.en.html" TargetMode="External" Id="rId20" /><Relationship Type="http://schemas.openxmlformats.org/officeDocument/2006/relationships/hyperlink" Target="https://www.ecb.europa.eu/paym/cyber-resilience/tiber-eu/html/index.en.html" TargetMode="External" Id="rId21" /><Relationship Type="http://schemas.openxmlformats.org/officeDocument/2006/relationships/hyperlink" Target="https://www.ecb.europa.eu/paym/cyber-resilience/tiber-eu/html/index.en.html" TargetMode="External" Id="rId22" /><Relationship Type="http://schemas.openxmlformats.org/officeDocument/2006/relationships/hyperlink" Target="https://www.ecb.europa.eu/paym/cyber-resilience/tiber-eu/html/index.en.html" TargetMode="External" Id="rId23" /><Relationship Type="http://schemas.openxmlformats.org/officeDocument/2006/relationships/hyperlink" Target="https://www.ecb.europa.eu/paym/cyber-resilience/tiber-eu/html/index.en.html" TargetMode="External" Id="rId24" /><Relationship Type="http://schemas.openxmlformats.org/officeDocument/2006/relationships/hyperlink" Target="https://www.ecb.europa.eu/paym/cyber-resilience/tiber-eu/html/index.en.html" TargetMode="External" Id="rId25" /><Relationship Type="http://schemas.openxmlformats.org/officeDocument/2006/relationships/hyperlink" Target="https://www.ecb.europa.eu/paym/cyber-resilience/tiber-eu/html/index.en.html" TargetMode="External" Id="rId26" /><Relationship Type="http://schemas.openxmlformats.org/officeDocument/2006/relationships/hyperlink" Target="https://www.ecb.europa.eu/paym/cyber-resilience/tiber-eu/html/index.en.html" TargetMode="External" Id="rId27" /><Relationship Type="http://schemas.openxmlformats.org/officeDocument/2006/relationships/hyperlink" Target="https://www.ecb.europa.eu/paym/cyber-resilience/tiber-eu/html/index.en.html" TargetMode="External" Id="rId28" /><Relationship Type="http://schemas.openxmlformats.org/officeDocument/2006/relationships/hyperlink" Target="https://www.ecb.europa.eu/paym/cyber-resilience/tiber-eu/html/index.en.html" TargetMode="External" Id="rId29" /><Relationship Type="http://schemas.openxmlformats.org/officeDocument/2006/relationships/hyperlink" Target="https://www.ecb.europa.eu/paym/cyber-resilience/tiber-eu/html/index.en.html" TargetMode="External" Id="rId30" /><Relationship Type="http://schemas.openxmlformats.org/officeDocument/2006/relationships/hyperlink" Target="https://www.ecb.europa.eu/paym/cyber-resilience/tiber-eu/html/index.en.html" TargetMode="External" Id="rId31" /><Relationship Type="http://schemas.openxmlformats.org/officeDocument/2006/relationships/hyperlink" Target="https://www.ecb.europa.eu/paym/cyber-resilience/tiber-eu/html/index.en.html" TargetMode="External" Id="rId32" /><Relationship Type="http://schemas.openxmlformats.org/officeDocument/2006/relationships/hyperlink" Target="https://www.ecb.europa.eu/paym/cyber-resilience/tiber-eu/html/index.en.html" TargetMode="External" Id="rId33" /><Relationship Type="http://schemas.openxmlformats.org/officeDocument/2006/relationships/hyperlink" Target="https://eur-lex.europa.eu/legal-content/EN/TXT/HTML/?uri=CELEX:32025R1190#art_11" TargetMode="External" Id="rId34" /><Relationship Type="http://schemas.openxmlformats.org/officeDocument/2006/relationships/hyperlink" Target="https://eur-lex.europa.eu/legal-content/EN/TXT/HTML/?uri=CELEX:32022R2554#art_27" TargetMode="External" Id="rId35" /><Relationship Type="http://schemas.openxmlformats.org/officeDocument/2006/relationships/hyperlink" Target="https://eur-lex.europa.eu/legal-content/EN/TXT/HTML/?uri=CELEX:32025R1190#art_11" TargetMode="External" Id="rId36" /><Relationship Type="http://schemas.openxmlformats.org/officeDocument/2006/relationships/hyperlink" Target="https://eur-lex.europa.eu/legal-content/EN/TXT/HTML/?uri=CELEX:32022R2554#art_27" TargetMode="External" Id="rId37" /><Relationship Type="http://schemas.openxmlformats.org/officeDocument/2006/relationships/hyperlink" Target="https://eur-lex.europa.eu/legal-content/EN/TXT/HTML/?uri=CELEX:32025R1190#art_11" TargetMode="External" Id="rId38" /><Relationship Type="http://schemas.openxmlformats.org/officeDocument/2006/relationships/hyperlink" Target="https://eur-lex.europa.eu/legal-content/EN/TXT/HTML/?uri=CELEX:32025R1190#art_11" TargetMode="External" Id="rId39" /><Relationship Type="http://schemas.openxmlformats.org/officeDocument/2006/relationships/hyperlink" Target="https://eur-lex.europa.eu/legal-content/EN/TXT/HTML/?uri=CELEX:32022R2554#art_27" TargetMode="External" Id="rId40" /><Relationship Type="http://schemas.openxmlformats.org/officeDocument/2006/relationships/hyperlink" Target="https://eur-lex.europa.eu/legal-content/EN/TXT/HTML/?uri=CELEX:32025R1190#art_12" TargetMode="External" Id="rId41" /><Relationship Type="http://schemas.openxmlformats.org/officeDocument/2006/relationships/hyperlink" Target="https://eur-lex.europa.eu/legal-content/EN/TXT/HTML/?uri=CELEX:32025R1190#art_7" TargetMode="External" Id="rId42" /></Relationships>
</file>

<file path=xl/worksheets/_rels/sheet6.xml.rels><Relationships xmlns="http://schemas.openxmlformats.org/package/2006/relationships"><Relationship Type="http://schemas.openxmlformats.org/officeDocument/2006/relationships/hyperlink" Target="https://eur-lex.europa.eu/legal-content/EN/TXT/HTML/?uri=CELEX:32025R1190#art_9" TargetMode="External" Id="rId1" /><Relationship Type="http://schemas.openxmlformats.org/officeDocument/2006/relationships/hyperlink" Target="https://eur-lex.europa.eu/legal-content/EN/TXT/HTML/?uri=CELEX:32025R1190#art_9" TargetMode="External" Id="rId2" /><Relationship Type="http://schemas.openxmlformats.org/officeDocument/2006/relationships/hyperlink" Target="https://eur-lex.europa.eu/legal-content/EN/TXT/HTML/?uri=CELEX:32025R1190#art_9" TargetMode="External" Id="rId3" /><Relationship Type="http://schemas.openxmlformats.org/officeDocument/2006/relationships/hyperlink" Target="https://eur-lex.europa.eu/legal-content/EN/TXT/HTML/?uri=CELEX:32025R1190#art_9" TargetMode="External" Id="rId4" /><Relationship Type="http://schemas.openxmlformats.org/officeDocument/2006/relationships/hyperlink" Target="https://eur-lex.europa.eu/legal-content/EN/TXT/HTML/?uri=CELEX:32025R1190#art_9" TargetMode="External" Id="rId5" /><Relationship Type="http://schemas.openxmlformats.org/officeDocument/2006/relationships/hyperlink" Target="https://eur-lex.europa.eu/legal-content/EN/TXT/HTML/?uri=CELEX:32025R1190#art_9" TargetMode="External" Id="rId6" /><Relationship Type="http://schemas.openxmlformats.org/officeDocument/2006/relationships/hyperlink" Target="https://eur-lex.europa.eu/legal-content/EN/TXT/HTML/?uri=CELEX:32025R1190#art_9" TargetMode="External" Id="rId7" /><Relationship Type="http://schemas.openxmlformats.org/officeDocument/2006/relationships/hyperlink" Target="https://eur-lex.europa.eu/legal-content/EN/TXT/HTML/?uri=CELEX:32025R1190#art_9" TargetMode="External" Id="rId8" /><Relationship Type="http://schemas.openxmlformats.org/officeDocument/2006/relationships/hyperlink" Target="https://eur-lex.europa.eu/legal-content/EN/TXT/HTML/?uri=CELEX:32025R1190#art_4" TargetMode="External" Id="rId9" /><Relationship Type="http://schemas.openxmlformats.org/officeDocument/2006/relationships/hyperlink" Target="https://eur-lex.europa.eu/legal-content/EN/TXT/HTML/?uri=CELEX:32025R1190#art_9" TargetMode="External" Id="rId10" /><Relationship Type="http://schemas.openxmlformats.org/officeDocument/2006/relationships/hyperlink" Target="https://eur-lex.europa.eu/legal-content/EN/TXT/HTML/?uri=CELEX:32025R1190#art_9" TargetMode="External" Id="rId11" /><Relationship Type="http://schemas.openxmlformats.org/officeDocument/2006/relationships/hyperlink" Target="https://eur-lex.europa.eu/legal-content/EN/TXT/HTML/?uri=CELEX:32025R1190#art_9" TargetMode="External" Id="rId12" /><Relationship Type="http://schemas.openxmlformats.org/officeDocument/2006/relationships/hyperlink" Target="https://eur-lex.europa.eu/legal-content/EN/TXT/HTML/?uri=CELEX:32025R1190#art_9" TargetMode="External" Id="rId13" /><Relationship Type="http://schemas.openxmlformats.org/officeDocument/2006/relationships/hyperlink" Target="https://eur-lex.europa.eu/legal-content/EN/TXT/HTML/?uri=CELEX:32025R1190#art_9" TargetMode="External" Id="rId14" /><Relationship Type="http://schemas.openxmlformats.org/officeDocument/2006/relationships/hyperlink" Target="https://eur-lex.europa.eu/legal-content/EN/TXT/HTML/?uri=CELEX:32025R1190#anx_II" TargetMode="External" Id="rId15" /><Relationship Type="http://schemas.openxmlformats.org/officeDocument/2006/relationships/hyperlink" Target="https://eur-lex.europa.eu/legal-content/EN/TXT/HTML/?uri=CELEX:32025R1190#anx_II" TargetMode="External" Id="rId16" /><Relationship Type="http://schemas.openxmlformats.org/officeDocument/2006/relationships/hyperlink" Target="https://eur-lex.europa.eu/legal-content/EN/TXT/HTML/?uri=CELEX:32025R1190#anx_II" TargetMode="External" Id="rId17" /><Relationship Type="http://schemas.openxmlformats.org/officeDocument/2006/relationships/hyperlink" Target="https://eur-lex.europa.eu/legal-content/EN/TXT/HTML/?uri=CELEX:32025R1190#anx_II" TargetMode="External" Id="rId18" /><Relationship Type="http://schemas.openxmlformats.org/officeDocument/2006/relationships/hyperlink" Target="https://eur-lex.europa.eu/legal-content/EN/TXT/HTML/?uri=CELEX:32025R1190#anx_II" TargetMode="External" Id="rId19" /><Relationship Type="http://schemas.openxmlformats.org/officeDocument/2006/relationships/hyperlink" Target="https://eur-lex.europa.eu/legal-content/EN/TXT/HTML/?uri=CELEX:32025R1190#art_9" TargetMode="External" Id="rId20" /><Relationship Type="http://schemas.openxmlformats.org/officeDocument/2006/relationships/hyperlink" Target="https://eur-lex.europa.eu/legal-content/EN/TXT/HTML/?uri=CELEX:32025R1190#art_9" TargetMode="External" Id="rId21" /><Relationship Type="http://schemas.openxmlformats.org/officeDocument/2006/relationships/hyperlink" Target="https://eur-lex.europa.eu/legal-content/EN/TXT/HTML/?uri=CELEX:32025R1190#art_9" TargetMode="External" Id="rId22" /><Relationship Type="http://schemas.openxmlformats.org/officeDocument/2006/relationships/hyperlink" Target="https://eur-lex.europa.eu/legal-content/EN/TXT/HTML/?uri=CELEX:32025R1190#art_5" TargetMode="External" Id="rId23" /><Relationship Type="http://schemas.openxmlformats.org/officeDocument/2006/relationships/hyperlink" Target="https://eur-lex.europa.eu/legal-content/EN/TXT/HTML/?uri=CELEX:32025R1190#art_5" TargetMode="External" Id="rId24" /><Relationship Type="http://schemas.openxmlformats.org/officeDocument/2006/relationships/hyperlink" Target="https://eur-lex.europa.eu/legal-content/EN/TXT/HTML/?uri=CELEX:32025R1190#art_5" TargetMode="External" Id="rId25" /><Relationship Type="http://schemas.openxmlformats.org/officeDocument/2006/relationships/hyperlink" Target="https://eur-lex.europa.eu/legal-content/EN/TXT/HTML/?uri=CELEX:32025R1190#art_5" TargetMode="External" Id="rId26" /><Relationship Type="http://schemas.openxmlformats.org/officeDocument/2006/relationships/hyperlink" Target="https://eur-lex.europa.eu/legal-content/EN/TXT/HTML/?uri=CELEX:32025R1190#art_5" TargetMode="External" Id="rId27" /><Relationship Type="http://schemas.openxmlformats.org/officeDocument/2006/relationships/hyperlink" Target="https://eur-lex.europa.eu/legal-content/EN/TXT/HTML/?uri=CELEX:32025R1190#art_5" TargetMode="External" Id="rId28" /><Relationship Type="http://schemas.openxmlformats.org/officeDocument/2006/relationships/hyperlink" Target="https://eur-lex.europa.eu/legal-content/EN/TXT/HTML/?uri=CELEX:32025R1190#art_5" TargetMode="External" Id="rId29" /><Relationship Type="http://schemas.openxmlformats.org/officeDocument/2006/relationships/hyperlink" Target="https://eur-lex.europa.eu/legal-content/EN/TXT/HTML/?uri=CELEX:32025R1190#art_5" TargetMode="External" Id="rId30" /><Relationship Type="http://schemas.openxmlformats.org/officeDocument/2006/relationships/hyperlink" Target="https://eur-lex.europa.eu/legal-content/EN/TXT/HTML/?uri=CELEX:32025R1190#art_6" TargetMode="External" Id="rId31" /><Relationship Type="http://schemas.openxmlformats.org/officeDocument/2006/relationships/hyperlink" Target="https://eur-lex.europa.eu/legal-content/EN/TXT/HTML/?uri=CELEX:32025R1190#art_9" TargetMode="External" Id="rId32" /><Relationship Type="http://schemas.openxmlformats.org/officeDocument/2006/relationships/hyperlink" Target="https://eur-lex.europa.eu/legal-content/EN/TXT/HTML/?uri=CELEX:32022R2554#art_26" TargetMode="External" Id="rId33" /><Relationship Type="http://schemas.openxmlformats.org/officeDocument/2006/relationships/hyperlink" Target="https://eur-lex.europa.eu/legal-content/EN/TXT/HTML/?uri=CELEX:32022R2554#art_30" TargetMode="External" Id="rId34" /><Relationship Type="http://schemas.openxmlformats.org/officeDocument/2006/relationships/hyperlink" Target="https://eur-lex.europa.eu/legal-content/EN/TXT/HTML/?uri=CELEX:32022R2554#art_30" TargetMode="External" Id="rId35" /><Relationship Type="http://schemas.openxmlformats.org/officeDocument/2006/relationships/hyperlink" Target="https://eur-lex.europa.eu/legal-content/EN/TXT/HTML/?uri=CELEX:32022R2554#art_26" TargetMode="External" Id="rId36" /><Relationship Type="http://schemas.openxmlformats.org/officeDocument/2006/relationships/hyperlink" Target="https://eur-lex.europa.eu/legal-content/EN/TXT/HTML/?uri=CELEX:32022R2554#art_26" TargetMode="External" Id="rId37" /><Relationship Type="http://schemas.openxmlformats.org/officeDocument/2006/relationships/hyperlink" Target="https://eur-lex.europa.eu/legal-content/EN/TXT/HTML/?uri=CELEX:32022R2554#art_26" TargetMode="External" Id="rId38" /><Relationship Type="http://schemas.openxmlformats.org/officeDocument/2006/relationships/hyperlink" Target="https://eur-lex.europa.eu/legal-content/EN/TXT/HTML/?uri=CELEX:32022R2554#art_26" TargetMode="External" Id="rId39" /><Relationship Type="http://schemas.openxmlformats.org/officeDocument/2006/relationships/hyperlink" Target="https://eur-lex.europa.eu/legal-content/EN/TXT/HTML/?uri=CELEX:32025R1190#art_16" TargetMode="External" Id="rId40" /><Relationship Type="http://schemas.openxmlformats.org/officeDocument/2006/relationships/hyperlink" Target="https://eur-lex.europa.eu/legal-content/EN/TXT/HTML/?uri=CELEX:32025R1190#art_16" TargetMode="External" Id="rId41" /><Relationship Type="http://schemas.openxmlformats.org/officeDocument/2006/relationships/hyperlink" Target="https://eur-lex.europa.eu/legal-content/EN/TXT/HTML/?uri=CELEX:32025R1190#art_16" TargetMode="External" Id="rId42" /><Relationship Type="http://schemas.openxmlformats.org/officeDocument/2006/relationships/hyperlink" Target="https://eur-lex.europa.eu/legal-content/EN/TXT/HTML/?uri=CELEX:32025R1190#art_16" TargetMode="External" Id="rId43" /><Relationship Type="http://schemas.openxmlformats.org/officeDocument/2006/relationships/hyperlink" Target="https://eur-lex.europa.eu/legal-content/EN/TXT/HTML/?uri=CELEX:32022R2554#art_26" TargetMode="External" Id="rId44" /><Relationship Type="http://schemas.openxmlformats.org/officeDocument/2006/relationships/hyperlink" Target="https://eur-lex.europa.eu/legal-content/EN/TXT/HTML/?uri=CELEX:32025R1190#art_16" TargetMode="External" Id="rId45" /></Relationships>
</file>

<file path=xl/worksheets/_rels/sheet7.xml.rels><Relationships xmlns="http://schemas.openxmlformats.org/package/2006/relationships"><Relationship Type="http://schemas.openxmlformats.org/officeDocument/2006/relationships/hyperlink" Target="https://eur-lex.europa.eu/legal-content/EN/TXT/HTML/?uri=CELEX:32025R1190#art_10" TargetMode="External" Id="rId1" /><Relationship Type="http://schemas.openxmlformats.org/officeDocument/2006/relationships/hyperlink" Target="https://eur-lex.europa.eu/legal-content/EN/TXT/HTML/?uri=CELEX:32025R1190#art_10" TargetMode="External" Id="rId2" /><Relationship Type="http://schemas.openxmlformats.org/officeDocument/2006/relationships/hyperlink" Target="https://eur-lex.europa.eu/legal-content/EN/TXT/HTML/?uri=CELEX:32025R1190#art_10" TargetMode="External" Id="rId3" /><Relationship Type="http://schemas.openxmlformats.org/officeDocument/2006/relationships/hyperlink" Target="https://eur-lex.europa.eu/legal-content/EN/TXT/HTML/?uri=CELEX:32025R1190#anx_III" TargetMode="External" Id="rId4" /><Relationship Type="http://schemas.openxmlformats.org/officeDocument/2006/relationships/hyperlink" Target="https://eur-lex.europa.eu/legal-content/EN/TXT/HTML/?uri=CELEX:32025R1190#anx_III" TargetMode="External" Id="rId5" /><Relationship Type="http://schemas.openxmlformats.org/officeDocument/2006/relationships/hyperlink" Target="https://eur-lex.europa.eu/legal-content/EN/TXT/HTML/?uri=CELEX:32025R1190#anx_III" TargetMode="External" Id="rId6" /><Relationship Type="http://schemas.openxmlformats.org/officeDocument/2006/relationships/hyperlink" Target="https://eur-lex.europa.eu/legal-content/EN/TXT/HTML/?uri=CELEX:32025R1190#anx_III" TargetMode="External" Id="rId7" /><Relationship Type="http://schemas.openxmlformats.org/officeDocument/2006/relationships/hyperlink" Target="https://eur-lex.europa.eu/legal-content/EN/TXT/HTML/?uri=CELEX:32025R1190#anx_III" TargetMode="External" Id="rId8" /><Relationship Type="http://schemas.openxmlformats.org/officeDocument/2006/relationships/hyperlink" Target="https://eur-lex.europa.eu/legal-content/EN/TXT/HTML/?uri=CELEX:32025R1190#anx_III" TargetMode="External" Id="rId9" /><Relationship Type="http://schemas.openxmlformats.org/officeDocument/2006/relationships/hyperlink" Target="https://eur-lex.europa.eu/legal-content/EN/TXT/HTML/?uri=CELEX:32025R1190#anx_III" TargetMode="External" Id="rId10" /><Relationship Type="http://schemas.openxmlformats.org/officeDocument/2006/relationships/hyperlink" Target="https://eur-lex.europa.eu/legal-content/EN/TXT/HTML/?uri=CELEX:32025R1190#art_10" TargetMode="External" Id="rId11" /><Relationship Type="http://schemas.openxmlformats.org/officeDocument/2006/relationships/hyperlink" Target="https://eur-lex.europa.eu/legal-content/EN/TXT/HTML/?uri=CELEX:32025R1190#art_10" TargetMode="External" Id="rId12" /><Relationship Type="http://schemas.openxmlformats.org/officeDocument/2006/relationships/hyperlink" Target="https://eur-lex.europa.eu/legal-content/EN/TXT/HTML/?uri=CELEX:32025R1190#art_10" TargetMode="External" Id="rId13" /><Relationship Type="http://schemas.openxmlformats.org/officeDocument/2006/relationships/hyperlink" Target="https://eur-lex.europa.eu/legal-content/EN/TXT/HTML/?uri=CELEX:32025R1190#art_10" TargetMode="External" Id="rId14" /><Relationship Type="http://schemas.openxmlformats.org/officeDocument/2006/relationships/hyperlink" Target="https://eur-lex.europa.eu/legal-content/EN/TXT/HTML/?uri=CELEX:32025R1190#art_10" TargetMode="External" Id="rId15" /><Relationship Type="http://schemas.openxmlformats.org/officeDocument/2006/relationships/hyperlink" Target="https://eur-lex.europa.eu/legal-content/EN/TXT/HTML/?uri=CELEX:32025R1190#art_10" TargetMode="External" Id="rId16" /><Relationship Type="http://schemas.openxmlformats.org/officeDocument/2006/relationships/hyperlink" Target="https://eur-lex.europa.eu/legal-content/EN/TXT/HTML/?uri=CELEX:32025R1190#art_10" TargetMode="External" Id="rId17" /><Relationship Type="http://schemas.openxmlformats.org/officeDocument/2006/relationships/hyperlink" Target="https://eur-lex.europa.eu/legal-content/EN/TXT/HTML/?uri=CELEX:32025R1190#art_10" TargetMode="External" Id="rId18" /><Relationship Type="http://schemas.openxmlformats.org/officeDocument/2006/relationships/hyperlink" Target="https://eur-lex.europa.eu/legal-content/EN/TXT/HTML/?uri=CELEX:32025R1190#art_10" TargetMode="External" Id="rId19" /><Relationship Type="http://schemas.openxmlformats.org/officeDocument/2006/relationships/hyperlink" Target="https://eur-lex.europa.eu/legal-content/EN/TXT/HTML/?uri=CELEX:32025R1190#art_10" TargetMode="External" Id="rId20" /><Relationship Type="http://schemas.openxmlformats.org/officeDocument/2006/relationships/hyperlink" Target="https://eur-lex.europa.eu/legal-content/EN/TXT/HTML/?uri=CELEX:32025R1190#art_10" TargetMode="External" Id="rId21" /><Relationship Type="http://schemas.openxmlformats.org/officeDocument/2006/relationships/hyperlink" Target="https://eur-lex.europa.eu/legal-content/EN/TXT/HTML/?uri=CELEX:32025R1190#anx_III" TargetMode="External" Id="rId22" /><Relationship Type="http://schemas.openxmlformats.org/officeDocument/2006/relationships/hyperlink" Target="https://eur-lex.europa.eu/legal-content/EN/TXT/HTML/?uri=CELEX:32025R1190#anx_III" TargetMode="External" Id="rId23" /><Relationship Type="http://schemas.openxmlformats.org/officeDocument/2006/relationships/hyperlink" Target="https://eur-lex.europa.eu/legal-content/EN/TXT/HTML/?uri=CELEX:32025R1190#anx_III" TargetMode="External" Id="rId24" /><Relationship Type="http://schemas.openxmlformats.org/officeDocument/2006/relationships/hyperlink" Target="https://eur-lex.europa.eu/legal-content/EN/TXT/HTML/?uri=CELEX:32025R1190#art_10" TargetMode="External" Id="rId25" /><Relationship Type="http://schemas.openxmlformats.org/officeDocument/2006/relationships/hyperlink" Target="https://eur-lex.europa.eu/legal-content/EN/TXT/HTML/?uri=CELEX:32025R1190#art_10" TargetMode="External" Id="rId26" /><Relationship Type="http://schemas.openxmlformats.org/officeDocument/2006/relationships/hyperlink" Target="https://eur-lex.europa.eu/legal-content/EN/TXT/HTML/?uri=CELEX:32025R1190#art_10" TargetMode="External" Id="rId27" /><Relationship Type="http://schemas.openxmlformats.org/officeDocument/2006/relationships/hyperlink" Target="https://eur-lex.europa.eu/legal-content/EN/TXT/HTML/?uri=CELEX:32025R1190#art_10" TargetMode="External" Id="rId28" /><Relationship Type="http://schemas.openxmlformats.org/officeDocument/2006/relationships/hyperlink" Target="https://eur-lex.europa.eu/legal-content/EN/TXT/HTML/?uri=CELEX:32025R1190#anx_III" TargetMode="External" Id="rId29" /><Relationship Type="http://schemas.openxmlformats.org/officeDocument/2006/relationships/hyperlink" Target="https://eur-lex.europa.eu/legal-content/EN/TXT/HTML/?uri=CELEX:32025R1190#anx_III" TargetMode="External" Id="rId30" /><Relationship Type="http://schemas.openxmlformats.org/officeDocument/2006/relationships/hyperlink" Target="https://eur-lex.europa.eu/legal-content/EN/TXT/HTML/?uri=CELEX:32025R1190#anx_III" TargetMode="External" Id="rId31" /><Relationship Type="http://schemas.openxmlformats.org/officeDocument/2006/relationships/hyperlink" Target="https://eur-lex.europa.eu/legal-content/EN/TXT/HTML/?uri=CELEX:32025R1190#anx_III" TargetMode="External" Id="rId32" /><Relationship Type="http://schemas.openxmlformats.org/officeDocument/2006/relationships/hyperlink" Target="https://eur-lex.europa.eu/legal-content/EN/TXT/HTML/?uri=CELEX:32025R1190#anx_III" TargetMode="External" Id="rId33" /><Relationship Type="http://schemas.openxmlformats.org/officeDocument/2006/relationships/hyperlink" Target="https://eur-lex.europa.eu/legal-content/EN/TXT/HTML/?uri=CELEX:32025R1190#art_10" TargetMode="External" Id="rId34" /><Relationship Type="http://schemas.openxmlformats.org/officeDocument/2006/relationships/hyperlink" Target="https://eur-lex.europa.eu/legal-content/EN/TXT/HTML/?uri=CELEX:32025R1190#art_10" TargetMode="External" Id="rId35" /><Relationship Type="http://schemas.openxmlformats.org/officeDocument/2006/relationships/hyperlink" Target="https://eur-lex.europa.eu/legal-content/EN/TXT/HTML/?uri=CELEX:32025R1190#art_9" TargetMode="External" Id="rId36" /></Relationships>
</file>

<file path=xl/worksheets/_rels/sheet8.xml.rels><Relationships xmlns="http://schemas.openxmlformats.org/package/2006/relationships"><Relationship Type="http://schemas.openxmlformats.org/officeDocument/2006/relationships/hyperlink" Target="https://eur-lex.europa.eu/legal-content/EN/TXT/HTML/?uri=CELEX:32025R1190#art_11" TargetMode="External" Id="rId1" /><Relationship Type="http://schemas.openxmlformats.org/officeDocument/2006/relationships/hyperlink" Target="https://eur-lex.europa.eu/legal-content/EN/TXT/HTML/?uri=CELEX:32025R1190#anx_IV" TargetMode="External" Id="rId2" /><Relationship Type="http://schemas.openxmlformats.org/officeDocument/2006/relationships/hyperlink" Target="https://eur-lex.europa.eu/legal-content/EN/TXT/HTML/?uri=CELEX:32025R1190#anx_IV" TargetMode="External" Id="rId3" /><Relationship Type="http://schemas.openxmlformats.org/officeDocument/2006/relationships/hyperlink" Target="https://eur-lex.europa.eu/legal-content/EN/TXT/HTML/?uri=CELEX:32025R1190#anx_IV" TargetMode="External" Id="rId4" /><Relationship Type="http://schemas.openxmlformats.org/officeDocument/2006/relationships/hyperlink" Target="https://eur-lex.europa.eu/legal-content/EN/TXT/HTML/?uri=CELEX:32025R1190#anx_IV" TargetMode="External" Id="rId5" /><Relationship Type="http://schemas.openxmlformats.org/officeDocument/2006/relationships/hyperlink" Target="https://eur-lex.europa.eu/legal-content/EN/TXT/HTML/?uri=CELEX:32025R1190#anx_IV" TargetMode="External" Id="rId6" /><Relationship Type="http://schemas.openxmlformats.org/officeDocument/2006/relationships/hyperlink" Target="https://eur-lex.europa.eu/legal-content/EN/TXT/HTML/?uri=CELEX:32025R1190#anx_IV" TargetMode="External" Id="rId7" /><Relationship Type="http://schemas.openxmlformats.org/officeDocument/2006/relationships/hyperlink" Target="https://eur-lex.europa.eu/legal-content/EN/TXT/HTML/?uri=CELEX:32025R1190#anx_IV" TargetMode="External" Id="rId8" /><Relationship Type="http://schemas.openxmlformats.org/officeDocument/2006/relationships/hyperlink" Target="https://eur-lex.europa.eu/legal-content/EN/TXT/HTML/?uri=CELEX:32025R1190#anx_IV" TargetMode="External" Id="rId9" /><Relationship Type="http://schemas.openxmlformats.org/officeDocument/2006/relationships/hyperlink" Target="https://eur-lex.europa.eu/legal-content/EN/TXT/HTML/?uri=CELEX:32025R1190#art_11" TargetMode="External" Id="rId10" /><Relationship Type="http://schemas.openxmlformats.org/officeDocument/2006/relationships/hyperlink" Target="https://eur-lex.europa.eu/legal-content/EN/TXT/HTML/?uri=CELEX:32025R1190#art_11" TargetMode="External" Id="rId11" /><Relationship Type="http://schemas.openxmlformats.org/officeDocument/2006/relationships/hyperlink" Target="https://eur-lex.europa.eu/legal-content/EN/TXT/HTML/?uri=CELEX:32025R1190#art_11" TargetMode="External" Id="rId12" /><Relationship Type="http://schemas.openxmlformats.org/officeDocument/2006/relationships/hyperlink" Target="https://eur-lex.europa.eu/legal-content/EN/TXT/HTML/?uri=CELEX:32025R1190#art_11" TargetMode="External" Id="rId13" /><Relationship Type="http://schemas.openxmlformats.org/officeDocument/2006/relationships/hyperlink" Target="https://eur-lex.europa.eu/legal-content/EN/TXT/HTML/?uri=CELEX:32025R1190#art_11" TargetMode="External" Id="rId14" /><Relationship Type="http://schemas.openxmlformats.org/officeDocument/2006/relationships/hyperlink" Target="https://eur-lex.europa.eu/legal-content/EN/TXT/HTML/?uri=CELEX:32025R1190#art_11" TargetMode="External" Id="rId15" /><Relationship Type="http://schemas.openxmlformats.org/officeDocument/2006/relationships/hyperlink" Target="https://eur-lex.europa.eu/legal-content/EN/TXT/HTML/?uri=CELEX:32025R1190#art_11" TargetMode="External" Id="rId16" /><Relationship Type="http://schemas.openxmlformats.org/officeDocument/2006/relationships/hyperlink" Target="https://www.ecb.europa.eu/paym/cyber-resilience/tiber-eu/html/index.en.html" TargetMode="External" Id="rId17" /><Relationship Type="http://schemas.openxmlformats.org/officeDocument/2006/relationships/hyperlink" Target="https://eur-lex.europa.eu/legal-content/EN/TXT/HTML/?uri=CELEX:32025R1190#art_4" TargetMode="External" Id="rId18" /><Relationship Type="http://schemas.openxmlformats.org/officeDocument/2006/relationships/hyperlink" Target="https://eur-lex.europa.eu/legal-content/EN/TXT/HTML/?uri=CELEX:32025R1190#art_11" TargetMode="External" Id="rId19" /><Relationship Type="http://schemas.openxmlformats.org/officeDocument/2006/relationships/hyperlink" Target="https://eur-lex.europa.eu/legal-content/EN/TXT/HTML/?uri=CELEX:32025R1190#art_11" TargetMode="External" Id="rId20" /><Relationship Type="http://schemas.openxmlformats.org/officeDocument/2006/relationships/hyperlink" Target="https://eur-lex.europa.eu/legal-content/EN/TXT/HTML/?uri=CELEX:32025R1190#art_11" TargetMode="External" Id="rId21" /><Relationship Type="http://schemas.openxmlformats.org/officeDocument/2006/relationships/hyperlink" Target="https://eur-lex.europa.eu/legal-content/EN/TXT/HTML/?uri=CELEX:32025R1190#art_11" TargetMode="External" Id="rId22" /><Relationship Type="http://schemas.openxmlformats.org/officeDocument/2006/relationships/hyperlink" Target="https://eur-lex.europa.eu/legal-content/EN/TXT/HTML/?uri=CELEX:32025R1190#art_11" TargetMode="External" Id="rId23" /><Relationship Type="http://schemas.openxmlformats.org/officeDocument/2006/relationships/hyperlink" Target="https://eur-lex.europa.eu/legal-content/EN/TXT/HTML/?uri=CELEX:32025R1190#art_11" TargetMode="External" Id="rId24" /><Relationship Type="http://schemas.openxmlformats.org/officeDocument/2006/relationships/hyperlink" Target="https://eur-lex.europa.eu/legal-content/EN/TXT/HTML/?uri=CELEX:32025R1190#art_11" TargetMode="External" Id="rId25" /><Relationship Type="http://schemas.openxmlformats.org/officeDocument/2006/relationships/hyperlink" Target="https://eur-lex.europa.eu/legal-content/EN/TXT/HTML/?uri=CELEX:32025R1190#art_11" TargetMode="External" Id="rId26" /><Relationship Type="http://schemas.openxmlformats.org/officeDocument/2006/relationships/hyperlink" Target="https://eur-lex.europa.eu/legal-content/EN/TXT/HTML/?uri=CELEX:32025R1190#art_11" TargetMode="External" Id="rId27" /><Relationship Type="http://schemas.openxmlformats.org/officeDocument/2006/relationships/hyperlink" Target="https://eur-lex.europa.eu/legal-content/EN/TXT/HTML/?uri=CELEX:32025R1190#art_11" TargetMode="External" Id="rId28" /><Relationship Type="http://schemas.openxmlformats.org/officeDocument/2006/relationships/hyperlink" Target="https://eur-lex.europa.eu/legal-content/EN/TXT/HTML/?uri=CELEX:32025R1190#art_11" TargetMode="External" Id="rId29" /></Relationships>
</file>

<file path=xl/worksheets/_rels/sheet9.xml.rels><Relationships xmlns="http://schemas.openxmlformats.org/package/2006/relationships"><Relationship Type="http://schemas.openxmlformats.org/officeDocument/2006/relationships/hyperlink" Target="https://eur-lex.europa.eu/legal-content/EN/TXT/HTML/?uri=CELEX:32025R1190#art_11" TargetMode="External" Id="rId1" /><Relationship Type="http://schemas.openxmlformats.org/officeDocument/2006/relationships/hyperlink" Target="https://eur-lex.europa.eu/legal-content/EN/TXT/HTML/?uri=CELEX:32025R1190#art_12" TargetMode="External" Id="rId2" /><Relationship Type="http://schemas.openxmlformats.org/officeDocument/2006/relationships/hyperlink" Target="https://eur-lex.europa.eu/legal-content/EN/TXT/HTML/?uri=CELEX:32025R1190#art_12" TargetMode="External" Id="rId3" /><Relationship Type="http://schemas.openxmlformats.org/officeDocument/2006/relationships/hyperlink" Target="https://eur-lex.europa.eu/legal-content/EN/TXT/HTML/?uri=CELEX:32025R1190#art_12" TargetMode="External" Id="rId4" /><Relationship Type="http://schemas.openxmlformats.org/officeDocument/2006/relationships/hyperlink" Target="https://eur-lex.europa.eu/legal-content/EN/TXT/HTML/?uri=CELEX:32025R1190#anx_V" TargetMode="External" Id="rId5" /><Relationship Type="http://schemas.openxmlformats.org/officeDocument/2006/relationships/hyperlink" Target="https://eur-lex.europa.eu/legal-content/EN/TXT/HTML/?uri=CELEX:32025R1190#anx_V" TargetMode="External" Id="rId6" /><Relationship Type="http://schemas.openxmlformats.org/officeDocument/2006/relationships/hyperlink" Target="https://eur-lex.europa.eu/legal-content/EN/TXT/HTML/?uri=CELEX:32025R1190#anx_V" TargetMode="External" Id="rId7" /><Relationship Type="http://schemas.openxmlformats.org/officeDocument/2006/relationships/hyperlink" Target="https://eur-lex.europa.eu/legal-content/EN/TXT/HTML/?uri=CELEX:32025R1190#anx_V" TargetMode="External" Id="rId8" /><Relationship Type="http://schemas.openxmlformats.org/officeDocument/2006/relationships/hyperlink" Target="https://eur-lex.europa.eu/legal-content/EN/TXT/HTML/?uri=CELEX:32025R1190#anx_V" TargetMode="External" Id="rId9" /><Relationship Type="http://schemas.openxmlformats.org/officeDocument/2006/relationships/hyperlink" Target="https://eur-lex.europa.eu/legal-content/EN/TXT/HTML/?uri=CELEX:32025R1190#anx_V" TargetMode="External" Id="rId10" /><Relationship Type="http://schemas.openxmlformats.org/officeDocument/2006/relationships/hyperlink" Target="https://eur-lex.europa.eu/legal-content/EN/TXT/HTML/?uri=CELEX:32025R1190#anx_V" TargetMode="External" Id="rId11" /><Relationship Type="http://schemas.openxmlformats.org/officeDocument/2006/relationships/hyperlink" Target="https://eur-lex.europa.eu/legal-content/EN/TXT/HTML/?uri=CELEX:32025R1190#anx_V" TargetMode="External" Id="rId12" /><Relationship Type="http://schemas.openxmlformats.org/officeDocument/2006/relationships/hyperlink" Target="https://eur-lex.europa.eu/legal-content/EN/TXT/HTML/?uri=CELEX:32025R1190#anx_V" TargetMode="External" Id="rId13" /><Relationship Type="http://schemas.openxmlformats.org/officeDocument/2006/relationships/hyperlink" Target="https://eur-lex.europa.eu/legal-content/EN/TXT/HTML/?uri=CELEX:32025R1190#art_12" TargetMode="External" Id="rId14" /><Relationship Type="http://schemas.openxmlformats.org/officeDocument/2006/relationships/hyperlink" Target="https://eur-lex.europa.eu/legal-content/EN/TXT/HTML/?uri=CELEX:32025R1190#art_12" TargetMode="External" Id="rId15" /><Relationship Type="http://schemas.openxmlformats.org/officeDocument/2006/relationships/hyperlink" Target="https://eur-lex.europa.eu/legal-content/EN/TXT/HTML/?uri=CELEX:32025R1190#anx_VI" TargetMode="External" Id="rId16" /><Relationship Type="http://schemas.openxmlformats.org/officeDocument/2006/relationships/hyperlink" Target="https://eur-lex.europa.eu/legal-content/EN/TXT/HTML/?uri=CELEX:32025R1190#anx_VI" TargetMode="External" Id="rId17" /><Relationship Type="http://schemas.openxmlformats.org/officeDocument/2006/relationships/hyperlink" Target="https://eur-lex.europa.eu/legal-content/EN/TXT/HTML/?uri=CELEX:32025R1190#anx_VI" TargetMode="External" Id="rId18" /><Relationship Type="http://schemas.openxmlformats.org/officeDocument/2006/relationships/hyperlink" Target="https://eur-lex.europa.eu/legal-content/EN/TXT/HTML/?uri=CELEX:32025R1190#anx_VI" TargetMode="External" Id="rId19" /><Relationship Type="http://schemas.openxmlformats.org/officeDocument/2006/relationships/hyperlink" Target="https://eur-lex.europa.eu/legal-content/EN/TXT/HTML/?uri=CELEX:32025R1190#anx_VI" TargetMode="External" Id="rId20" /><Relationship Type="http://schemas.openxmlformats.org/officeDocument/2006/relationships/hyperlink" Target="https://eur-lex.europa.eu/legal-content/EN/TXT/HTML/?uri=CELEX:32025R1190#art_12" TargetMode="External" Id="rId21" /><Relationship Type="http://schemas.openxmlformats.org/officeDocument/2006/relationships/hyperlink" Target="https://eur-lex.europa.eu/legal-content/EN/TXT/HTML/?uri=CELEX:32025R1190#art_12" TargetMode="External" Id="rId22" /><Relationship Type="http://schemas.openxmlformats.org/officeDocument/2006/relationships/hyperlink" Target="https://eur-lex.europa.eu/legal-content/EN/TXT/HTML/?uri=CELEX:32025R1190#art_12" TargetMode="External" Id="rId23" /><Relationship Type="http://schemas.openxmlformats.org/officeDocument/2006/relationships/hyperlink" Target="https://www.ecb.europa.eu/paym/cyber-resilience/tiber-eu/html/index.en.html" TargetMode="External" Id="rId24" /><Relationship Type="http://schemas.openxmlformats.org/officeDocument/2006/relationships/hyperlink" Target="https://www.ecb.europa.eu/paym/cyber-resilience/tiber-eu/html/index.en.html" TargetMode="External" Id="rId25" /><Relationship Type="http://schemas.openxmlformats.org/officeDocument/2006/relationships/hyperlink" Target="https://www.ecb.europa.eu/paym/cyber-resilience/tiber-eu/html/index.en.html" TargetMode="External" Id="rId26" /><Relationship Type="http://schemas.openxmlformats.org/officeDocument/2006/relationships/hyperlink" Target="https://www.ecb.europa.eu/paym/cyber-resilience/tiber-eu/html/index.en.html" TargetMode="External" Id="rId27" /><Relationship Type="http://schemas.openxmlformats.org/officeDocument/2006/relationships/hyperlink" Target="https://www.ecb.europa.eu/paym/cyber-resilience/tiber-eu/html/index.en.html" TargetMode="External" Id="rId28" /><Relationship Type="http://schemas.openxmlformats.org/officeDocument/2006/relationships/hyperlink" Target="https://www.ecb.europa.eu/paym/cyber-resilience/tiber-eu/html/index.en.html" TargetMode="External" Id="rId29" /><Relationship Type="http://schemas.openxmlformats.org/officeDocument/2006/relationships/hyperlink" Target="https://eur-lex.europa.eu/legal-content/EN/TXT/HTML/?uri=CELEX:32025R1190#art_12" TargetMode="External" Id="rId30" /><Relationship Type="http://schemas.openxmlformats.org/officeDocument/2006/relationships/hyperlink" Target="https://eur-lex.europa.eu/legal-content/EN/TXT/HTML/?uri=CELEX:32025R1190#art_12" TargetMode="External" Id="rId31" /><Relationship Type="http://schemas.openxmlformats.org/officeDocument/2006/relationships/hyperlink" Target="https://eur-lex.europa.eu/legal-content/EN/TXT/HTML/?uri=CELEX:32025R1190#art_12" TargetMode="External" Id="rId32" /><Relationship Type="http://schemas.openxmlformats.org/officeDocument/2006/relationships/hyperlink" Target="https://eur-lex.europa.eu/legal-content/EN/TXT/HTML/?uri=CELEX:32025R1190#art_12" TargetMode="External" Id="rId33" /><Relationship Type="http://schemas.openxmlformats.org/officeDocument/2006/relationships/hyperlink" Target="https://eur-lex.europa.eu/legal-content/EN/TXT/HTML/?uri=CELEX:32025R1190#anx_VII" TargetMode="External" Id="rId34" /><Relationship Type="http://schemas.openxmlformats.org/officeDocument/2006/relationships/hyperlink" Target="https://eur-lex.europa.eu/legal-content/EN/TXT/HTML/?uri=CELEX:32025R1190#anx_VII" TargetMode="External" Id="rId35" /><Relationship Type="http://schemas.openxmlformats.org/officeDocument/2006/relationships/hyperlink" Target="https://eur-lex.europa.eu/legal-content/EN/TXT/HTML/?uri=CELEX:32025R1190#anx_VII" TargetMode="External" Id="rId36" /><Relationship Type="http://schemas.openxmlformats.org/officeDocument/2006/relationships/hyperlink" Target="https://eur-lex.europa.eu/legal-content/EN/TXT/HTML/?uri=CELEX:32025R1190#anx_VII" TargetMode="External" Id="rId37" /><Relationship Type="http://schemas.openxmlformats.org/officeDocument/2006/relationships/hyperlink" Target="https://eur-lex.europa.eu/legal-content/EN/TXT/HTML/?uri=CELEX:32025R1190#anx_VII" TargetMode="External" Id="rId38" /><Relationship Type="http://schemas.openxmlformats.org/officeDocument/2006/relationships/hyperlink" Target="https://eur-lex.europa.eu/legal-content/EN/TXT/HTML/?uri=CELEX:32025R1190#anx_VII" TargetMode="External" Id="rId39" /><Relationship Type="http://schemas.openxmlformats.org/officeDocument/2006/relationships/hyperlink" Target="https://eur-lex.europa.eu/legal-content/EN/TXT/HTML/?uri=CELEX:32025R1190#anx_VII" TargetMode="External" Id="rId40" /><Relationship Type="http://schemas.openxmlformats.org/officeDocument/2006/relationships/hyperlink" Target="https://eur-lex.europa.eu/legal-content/EN/TXT/HTML/?uri=CELEX:32025R1190#anx_VII" TargetMode="External" Id="rId41" /><Relationship Type="http://schemas.openxmlformats.org/officeDocument/2006/relationships/hyperlink" Target="https://eur-lex.europa.eu/legal-content/EN/TXT/HTML/?uri=CELEX:32025R1190#anx_VII" TargetMode="External" Id="rId42" /><Relationship Type="http://schemas.openxmlformats.org/officeDocument/2006/relationships/hyperlink" Target="https://eur-lex.europa.eu/legal-content/EN/TXT/HTML/?uri=CELEX:32025R1190#anx_VII" TargetMode="External" Id="rId43" /><Relationship Type="http://schemas.openxmlformats.org/officeDocument/2006/relationships/hyperlink" Target="https://eur-lex.europa.eu/legal-content/EN/TXT/HTML/?uri=CELEX:32025R1190#anx_VII" TargetMode="External" Id="rId44" /><Relationship Type="http://schemas.openxmlformats.org/officeDocument/2006/relationships/hyperlink" Target="https://eur-lex.europa.eu/legal-content/EN/TXT/HTML/?uri=CELEX:32025R1190#anx_VII" TargetMode="External" Id="rId45" /><Relationship Type="http://schemas.openxmlformats.org/officeDocument/2006/relationships/hyperlink" Target="https://eur-lex.europa.eu/legal-content/EN/TXT/HTML/?uri=CELEX:32025R1190#anx_VII" TargetMode="External" Id="rId46" /><Relationship Type="http://schemas.openxmlformats.org/officeDocument/2006/relationships/hyperlink" Target="https://eur-lex.europa.eu/legal-content/EN/TXT/HTML/?uri=CELEX:32025R1190#anx_VII" TargetMode="External" Id="rId47" /><Relationship Type="http://schemas.openxmlformats.org/officeDocument/2006/relationships/hyperlink" Target="https://eur-lex.europa.eu/legal-content/EN/TXT/HTML/?uri=CELEX:32025R1190#art_12" TargetMode="External" Id="rId48" /></Relationships>
</file>

<file path=xl/worksheets/sheet1.xml><?xml version="1.0" encoding="utf-8"?>
<worksheet xmlns="http://schemas.openxmlformats.org/spreadsheetml/2006/main">
  <sheetPr>
    <tabColor rgb="009E9E9E"/>
    <outlinePr summaryBelow="1" summaryRight="1"/>
    <pageSetUpPr fitToPage="1"/>
  </sheetPr>
  <dimension ref="A1:B44"/>
  <sheetViews>
    <sheetView workbookViewId="0">
      <selection activeCell="A1" sqref="A1"/>
    </sheetView>
  </sheetViews>
  <sheetFormatPr baseColWidth="8" defaultRowHeight="15"/>
  <cols>
    <col width="14" customWidth="1" min="1" max="1"/>
    <col width="82" customWidth="1" min="2" max="2"/>
  </cols>
  <sheetData>
    <row r="1" ht="28" customHeight="1">
      <c r="A1" s="1" t="inlineStr">
        <is>
          <t>TLPT DORA Readiness Tracker - Instructions</t>
        </is>
      </c>
    </row>
    <row r="2">
      <c r="A2" s="2" t="inlineStr">
        <is>
          <t>Based on DORA RTS 2025/1190 | TIBER-EU 2025 Framework | Version 1.0</t>
        </is>
      </c>
    </row>
    <row r="4">
      <c r="A4" s="3" t="inlineStr">
        <is>
          <t>HOW TO USE THIS WORKBOOK</t>
        </is>
      </c>
    </row>
    <row r="5">
      <c r="B5" s="4" t="inlineStr">
        <is>
          <t>1. Enter your TLPT notification date in the Dashboard sheet (cell B17). All deadlines auto-calculate.</t>
        </is>
      </c>
    </row>
    <row r="6">
      <c r="B6" s="4" t="inlineStr">
        <is>
          <t>2. Work through modules M1-M8 in sequence. Set status, owner, due dates as you go.</t>
        </is>
      </c>
    </row>
    <row r="7">
      <c r="B7" s="4" t="inlineStr">
        <is>
          <t>3. Use the Provider Scorecard to evaluate TI and RT providers side by side.</t>
        </is>
      </c>
    </row>
    <row r="8">
      <c r="B8" s="4" t="inlineStr">
        <is>
          <t>4. Monitor progress on the Dashboard. Critical Remaining shows outstanding regulatory items.</t>
        </is>
      </c>
    </row>
    <row r="9">
      <c r="B9" s="4" t="inlineStr">
        <is>
          <t>5. Every RTS/DORA reference is a clickable link to the exact article in EUR-Lex.</t>
        </is>
      </c>
    </row>
    <row r="11">
      <c r="A11" s="3" t="inlineStr">
        <is>
          <t>MODULE SHEETS (M1-M8)</t>
        </is>
      </c>
    </row>
    <row r="12">
      <c r="B12" s="4" t="inlineStr">
        <is>
          <t>Status column: select Not Started, In Progress, Complete, or N/A from the dropdown.</t>
        </is>
      </c>
    </row>
    <row r="13">
      <c r="B13" s="4" t="inlineStr">
        <is>
          <t>Owner column: enter the name or role of the person responsible.</t>
        </is>
      </c>
    </row>
    <row r="14">
      <c r="B14" s="4" t="inlineStr">
        <is>
          <t>Due Date / Done Date: enter dates as needed for your project plan.</t>
        </is>
      </c>
    </row>
    <row r="15">
      <c r="B15" s="4" t="inlineStr">
        <is>
          <t>Evidence/Notes: document evidence of completion, file references, or notes.</t>
        </is>
      </c>
    </row>
    <row r="16">
      <c r="B16" s="4" t="inlineStr">
        <is>
          <t>Risk if Missed: assess the impact if this item is not completed (High/Medium/Low).</t>
        </is>
      </c>
    </row>
    <row r="17">
      <c r="B17" s="4" t="inlineStr">
        <is>
          <t>Tip rows provide practical guidance grounded in DORA regulatory requirements.</t>
        </is>
      </c>
    </row>
    <row r="19">
      <c r="A19" s="3" t="inlineStr">
        <is>
          <t>PROVIDER SCORECARD</t>
        </is>
      </c>
    </row>
    <row r="20">
      <c r="B20" s="4" t="inlineStr">
        <is>
          <t>Part A (Minimum Requirements): Any 'No' answer disqualifies the provider.</t>
        </is>
      </c>
    </row>
    <row r="21">
      <c r="B21" s="4" t="inlineStr">
        <is>
          <t>Part B (Weighted Evaluation): Score each criterion 1-5. Weighted scores auto-calculate.</t>
        </is>
      </c>
    </row>
    <row r="22">
      <c r="B22" s="4" t="inlineStr">
        <is>
          <t>Technical Competency: Rate each area as Strong/Adequate/Weak/Not Demonstrated.</t>
        </is>
      </c>
    </row>
    <row r="24">
      <c r="A24" s="3" t="inlineStr">
        <is>
          <t>RISK REGISTER</t>
        </is>
      </c>
    </row>
    <row r="25">
      <c r="B25" s="4" t="inlineStr">
        <is>
          <t>Pre-populated with 24 risks mapped to DORA RTS requirements.</t>
        </is>
      </c>
    </row>
    <row r="26">
      <c r="B26" s="4" t="inlineStr">
        <is>
          <t>Adjust Likelihood and Impact scores to match your entity's context.</t>
        </is>
      </c>
    </row>
    <row r="27">
      <c r="B27" s="4" t="inlineStr">
        <is>
          <t>Risk Score and Risk Level calculate automatically (Likelihood x Impact).</t>
        </is>
      </c>
    </row>
    <row r="28">
      <c r="B28" s="4" t="inlineStr">
        <is>
          <t>The heat map (columns P-U) visualizes your risk distribution.</t>
        </is>
      </c>
    </row>
    <row r="30">
      <c r="A30" s="3" t="inlineStr">
        <is>
          <t>TIMELINE PLANNER</t>
        </is>
      </c>
    </row>
    <row r="31">
      <c r="B31" s="4" t="inlineStr">
        <is>
          <t>All phases with start/end dates relative to notification date.</t>
        </is>
      </c>
    </row>
    <row r="32">
      <c r="B32" s="4" t="inlineStr">
        <is>
          <t>Days Remaining and Status update automatically based on today's date.</t>
        </is>
      </c>
    </row>
    <row r="33">
      <c r="B33" s="4" t="inlineStr">
        <is>
          <t>The Gantt chart (columns I onwards) provides a visual timeline view.</t>
        </is>
      </c>
    </row>
    <row r="35">
      <c r="A35" s="3" t="inlineStr">
        <is>
          <t>COLOR LEGEND</t>
        </is>
      </c>
    </row>
    <row r="36">
      <c r="A36" s="5" t="inlineStr">
        <is>
          <t>CRITICAL</t>
        </is>
      </c>
      <c r="B36" s="6" t="inlineStr">
        <is>
          <t>Regulatory requirement, non-negotiable</t>
        </is>
      </c>
    </row>
    <row r="37">
      <c r="A37" s="7" t="inlineStr">
        <is>
          <t>HIGH</t>
        </is>
      </c>
      <c r="B37" s="6" t="inlineStr">
        <is>
          <t>Strongly recommended, failure causes delays</t>
        </is>
      </c>
    </row>
    <row r="38">
      <c r="A38" s="8" t="inlineStr">
        <is>
          <t>MEDIUM</t>
        </is>
      </c>
      <c r="B38" s="6" t="inlineStr">
        <is>
          <t>Best practice, improves quality</t>
        </is>
      </c>
    </row>
    <row r="39">
      <c r="A39" s="9" t="inlineStr">
        <is>
          <t>Complete</t>
        </is>
      </c>
      <c r="B39" s="6" t="inlineStr">
        <is>
          <t>Row turns green when status = Complete</t>
        </is>
      </c>
    </row>
    <row r="40">
      <c r="A40" s="10" t="inlineStr">
        <is>
          <t>Overdue</t>
        </is>
      </c>
      <c r="B40" s="6" t="inlineStr">
        <is>
          <t>Row turns red when past due date</t>
        </is>
      </c>
    </row>
    <row r="41">
      <c r="A41" s="11" t="inlineStr">
        <is>
          <t>N/A</t>
        </is>
      </c>
      <c r="B41" s="6" t="inlineStr">
        <is>
          <t>Row turns gray when status = N/A</t>
        </is>
      </c>
    </row>
    <row r="43" ht="22" customHeight="1">
      <c r="A43" s="12" t="inlineStr">
        <is>
          <t>Prepared by AFINE sp. z o.o. | afine.com</t>
        </is>
      </c>
    </row>
    <row r="44" ht="22" customHeight="1">
      <c r="A44" s="13" t="inlineStr">
        <is>
          <t>Book a TLPT consultation</t>
        </is>
      </c>
    </row>
  </sheetData>
  <sheetProtection selectLockedCells="0" selectUnlockedCells="0" sheet="1" objects="0" insertRows="1" insertHyperlinks="1" autoFilter="0" scenarios="0" formatColumns="0" deleteColumns="1" insertColumns="1" pivotTables="1" deleteRows="1" formatCells="1" formatRows="0" sort="0" password="CE4B"/>
  <mergeCells count="10">
    <mergeCell ref="A4:B4"/>
    <mergeCell ref="A24:B24"/>
    <mergeCell ref="A2:B2"/>
    <mergeCell ref="A30:B30"/>
    <mergeCell ref="A43:B43"/>
    <mergeCell ref="A19:B19"/>
    <mergeCell ref="A11:B11"/>
    <mergeCell ref="A44:B44"/>
    <mergeCell ref="A1:B1"/>
    <mergeCell ref="A35:B35"/>
  </mergeCells>
  <hyperlinks>
    <hyperlink xmlns:r="http://schemas.openxmlformats.org/officeDocument/2006/relationships" ref="A43" r:id="rId1"/>
    <hyperlink xmlns:r="http://schemas.openxmlformats.org/officeDocument/2006/relationships" ref="A44" r:id="rId2"/>
  </hyperlinks>
  <pageMargins left="0.75" right="0.75" top="1" bottom="1" header="0.5" footer="0.5"/>
  <pageSetup orientation="portrait" fitToHeight="0" fitToWidth="1"/>
  <headerFooter>
    <oddHeader>&amp;LAFINE | TLPT DORA Readiness Tracker&amp;RPage &amp;P of &amp;N</oddHeader>
    <oddFooter>&amp;CAFINE sp. z o.o. | afine.com</oddFooter>
    <evenHeader/>
    <evenFooter/>
    <firstHeader/>
    <firstFooter/>
  </headerFooter>
</worksheet>
</file>

<file path=xl/worksheets/sheet10.xml><?xml version="1.0" encoding="utf-8"?>
<worksheet xmlns="http://schemas.openxmlformats.org/spreadsheetml/2006/main">
  <sheetPr>
    <tabColor rgb="0027AE60"/>
    <outlinePr summaryBelow="1" summaryRight="1"/>
    <pageSetUpPr fitToPage="1"/>
  </sheetPr>
  <dimension ref="A1:J30"/>
  <sheetViews>
    <sheetView workbookViewId="0">
      <pane xSplit="2" ySplit="3" topLeftCell="C4" activePane="bottomRight" state="frozen"/>
      <selection pane="topRight" activeCell="A1" sqref="A1"/>
      <selection pane="bottomLeft" activeCell="A1" sqref="A1"/>
      <selection pane="bottomRight" activeCell="A1" sqref="A1"/>
    </sheetView>
  </sheetViews>
  <sheetFormatPr baseColWidth="8" defaultRowHeight="15"/>
  <cols>
    <col width="5" customWidth="1" min="1" max="1"/>
    <col width="55" customWidth="1" min="2" max="2"/>
    <col width="14" customWidth="1" min="3" max="3"/>
    <col width="12" customWidth="1" min="4" max="4"/>
    <col width="15" customWidth="1" min="5" max="5"/>
    <col width="12" customWidth="1" min="6" max="6"/>
    <col width="12" customWidth="1" min="7" max="7"/>
    <col width="18" customWidth="1" min="8" max="8"/>
    <col width="35" customWidth="1" min="9" max="9"/>
    <col width="12" customWidth="1" min="10" max="10"/>
  </cols>
  <sheetData>
    <row r="1">
      <c r="A1" s="36" t="inlineStr">
        <is>
          <t>Module 8: REMEDIATION &amp; ATTESTATION</t>
        </is>
      </c>
    </row>
    <row r="2">
      <c r="A2" s="37" t="inlineStr">
        <is>
          <t>#</t>
        </is>
      </c>
      <c r="B2" s="37" t="inlineStr">
        <is>
          <t>Checklist Item</t>
        </is>
      </c>
      <c r="C2" s="37" t="inlineStr">
        <is>
          <t>Status</t>
        </is>
      </c>
      <c r="D2" s="37" t="inlineStr">
        <is>
          <t>Priority</t>
        </is>
      </c>
      <c r="E2" s="37" t="inlineStr">
        <is>
          <t>Owner</t>
        </is>
      </c>
      <c r="F2" s="37" t="inlineStr">
        <is>
          <t>Due Date</t>
        </is>
      </c>
      <c r="G2" s="37" t="inlineStr">
        <is>
          <t>Done Date</t>
        </is>
      </c>
      <c r="H2" s="37" t="inlineStr">
        <is>
          <t>RTS Reference</t>
        </is>
      </c>
      <c r="I2" s="37" t="inlineStr">
        <is>
          <t>Evidence/Notes</t>
        </is>
      </c>
      <c r="J2" s="37" t="inlineStr">
        <is>
          <t>Risk if Missed</t>
        </is>
      </c>
    </row>
    <row r="3">
      <c r="A3" s="38">
        <f>"Progress: "&amp;COUNTIF(C5:C30,"Complete")&amp;" / 23 complete ("&amp;IF(23=0,0,ROUND(COUNTIF(C5:C30,"Complete")/23*100,0))&amp;"%)"</f>
        <v/>
      </c>
      <c r="B3" s="76" t="n"/>
      <c r="C3" s="76" t="n"/>
      <c r="D3" s="76" t="n"/>
      <c r="E3" s="76" t="n"/>
      <c r="F3" s="76" t="n"/>
      <c r="G3" s="76" t="n"/>
      <c r="H3" s="76" t="n"/>
      <c r="I3" s="76" t="n"/>
      <c r="J3" s="77" t="n"/>
    </row>
    <row r="4">
      <c r="A4" s="48" t="inlineStr">
        <is>
          <t>8A: Remediation Plan (Within 8 Weeks of TSR Notification)</t>
        </is>
      </c>
      <c r="B4" s="76" t="n"/>
      <c r="C4" s="76" t="n"/>
      <c r="D4" s="76" t="n"/>
      <c r="E4" s="76" t="n"/>
      <c r="F4" s="76" t="n"/>
      <c r="G4" s="76" t="n"/>
      <c r="H4" s="76" t="n"/>
      <c r="I4" s="76" t="n"/>
      <c r="J4" s="77" t="n"/>
    </row>
    <row r="5">
      <c r="A5" s="39" t="inlineStr">
        <is>
          <t>8.1</t>
        </is>
      </c>
      <c r="B5" s="40" t="inlineStr">
        <is>
          <t>For EACH finding, document:</t>
        </is>
      </c>
      <c r="C5" s="35" t="inlineStr">
        <is>
          <t>Not Started</t>
        </is>
      </c>
      <c r="D5" s="41" t="inlineStr">
        <is>
          <t>CRITICAL</t>
        </is>
      </c>
      <c r="E5" s="42" t="n"/>
      <c r="F5" s="79" t="n"/>
      <c r="G5" s="79" t="n"/>
      <c r="H5" s="44" t="inlineStr">
        <is>
          <t>RTS Art. 13(2)</t>
        </is>
      </c>
      <c r="I5" s="45" t="n"/>
      <c r="J5" s="35" t="n"/>
    </row>
    <row r="6">
      <c r="A6" s="39" t="inlineStr">
        <is>
          <t>8.2</t>
        </is>
      </c>
      <c r="B6" s="40" t="inlineStr">
        <is>
          <t>Shortcoming description</t>
        </is>
      </c>
      <c r="C6" s="35" t="inlineStr">
        <is>
          <t>Not Started</t>
        </is>
      </c>
      <c r="D6" s="41" t="inlineStr">
        <is>
          <t>CRITICAL</t>
        </is>
      </c>
      <c r="E6" s="42" t="n"/>
      <c r="F6" s="79" t="n"/>
      <c r="G6" s="79" t="n"/>
      <c r="H6" s="44" t="inlineStr">
        <is>
          <t>RTS Art. 13(2)(a)</t>
        </is>
      </c>
      <c r="I6" s="45" t="n"/>
      <c r="J6" s="35" t="n"/>
    </row>
    <row r="7">
      <c r="A7" s="39" t="inlineStr">
        <is>
          <t>8.3</t>
        </is>
      </c>
      <c r="B7" s="40" t="inlineStr">
        <is>
          <t>Proposed remediation measures with prioritization</t>
        </is>
      </c>
      <c r="C7" s="35" t="inlineStr">
        <is>
          <t>Not Started</t>
        </is>
      </c>
      <c r="D7" s="41" t="inlineStr">
        <is>
          <t>CRITICAL</t>
        </is>
      </c>
      <c r="E7" s="42" t="n"/>
      <c r="F7" s="79" t="n"/>
      <c r="G7" s="79" t="n"/>
      <c r="H7" s="44" t="inlineStr">
        <is>
          <t>RTS Art. 13(2)(b)</t>
        </is>
      </c>
      <c r="I7" s="45" t="n"/>
      <c r="J7" s="35" t="n"/>
    </row>
    <row r="8">
      <c r="A8" s="39" t="inlineStr">
        <is>
          <t>8.4</t>
        </is>
      </c>
      <c r="B8" s="40" t="inlineStr">
        <is>
          <t>Completion timeline and milestones</t>
        </is>
      </c>
      <c r="C8" s="35" t="inlineStr">
        <is>
          <t>Not Started</t>
        </is>
      </c>
      <c r="D8" s="41" t="inlineStr">
        <is>
          <t>CRITICAL</t>
        </is>
      </c>
      <c r="E8" s="42" t="n"/>
      <c r="F8" s="79" t="n"/>
      <c r="G8" s="79" t="n"/>
      <c r="H8" s="44" t="inlineStr">
        <is>
          <t>RTS Art. 13(2)(b)</t>
        </is>
      </c>
      <c r="I8" s="45" t="n"/>
      <c r="J8" s="35" t="n"/>
    </row>
    <row r="9">
      <c r="A9" s="39" t="inlineStr">
        <is>
          <t>8.5</t>
        </is>
      </c>
      <c r="B9" s="40" t="inlineStr">
        <is>
          <t>Root cause analysis</t>
        </is>
      </c>
      <c r="C9" s="35" t="inlineStr">
        <is>
          <t>Not Started</t>
        </is>
      </c>
      <c r="D9" s="41" t="inlineStr">
        <is>
          <t>CRITICAL</t>
        </is>
      </c>
      <c r="E9" s="42" t="n"/>
      <c r="F9" s="79" t="n"/>
      <c r="G9" s="79" t="n"/>
      <c r="H9" s="44" t="inlineStr">
        <is>
          <t>RTS Art. 13(2)(c)</t>
        </is>
      </c>
      <c r="I9" s="45" t="n"/>
      <c r="J9" s="35" t="n"/>
    </row>
    <row r="10">
      <c r="A10" s="26" t="n"/>
      <c r="B10" s="47" t="inlineStr">
        <is>
          <t>TIP: The most common remediation failure: the plan addresses the specific vulnerability exploited instead of the systemic weakness that allowed it. If a service account with a weak password was compromised, the fix is not 'change that password.' The fix is 'implement privileged access management across all service accounts, with rotation and monitoring.' If your remediation plan has 15 line items and none of them mention process, policy, or architectural changes - you are patching symptoms. The regulator will notice, and so will the next red team.</t>
        </is>
      </c>
      <c r="C10" s="26" t="n"/>
      <c r="D10" s="26" t="n"/>
      <c r="E10" s="26" t="n"/>
      <c r="F10" s="26" t="n"/>
      <c r="G10" s="26" t="n"/>
      <c r="H10" s="26" t="n"/>
      <c r="I10" s="26" t="n"/>
      <c r="J10" s="26" t="n"/>
    </row>
    <row r="11">
      <c r="A11" s="39" t="inlineStr">
        <is>
          <t>8.6</t>
        </is>
      </c>
      <c r="B11" s="40" t="inlineStr">
        <is>
          <t>Responsible staff/functions</t>
        </is>
      </c>
      <c r="C11" s="35" t="inlineStr">
        <is>
          <t>Not Started</t>
        </is>
      </c>
      <c r="D11" s="41" t="inlineStr">
        <is>
          <t>CRITICAL</t>
        </is>
      </c>
      <c r="E11" s="42" t="n"/>
      <c r="F11" s="79" t="n"/>
      <c r="G11" s="79" t="n"/>
      <c r="H11" s="44" t="inlineStr">
        <is>
          <t>RTS Art. 13(2)(d)</t>
        </is>
      </c>
      <c r="I11" s="45" t="n"/>
      <c r="J11" s="35" t="n"/>
    </row>
    <row r="12">
      <c r="A12" s="39" t="inlineStr">
        <is>
          <t>8.7</t>
        </is>
      </c>
      <c r="B12" s="40" t="inlineStr">
        <is>
          <t>Risk assessment if NOT remediated</t>
        </is>
      </c>
      <c r="C12" s="35" t="inlineStr">
        <is>
          <t>Not Started</t>
        </is>
      </c>
      <c r="D12" s="41" t="inlineStr">
        <is>
          <t>CRITICAL</t>
        </is>
      </c>
      <c r="E12" s="42" t="n"/>
      <c r="F12" s="79" t="n"/>
      <c r="G12" s="79" t="n"/>
      <c r="H12" s="44" t="inlineStr">
        <is>
          <t>RTS Art. 13(2)(e)</t>
        </is>
      </c>
      <c r="I12" s="45" t="n"/>
      <c r="J12" s="35" t="n"/>
    </row>
    <row r="13">
      <c r="A13" s="26" t="n"/>
      <c r="B13" s="47" t="inlineStr">
        <is>
          <t>TIP: Every finding needs an honest risk assessment for the scenario where remediation is delayed or deprioritized - because some findings will be. Regulators do not expect 100% remediation in 8 weeks. They expect a credible plan with realistic timelines and a clear-eyed view of residual risk. What they will not accept is a remediation plan that promises everything by Q4 and delivers nothing by Q2 of the following year. Be conservative with timelines. It is better to overdeliver than to explain delays.</t>
        </is>
      </c>
      <c r="C13" s="26" t="n"/>
      <c r="D13" s="26" t="n"/>
      <c r="E13" s="26" t="n"/>
      <c r="F13" s="26" t="n"/>
      <c r="G13" s="26" t="n"/>
      <c r="H13" s="26" t="n"/>
      <c r="I13" s="26" t="n"/>
      <c r="J13" s="26" t="n"/>
    </row>
    <row r="14">
      <c r="A14" s="39" t="inlineStr">
        <is>
          <t>8.8</t>
        </is>
      </c>
      <c r="B14" s="40" t="inlineStr">
        <is>
          <t>Risk assessment of remediation implementation itself</t>
        </is>
      </c>
      <c r="C14" s="35" t="inlineStr">
        <is>
          <t>Not Started</t>
        </is>
      </c>
      <c r="D14" s="46" t="inlineStr">
        <is>
          <t>HIGH</t>
        </is>
      </c>
      <c r="E14" s="42" t="n"/>
      <c r="F14" s="79" t="n"/>
      <c r="G14" s="79" t="n"/>
      <c r="H14" s="44" t="inlineStr">
        <is>
          <t>RTS Art. 13(2)(e)</t>
        </is>
      </c>
      <c r="I14" s="45" t="n"/>
      <c r="J14" s="35" t="n"/>
    </row>
    <row r="15">
      <c r="A15" s="39" t="inlineStr">
        <is>
          <t>8.9</t>
        </is>
      </c>
      <c r="B15" s="40" t="inlineStr">
        <is>
          <t>Remediation plan submitted to TLPT Authority AND competent authority (if different)</t>
        </is>
      </c>
      <c r="C15" s="35" t="inlineStr">
        <is>
          <t>Not Started</t>
        </is>
      </c>
      <c r="D15" s="41" t="inlineStr">
        <is>
          <t>CRITICAL</t>
        </is>
      </c>
      <c r="E15" s="42" t="n"/>
      <c r="F15" s="79" t="n"/>
      <c r="G15" s="79" t="n"/>
      <c r="H15" s="44" t="inlineStr">
        <is>
          <t>RTS Art. 13(1)</t>
        </is>
      </c>
      <c r="I15" s="45" t="n"/>
      <c r="J15" s="35" t="n"/>
    </row>
    <row r="16">
      <c r="A16" s="39" t="inlineStr">
        <is>
          <t>8.10</t>
        </is>
      </c>
      <c r="B16" s="40" t="inlineStr">
        <is>
          <t>Follow-up oversight process established</t>
        </is>
      </c>
      <c r="C16" s="35" t="inlineStr">
        <is>
          <t>Not Started</t>
        </is>
      </c>
      <c r="D16" s="46" t="inlineStr">
        <is>
          <t>HIGH</t>
        </is>
      </c>
      <c r="E16" s="42" t="n"/>
      <c r="F16" s="79" t="n"/>
      <c r="G16" s="79" t="n"/>
      <c r="H16" s="44" t="inlineStr">
        <is>
          <t>DORA Art. 26(6)</t>
        </is>
      </c>
      <c r="I16" s="45" t="n"/>
      <c r="J16" s="35" t="n"/>
    </row>
    <row r="17">
      <c r="A17" s="48" t="inlineStr">
        <is>
          <t>8B: Attestation</t>
        </is>
      </c>
      <c r="B17" s="76" t="n"/>
      <c r="C17" s="76" t="n"/>
      <c r="D17" s="76" t="n"/>
      <c r="E17" s="76" t="n"/>
      <c r="F17" s="76" t="n"/>
      <c r="G17" s="76" t="n"/>
      <c r="H17" s="76" t="n"/>
      <c r="I17" s="76" t="n"/>
      <c r="J17" s="77" t="n"/>
    </row>
    <row r="18">
      <c r="A18" s="39" t="inlineStr">
        <is>
          <t>8.11</t>
        </is>
      </c>
      <c r="B18" s="40" t="inlineStr">
        <is>
          <t>TLPT Authority confirms all reports contain required information</t>
        </is>
      </c>
      <c r="C18" s="35" t="inlineStr">
        <is>
          <t>Not Started</t>
        </is>
      </c>
      <c r="D18" s="41" t="inlineStr">
        <is>
          <t>CRITICAL</t>
        </is>
      </c>
      <c r="E18" s="42" t="n"/>
      <c r="F18" s="79" t="n"/>
      <c r="G18" s="79" t="n"/>
      <c r="H18" s="44" t="inlineStr">
        <is>
          <t>RTS Art. 14; DORA Art. 26(7)</t>
        </is>
      </c>
      <c r="I18" s="45" t="n"/>
      <c r="J18" s="35" t="n"/>
    </row>
    <row r="19">
      <c r="A19" s="39" t="inlineStr">
        <is>
          <t>8.12</t>
        </is>
      </c>
      <c r="B19" s="40" t="inlineStr">
        <is>
          <t>Attestation issued (Annex VIII) containing:</t>
        </is>
      </c>
      <c r="C19" s="35" t="inlineStr">
        <is>
          <t>Not Started</t>
        </is>
      </c>
      <c r="D19" s="41" t="inlineStr">
        <is>
          <t>CRITICAL</t>
        </is>
      </c>
      <c r="E19" s="42" t="n"/>
      <c r="F19" s="79" t="n"/>
      <c r="G19" s="79" t="n"/>
      <c r="H19" s="44" t="inlineStr">
        <is>
          <t>RTS Art. 14(1); RTS Annex VIII</t>
        </is>
      </c>
      <c r="I19" s="45" t="n"/>
      <c r="J19" s="35" t="n"/>
    </row>
    <row r="20">
      <c r="A20" s="39" t="inlineStr">
        <is>
          <t>8.13</t>
        </is>
      </c>
      <c r="B20" s="40" t="inlineStr">
        <is>
          <t>Test start and end dates</t>
        </is>
      </c>
      <c r="C20" s="35" t="inlineStr">
        <is>
          <t>Not Started</t>
        </is>
      </c>
      <c r="D20" s="41" t="inlineStr">
        <is>
          <t>CRITICAL</t>
        </is>
      </c>
      <c r="E20" s="42" t="n"/>
      <c r="F20" s="79" t="n"/>
      <c r="G20" s="79" t="n"/>
      <c r="H20" s="44" t="inlineStr">
        <is>
          <t>RTS Annex VIII(a)</t>
        </is>
      </c>
      <c r="I20" s="45" t="n"/>
      <c r="J20" s="35" t="n"/>
    </row>
    <row r="21">
      <c r="A21" s="39" t="inlineStr">
        <is>
          <t>8.14</t>
        </is>
      </c>
      <c r="B21" s="40" t="inlineStr">
        <is>
          <t>CIFs in scope</t>
        </is>
      </c>
      <c r="C21" s="35" t="inlineStr">
        <is>
          <t>Not Started</t>
        </is>
      </c>
      <c r="D21" s="41" t="inlineStr">
        <is>
          <t>CRITICAL</t>
        </is>
      </c>
      <c r="E21" s="42" t="n"/>
      <c r="F21" s="79" t="n"/>
      <c r="G21" s="79" t="n"/>
      <c r="H21" s="44" t="inlineStr">
        <is>
          <t>RTS Annex VIII(a)</t>
        </is>
      </c>
      <c r="I21" s="45" t="n"/>
      <c r="J21" s="35" t="n"/>
    </row>
    <row r="22">
      <c r="A22" s="39" t="inlineStr">
        <is>
          <t>8.15</t>
        </is>
      </c>
      <c r="B22" s="40" t="inlineStr">
        <is>
          <t>Functions where TLPT wasn't performed (if any)</t>
        </is>
      </c>
      <c r="C22" s="35" t="inlineStr">
        <is>
          <t>Not Started</t>
        </is>
      </c>
      <c r="D22" s="41" t="inlineStr">
        <is>
          <t>CRITICAL</t>
        </is>
      </c>
      <c r="E22" s="42" t="n"/>
      <c r="F22" s="79" t="n"/>
      <c r="G22" s="79" t="n"/>
      <c r="H22" s="44" t="inlineStr">
        <is>
          <t>RTS Annex VIII(a)</t>
        </is>
      </c>
      <c r="I22" s="45" t="n"/>
      <c r="J22" s="35" t="n"/>
    </row>
    <row r="23">
      <c r="A23" s="39" t="inlineStr">
        <is>
          <t>8.16</t>
        </is>
      </c>
      <c r="B23" s="40" t="inlineStr">
        <is>
          <t>Involved financial entities</t>
        </is>
      </c>
      <c r="C23" s="35" t="inlineStr">
        <is>
          <t>Not Started</t>
        </is>
      </c>
      <c r="D23" s="41" t="inlineStr">
        <is>
          <t>CRITICAL</t>
        </is>
      </c>
      <c r="E23" s="42" t="n"/>
      <c r="F23" s="79" t="n"/>
      <c r="G23" s="79" t="n"/>
      <c r="H23" s="44" t="inlineStr">
        <is>
          <t>RTS Annex VIII(a)</t>
        </is>
      </c>
      <c r="I23" s="45" t="n"/>
      <c r="J23" s="35" t="n"/>
    </row>
    <row r="24">
      <c r="A24" s="39" t="inlineStr">
        <is>
          <t>8.17</t>
        </is>
      </c>
      <c r="B24" s="40" t="inlineStr">
        <is>
          <t>Participating ICT third-party providers</t>
        </is>
      </c>
      <c r="C24" s="35" t="inlineStr">
        <is>
          <t>Not Started</t>
        </is>
      </c>
      <c r="D24" s="41" t="inlineStr">
        <is>
          <t>CRITICAL</t>
        </is>
      </c>
      <c r="E24" s="42" t="n"/>
      <c r="F24" s="79" t="n"/>
      <c r="G24" s="79" t="n"/>
      <c r="H24" s="44" t="inlineStr">
        <is>
          <t>RTS Annex VIII(a)</t>
        </is>
      </c>
      <c r="I24" s="45" t="n"/>
      <c r="J24" s="35" t="n"/>
    </row>
    <row r="25">
      <c r="A25" s="39" t="inlineStr">
        <is>
          <t>8.18</t>
        </is>
      </c>
      <c r="B25" s="40" t="inlineStr">
        <is>
          <t>Tester information (internal/external)</t>
        </is>
      </c>
      <c r="C25" s="35" t="inlineStr">
        <is>
          <t>Not Started</t>
        </is>
      </c>
      <c r="D25" s="41" t="inlineStr">
        <is>
          <t>CRITICAL</t>
        </is>
      </c>
      <c r="E25" s="42" t="n"/>
      <c r="F25" s="79" t="n"/>
      <c r="G25" s="79" t="n"/>
      <c r="H25" s="44" t="inlineStr">
        <is>
          <t>RTS Annex VIII(a)</t>
        </is>
      </c>
      <c r="I25" s="45" t="n"/>
      <c r="J25" s="35" t="n"/>
    </row>
    <row r="26">
      <c r="A26" s="39" t="inlineStr">
        <is>
          <t>8.19</t>
        </is>
      </c>
      <c r="B26" s="40" t="inlineStr">
        <is>
          <t>Active testing duration in calendar days</t>
        </is>
      </c>
      <c r="C26" s="35" t="inlineStr">
        <is>
          <t>Not Started</t>
        </is>
      </c>
      <c r="D26" s="41" t="inlineStr">
        <is>
          <t>CRITICAL</t>
        </is>
      </c>
      <c r="E26" s="42" t="n"/>
      <c r="F26" s="79" t="n"/>
      <c r="G26" s="79" t="n"/>
      <c r="H26" s="44" t="inlineStr">
        <is>
          <t>RTS Annex VIII(a)</t>
        </is>
      </c>
      <c r="I26" s="45" t="n"/>
      <c r="J26" s="35" t="n"/>
    </row>
    <row r="27">
      <c r="A27" s="39" t="inlineStr">
        <is>
          <t>8.20</t>
        </is>
      </c>
      <c r="B27" s="40" t="inlineStr">
        <is>
          <t>Other participating TLPT authorities (if applicable)</t>
        </is>
      </c>
      <c r="C27" s="35" t="inlineStr">
        <is>
          <t>Not Started</t>
        </is>
      </c>
      <c r="D27" s="46" t="inlineStr">
        <is>
          <t>HIGH</t>
        </is>
      </c>
      <c r="E27" s="42" t="n"/>
      <c r="F27" s="79" t="n"/>
      <c r="G27" s="79" t="n"/>
      <c r="H27" s="44" t="inlineStr">
        <is>
          <t>RTS Annex VIII(b)</t>
        </is>
      </c>
      <c r="I27" s="45" t="n"/>
      <c r="J27" s="35" t="n"/>
    </row>
    <row r="28">
      <c r="A28" s="39" t="inlineStr">
        <is>
          <t>8.21</t>
        </is>
      </c>
      <c r="B28" s="40" t="inlineStr">
        <is>
          <t>Documents examined</t>
        </is>
      </c>
      <c r="C28" s="35" t="inlineStr">
        <is>
          <t>Not Started</t>
        </is>
      </c>
      <c r="D28" s="46" t="inlineStr">
        <is>
          <t>HIGH</t>
        </is>
      </c>
      <c r="E28" s="42" t="n"/>
      <c r="F28" s="79" t="n"/>
      <c r="G28" s="79" t="n"/>
      <c r="H28" s="44" t="inlineStr">
        <is>
          <t>RTS Annex VIII(c)</t>
        </is>
      </c>
      <c r="I28" s="45" t="n"/>
      <c r="J28" s="35" t="n"/>
    </row>
    <row r="29">
      <c r="A29" s="39" t="inlineStr">
        <is>
          <t>8.22</t>
        </is>
      </c>
      <c r="B29" s="40" t="inlineStr">
        <is>
          <t>For cross-border: attestation shared with relevant authorities for mutual recognition</t>
        </is>
      </c>
      <c r="C29" s="35" t="inlineStr">
        <is>
          <t>Not Started</t>
        </is>
      </c>
      <c r="D29" s="41" t="inlineStr">
        <is>
          <t>CRITICAL</t>
        </is>
      </c>
      <c r="E29" s="42" t="n"/>
      <c r="F29" s="79" t="n"/>
      <c r="G29" s="79" t="n"/>
      <c r="H29" s="44" t="inlineStr">
        <is>
          <t>RTS Art. 16(1); DORA Art. 26(7)</t>
        </is>
      </c>
      <c r="I29" s="45" t="n"/>
      <c r="J29" s="35" t="n"/>
    </row>
    <row r="30">
      <c r="A30" s="39" t="inlineStr">
        <is>
          <t>8.23</t>
        </is>
      </c>
      <c r="B30" s="40" t="inlineStr">
        <is>
          <t>Next TLPT cycle planning begins (due within 3 years)</t>
        </is>
      </c>
      <c r="C30" s="35" t="inlineStr">
        <is>
          <t>Not Started</t>
        </is>
      </c>
      <c r="D30" s="46" t="inlineStr">
        <is>
          <t>HIGH</t>
        </is>
      </c>
      <c r="E30" s="42" t="n"/>
      <c r="F30" s="79" t="n"/>
      <c r="G30" s="79" t="n"/>
      <c r="H30" s="44" t="inlineStr">
        <is>
          <t>DORA Art. 26(1)</t>
        </is>
      </c>
      <c r="I30" s="45" t="n"/>
      <c r="J30" s="35" t="n"/>
    </row>
  </sheetData>
  <sheetProtection selectLockedCells="0" selectUnlockedCells="0" sheet="1" objects="0" insertRows="1" insertHyperlinks="1" autoFilter="0" scenarios="0" formatColumns="0" deleteColumns="1" insertColumns="1" pivotTables="1" deleteRows="1" formatCells="1" formatRows="0" sort="0" password="CE4B"/>
  <mergeCells count="4">
    <mergeCell ref="A1:J1"/>
    <mergeCell ref="A4:J4"/>
    <mergeCell ref="A3:J3"/>
    <mergeCell ref="A17:J17"/>
  </mergeCells>
  <conditionalFormatting sqref="A5:J30">
    <cfRule type="expression" priority="1" dxfId="4" stopIfTrue="1">
      <formula>$C5="N/A"</formula>
    </cfRule>
    <cfRule type="expression" priority="2" dxfId="5" stopIfTrue="1">
      <formula>AND($C5&lt;&gt;"Complete",$C5&lt;&gt;"N/A",$C5&lt;&gt;"",$F5&lt;&gt;"",$F5&lt;TODAY())</formula>
    </cfRule>
    <cfRule type="expression" priority="3" dxfId="0" stopIfTrue="1">
      <formula>$C5="Complete"</formula>
    </cfRule>
  </conditionalFormatting>
  <dataValidations count="4">
    <dataValidation sqref="C5:C30" showDropDown="0" showInputMessage="0" showErrorMessage="0" allowBlank="1" errorTitle="Invalid Status" error="Select: Not Started, In Progress, Complete, N/A" type="list">
      <formula1>"Not Started,In Progress,Complete,N/A"</formula1>
    </dataValidation>
    <dataValidation sqref="J5:J30" showDropDown="0" showInputMessage="0" showErrorMessage="0" allowBlank="1" errorTitle="Invalid Risk" error="Select: High, Medium, Low" type="list">
      <formula1>"High,Medium,Low"</formula1>
    </dataValidation>
    <dataValidation sqref="F5:F30" showDropDown="0" showInputMessage="0" showErrorMessage="1" allowBlank="1" errorTitle="Invalid Date" error="Please enter a valid date" type="date" operator="greaterThan">
      <formula1>2020-01-01</formula1>
    </dataValidation>
    <dataValidation sqref="G5:G30" showDropDown="0" showInputMessage="0" showErrorMessage="1" allowBlank="1" errorTitle="Invalid Date" error="Please enter a valid date" type="date" operator="greaterThan">
      <formula1>2020-01-01</formula1>
    </dataValidation>
  </dataValidations>
  <hyperlinks>
    <hyperlink xmlns:r="http://schemas.openxmlformats.org/officeDocument/2006/relationships" ref="H5" r:id="rId1"/>
    <hyperlink xmlns:r="http://schemas.openxmlformats.org/officeDocument/2006/relationships" ref="H6" r:id="rId2"/>
    <hyperlink xmlns:r="http://schemas.openxmlformats.org/officeDocument/2006/relationships" ref="H7" r:id="rId3"/>
    <hyperlink xmlns:r="http://schemas.openxmlformats.org/officeDocument/2006/relationships" ref="H8" r:id="rId4"/>
    <hyperlink xmlns:r="http://schemas.openxmlformats.org/officeDocument/2006/relationships" ref="H9" r:id="rId5"/>
    <hyperlink xmlns:r="http://schemas.openxmlformats.org/officeDocument/2006/relationships" ref="H11" r:id="rId6"/>
    <hyperlink xmlns:r="http://schemas.openxmlformats.org/officeDocument/2006/relationships" ref="H12" r:id="rId7"/>
    <hyperlink xmlns:r="http://schemas.openxmlformats.org/officeDocument/2006/relationships" ref="H14" r:id="rId8"/>
    <hyperlink xmlns:r="http://schemas.openxmlformats.org/officeDocument/2006/relationships" ref="H15" r:id="rId9"/>
    <hyperlink xmlns:r="http://schemas.openxmlformats.org/officeDocument/2006/relationships" ref="H16" r:id="rId10"/>
    <hyperlink xmlns:r="http://schemas.openxmlformats.org/officeDocument/2006/relationships" ref="H18" r:id="rId11"/>
    <hyperlink xmlns:r="http://schemas.openxmlformats.org/officeDocument/2006/relationships" ref="H19" r:id="rId12"/>
    <hyperlink xmlns:r="http://schemas.openxmlformats.org/officeDocument/2006/relationships" ref="H20" r:id="rId13"/>
    <hyperlink xmlns:r="http://schemas.openxmlformats.org/officeDocument/2006/relationships" ref="H21" r:id="rId14"/>
    <hyperlink xmlns:r="http://schemas.openxmlformats.org/officeDocument/2006/relationships" ref="H22" r:id="rId15"/>
    <hyperlink xmlns:r="http://schemas.openxmlformats.org/officeDocument/2006/relationships" ref="H23" r:id="rId16"/>
    <hyperlink xmlns:r="http://schemas.openxmlformats.org/officeDocument/2006/relationships" ref="H24" r:id="rId17"/>
    <hyperlink xmlns:r="http://schemas.openxmlformats.org/officeDocument/2006/relationships" ref="H25" r:id="rId18"/>
    <hyperlink xmlns:r="http://schemas.openxmlformats.org/officeDocument/2006/relationships" ref="H26" r:id="rId19"/>
    <hyperlink xmlns:r="http://schemas.openxmlformats.org/officeDocument/2006/relationships" ref="H27" r:id="rId20"/>
    <hyperlink xmlns:r="http://schemas.openxmlformats.org/officeDocument/2006/relationships" ref="H28" r:id="rId21"/>
    <hyperlink xmlns:r="http://schemas.openxmlformats.org/officeDocument/2006/relationships" ref="H29" r:id="rId22"/>
    <hyperlink xmlns:r="http://schemas.openxmlformats.org/officeDocument/2006/relationships" ref="H30" r:id="rId23"/>
  </hyperlinks>
  <pageMargins left="0.75" right="0.75" top="1" bottom="1" header="0.5" footer="0.5"/>
  <pageSetup orientation="landscape" fitToHeight="0" fitToWidth="1"/>
  <headerFooter>
    <oddHeader>&amp;LAFINE | TLPT DORA Readiness Tracker&amp;RPage &amp;P of &amp;N</oddHeader>
    <oddFooter>&amp;CAFINE sp. z o.o. | afine.com</oddFooter>
    <evenHeader/>
    <evenFooter/>
    <firstHeader/>
    <firstFooter/>
  </headerFooter>
</worksheet>
</file>

<file path=xl/worksheets/sheet11.xml><?xml version="1.0" encoding="utf-8"?>
<worksheet xmlns="http://schemas.openxmlformats.org/spreadsheetml/2006/main">
  <sheetPr>
    <tabColor rgb="00F2994A"/>
    <outlinePr summaryBelow="1" summaryRight="1"/>
    <pageSetUpPr fitToPage="1"/>
  </sheetPr>
  <dimension ref="A1:BP22"/>
  <sheetViews>
    <sheetView workbookViewId="0">
      <pane xSplit="2" ySplit="2" topLeftCell="C3" activePane="bottomRight" state="frozen"/>
      <selection pane="topRight" activeCell="A1" sqref="A1"/>
      <selection pane="bottomLeft" activeCell="A1" sqref="A1"/>
      <selection pane="bottomRight" activeCell="A1" sqref="A1"/>
    </sheetView>
  </sheetViews>
  <sheetFormatPr baseColWidth="8" defaultRowHeight="15"/>
  <cols>
    <col width="30" customWidth="1" min="1" max="1"/>
    <col width="12" customWidth="1" min="2" max="2"/>
    <col width="14" customWidth="1" min="3" max="3"/>
    <col width="14" customWidth="1" min="4" max="4"/>
    <col width="12" customWidth="1" min="5" max="5"/>
    <col width="12" customWidth="1" min="6" max="6"/>
    <col width="22" customWidth="1" min="7" max="7"/>
    <col width="25" customWidth="1" min="8" max="8"/>
    <col width="3" customWidth="1" min="9" max="9"/>
    <col width="3" customWidth="1" min="10" max="10"/>
    <col width="3" customWidth="1" min="11" max="11"/>
    <col width="3" customWidth="1" min="12" max="12"/>
    <col width="3" customWidth="1" min="13" max="13"/>
    <col width="3" customWidth="1" min="14" max="14"/>
    <col width="3" customWidth="1" min="15" max="15"/>
    <col width="3" customWidth="1" min="16" max="16"/>
    <col width="3" customWidth="1" min="17" max="17"/>
    <col width="3" customWidth="1" min="18" max="18"/>
    <col width="3" customWidth="1" min="19" max="19"/>
    <col width="3" customWidth="1" min="20" max="20"/>
    <col width="3" customWidth="1" min="21" max="21"/>
    <col width="3" customWidth="1" min="22" max="22"/>
    <col width="3" customWidth="1" min="23" max="23"/>
    <col width="3" customWidth="1" min="24" max="24"/>
    <col width="3" customWidth="1" min="25" max="25"/>
    <col width="3" customWidth="1" min="26" max="26"/>
    <col width="3" customWidth="1" min="27" max="27"/>
    <col width="3" customWidth="1" min="28" max="28"/>
    <col width="3" customWidth="1" min="29" max="29"/>
    <col width="3" customWidth="1" min="30" max="30"/>
    <col width="3" customWidth="1" min="31" max="31"/>
    <col width="3" customWidth="1" min="32" max="32"/>
    <col width="3" customWidth="1" min="33" max="33"/>
    <col width="3" customWidth="1" min="34" max="34"/>
    <col width="3" customWidth="1" min="35" max="35"/>
    <col width="3" customWidth="1" min="36" max="36"/>
    <col width="3" customWidth="1" min="37" max="37"/>
    <col width="3" customWidth="1" min="38" max="38"/>
    <col width="3" customWidth="1" min="39" max="39"/>
    <col width="3" customWidth="1" min="40" max="40"/>
    <col width="3" customWidth="1" min="41" max="41"/>
    <col width="3" customWidth="1" min="42" max="42"/>
    <col width="3" customWidth="1" min="43" max="43"/>
    <col width="3" customWidth="1" min="44" max="44"/>
    <col width="3" customWidth="1" min="45" max="45"/>
    <col width="3" customWidth="1" min="46" max="46"/>
    <col width="3" customWidth="1" min="47" max="47"/>
    <col width="3" customWidth="1" min="48" max="48"/>
    <col width="3" customWidth="1" min="49" max="49"/>
    <col width="3" customWidth="1" min="50" max="50"/>
    <col width="3" customWidth="1" min="51" max="51"/>
    <col width="3" customWidth="1" min="52" max="52"/>
    <col width="3" customWidth="1" min="53" max="53"/>
    <col width="3" customWidth="1" min="54" max="54"/>
    <col width="3" customWidth="1" min="55" max="55"/>
    <col width="3" customWidth="1" min="56" max="56"/>
    <col width="3" customWidth="1" min="57" max="57"/>
    <col width="3" customWidth="1" min="58" max="58"/>
    <col width="3" customWidth="1" min="59" max="59"/>
    <col width="3" customWidth="1" min="60" max="60"/>
    <col width="3" customWidth="1" min="61" max="61"/>
    <col width="3" customWidth="1" min="62" max="62"/>
    <col width="3" customWidth="1" min="63" max="63"/>
    <col width="3" customWidth="1" min="64" max="64"/>
    <col width="3" customWidth="1" min="65" max="65"/>
    <col width="3" customWidth="1" min="66" max="66"/>
    <col width="3" customWidth="1" min="67" max="67"/>
    <col width="3" customWidth="1" min="68" max="68"/>
  </cols>
  <sheetData>
    <row r="1">
      <c r="A1" s="36" t="inlineStr">
        <is>
          <t>TLPT TIMELINE PLANNER</t>
        </is>
      </c>
      <c r="I1" s="15" t="n"/>
      <c r="J1" s="15" t="n"/>
      <c r="K1" s="15" t="n"/>
      <c r="L1" s="15" t="n"/>
      <c r="M1" s="15" t="n"/>
      <c r="N1" s="15" t="n"/>
      <c r="O1" s="15" t="n"/>
      <c r="P1" s="15" t="n"/>
      <c r="Q1" s="15" t="n"/>
      <c r="R1" s="15" t="n"/>
      <c r="S1" s="15" t="n"/>
      <c r="T1" s="15" t="n"/>
      <c r="U1" s="15" t="n"/>
      <c r="V1" s="15" t="n"/>
      <c r="W1" s="15" t="n"/>
      <c r="X1" s="15" t="n"/>
      <c r="Y1" s="15" t="n"/>
      <c r="Z1" s="15" t="n"/>
      <c r="AA1" s="15" t="n"/>
      <c r="AB1" s="15" t="n"/>
      <c r="AC1" s="15" t="n"/>
      <c r="AD1" s="15" t="n"/>
      <c r="AE1" s="15" t="n"/>
      <c r="AF1" s="15" t="n"/>
      <c r="AG1" s="15" t="n"/>
      <c r="AH1" s="15" t="n"/>
      <c r="AI1" s="15" t="n"/>
      <c r="AJ1" s="15" t="n"/>
      <c r="AK1" s="15" t="n"/>
      <c r="AL1" s="15" t="n"/>
      <c r="AM1" s="15" t="n"/>
      <c r="AN1" s="15" t="n"/>
      <c r="AO1" s="15" t="n"/>
      <c r="AP1" s="15" t="n"/>
      <c r="AQ1" s="15" t="n"/>
      <c r="AR1" s="15" t="n"/>
      <c r="AS1" s="15" t="n"/>
      <c r="AT1" s="15" t="n"/>
      <c r="AU1" s="15" t="n"/>
      <c r="AV1" s="15" t="n"/>
      <c r="AW1" s="15" t="n"/>
      <c r="AX1" s="15" t="n"/>
      <c r="AY1" s="15" t="n"/>
      <c r="AZ1" s="15" t="n"/>
      <c r="BA1" s="15" t="n"/>
      <c r="BB1" s="15" t="n"/>
      <c r="BC1" s="15" t="n"/>
      <c r="BD1" s="15" t="n"/>
      <c r="BE1" s="15" t="n"/>
      <c r="BF1" s="15" t="n"/>
      <c r="BG1" s="15" t="n"/>
      <c r="BH1" s="15" t="n"/>
      <c r="BI1" s="15" t="n"/>
      <c r="BJ1" s="15" t="n"/>
      <c r="BK1" s="15" t="n"/>
      <c r="BL1" s="15" t="n"/>
      <c r="BM1" s="15" t="n"/>
      <c r="BN1" s="15" t="n"/>
      <c r="BO1" s="15" t="n"/>
      <c r="BP1" s="15" t="n"/>
    </row>
    <row r="2">
      <c r="A2" s="37" t="inlineStr">
        <is>
          <t>Phase / Milestone</t>
        </is>
      </c>
      <c r="B2" s="37" t="inlineStr">
        <is>
          <t>Duration</t>
        </is>
      </c>
      <c r="C2" s="37" t="inlineStr">
        <is>
          <t>Start Date</t>
        </is>
      </c>
      <c r="D2" s="37" t="inlineStr">
        <is>
          <t>End Date</t>
        </is>
      </c>
      <c r="E2" s="37" t="inlineStr">
        <is>
          <t>Days Left</t>
        </is>
      </c>
      <c r="F2" s="37" t="inlineStr">
        <is>
          <t>Status</t>
        </is>
      </c>
      <c r="G2" s="37" t="inlineStr">
        <is>
          <t>RTS Reference</t>
        </is>
      </c>
      <c r="H2" s="37" t="inlineStr">
        <is>
          <t>Notes</t>
        </is>
      </c>
      <c r="I2" s="80">
        <f>IF(NotificationDate="","",NotificationDate+0)</f>
        <v/>
      </c>
      <c r="J2" s="80">
        <f>IF(NotificationDate="","",NotificationDate+7)</f>
        <v/>
      </c>
      <c r="K2" s="80">
        <f>IF(NotificationDate="","",NotificationDate+14)</f>
        <v/>
      </c>
      <c r="L2" s="80">
        <f>IF(NotificationDate="","",NotificationDate+21)</f>
        <v/>
      </c>
      <c r="M2" s="80">
        <f>IF(NotificationDate="","",NotificationDate+28)</f>
        <v/>
      </c>
      <c r="N2" s="80">
        <f>IF(NotificationDate="","",NotificationDate+35)</f>
        <v/>
      </c>
      <c r="O2" s="80">
        <f>IF(NotificationDate="","",NotificationDate+42)</f>
        <v/>
      </c>
      <c r="P2" s="80">
        <f>IF(NotificationDate="","",NotificationDate+49)</f>
        <v/>
      </c>
      <c r="Q2" s="80">
        <f>IF(NotificationDate="","",NotificationDate+56)</f>
        <v/>
      </c>
      <c r="R2" s="80">
        <f>IF(NotificationDate="","",NotificationDate+63)</f>
        <v/>
      </c>
      <c r="S2" s="80">
        <f>IF(NotificationDate="","",NotificationDate+70)</f>
        <v/>
      </c>
      <c r="T2" s="80">
        <f>IF(NotificationDate="","",NotificationDate+77)</f>
        <v/>
      </c>
      <c r="U2" s="80">
        <f>IF(NotificationDate="","",NotificationDate+84)</f>
        <v/>
      </c>
      <c r="V2" s="80">
        <f>IF(NotificationDate="","",NotificationDate+91)</f>
        <v/>
      </c>
      <c r="W2" s="80">
        <f>IF(NotificationDate="","",NotificationDate+98)</f>
        <v/>
      </c>
      <c r="X2" s="80">
        <f>IF(NotificationDate="","",NotificationDate+105)</f>
        <v/>
      </c>
      <c r="Y2" s="80">
        <f>IF(NotificationDate="","",NotificationDate+112)</f>
        <v/>
      </c>
      <c r="Z2" s="80">
        <f>IF(NotificationDate="","",NotificationDate+119)</f>
        <v/>
      </c>
      <c r="AA2" s="80">
        <f>IF(NotificationDate="","",NotificationDate+126)</f>
        <v/>
      </c>
      <c r="AB2" s="80">
        <f>IF(NotificationDate="","",NotificationDate+133)</f>
        <v/>
      </c>
      <c r="AC2" s="80">
        <f>IF(NotificationDate="","",NotificationDate+140)</f>
        <v/>
      </c>
      <c r="AD2" s="80">
        <f>IF(NotificationDate="","",NotificationDate+147)</f>
        <v/>
      </c>
      <c r="AE2" s="80">
        <f>IF(NotificationDate="","",NotificationDate+154)</f>
        <v/>
      </c>
      <c r="AF2" s="80">
        <f>IF(NotificationDate="","",NotificationDate+161)</f>
        <v/>
      </c>
      <c r="AG2" s="80">
        <f>IF(NotificationDate="","",NotificationDate+168)</f>
        <v/>
      </c>
      <c r="AH2" s="80">
        <f>IF(NotificationDate="","",NotificationDate+175)</f>
        <v/>
      </c>
      <c r="AI2" s="80">
        <f>IF(NotificationDate="","",NotificationDate+182)</f>
        <v/>
      </c>
      <c r="AJ2" s="80">
        <f>IF(NotificationDate="","",NotificationDate+189)</f>
        <v/>
      </c>
      <c r="AK2" s="80">
        <f>IF(NotificationDate="","",NotificationDate+196)</f>
        <v/>
      </c>
      <c r="AL2" s="80">
        <f>IF(NotificationDate="","",NotificationDate+203)</f>
        <v/>
      </c>
      <c r="AM2" s="80">
        <f>IF(NotificationDate="","",NotificationDate+210)</f>
        <v/>
      </c>
      <c r="AN2" s="80">
        <f>IF(NotificationDate="","",NotificationDate+217)</f>
        <v/>
      </c>
      <c r="AO2" s="80">
        <f>IF(NotificationDate="","",NotificationDate+224)</f>
        <v/>
      </c>
      <c r="AP2" s="80">
        <f>IF(NotificationDate="","",NotificationDate+231)</f>
        <v/>
      </c>
      <c r="AQ2" s="80">
        <f>IF(NotificationDate="","",NotificationDate+238)</f>
        <v/>
      </c>
      <c r="AR2" s="80">
        <f>IF(NotificationDate="","",NotificationDate+245)</f>
        <v/>
      </c>
      <c r="AS2" s="80">
        <f>IF(NotificationDate="","",NotificationDate+252)</f>
        <v/>
      </c>
      <c r="AT2" s="80">
        <f>IF(NotificationDate="","",NotificationDate+259)</f>
        <v/>
      </c>
      <c r="AU2" s="80">
        <f>IF(NotificationDate="","",NotificationDate+266)</f>
        <v/>
      </c>
      <c r="AV2" s="80">
        <f>IF(NotificationDate="","",NotificationDate+273)</f>
        <v/>
      </c>
      <c r="AW2" s="80">
        <f>IF(NotificationDate="","",NotificationDate+280)</f>
        <v/>
      </c>
      <c r="AX2" s="80">
        <f>IF(NotificationDate="","",NotificationDate+287)</f>
        <v/>
      </c>
      <c r="AY2" s="80">
        <f>IF(NotificationDate="","",NotificationDate+294)</f>
        <v/>
      </c>
      <c r="AZ2" s="80">
        <f>IF(NotificationDate="","",NotificationDate+301)</f>
        <v/>
      </c>
      <c r="BA2" s="80">
        <f>IF(NotificationDate="","",NotificationDate+308)</f>
        <v/>
      </c>
      <c r="BB2" s="80">
        <f>IF(NotificationDate="","",NotificationDate+315)</f>
        <v/>
      </c>
      <c r="BC2" s="80">
        <f>IF(NotificationDate="","",NotificationDate+322)</f>
        <v/>
      </c>
      <c r="BD2" s="80">
        <f>IF(NotificationDate="","",NotificationDate+329)</f>
        <v/>
      </c>
      <c r="BE2" s="80">
        <f>IF(NotificationDate="","",NotificationDate+336)</f>
        <v/>
      </c>
      <c r="BF2" s="80">
        <f>IF(NotificationDate="","",NotificationDate+343)</f>
        <v/>
      </c>
      <c r="BG2" s="80">
        <f>IF(NotificationDate="","",NotificationDate+350)</f>
        <v/>
      </c>
      <c r="BH2" s="80">
        <f>IF(NotificationDate="","",NotificationDate+357)</f>
        <v/>
      </c>
      <c r="BI2" s="80">
        <f>IF(NotificationDate="","",NotificationDate+364)</f>
        <v/>
      </c>
      <c r="BJ2" s="80">
        <f>IF(NotificationDate="","",NotificationDate+371)</f>
        <v/>
      </c>
      <c r="BK2" s="80">
        <f>IF(NotificationDate="","",NotificationDate+378)</f>
        <v/>
      </c>
      <c r="BL2" s="80">
        <f>IF(NotificationDate="","",NotificationDate+385)</f>
        <v/>
      </c>
      <c r="BM2" s="80">
        <f>IF(NotificationDate="","",NotificationDate+392)</f>
        <v/>
      </c>
      <c r="BN2" s="80">
        <f>IF(NotificationDate="","",NotificationDate+399)</f>
        <v/>
      </c>
      <c r="BO2" s="80">
        <f>IF(NotificationDate="","",NotificationDate+406)</f>
        <v/>
      </c>
      <c r="BP2" s="80">
        <f>IF(NotificationDate="","",NotificationDate+413)</f>
        <v/>
      </c>
    </row>
    <row r="3">
      <c r="A3" s="20" t="inlineStr">
        <is>
          <t>INITIATION</t>
        </is>
      </c>
      <c r="B3" s="39" t="inlineStr">
        <is>
          <t>12 weeks</t>
        </is>
      </c>
      <c r="C3" s="78">
        <f>IF(NotificationDate="","",NotificationDate+0)</f>
        <v/>
      </c>
      <c r="D3" s="78">
        <f>IF(NotificationDate="","",NotificationDate+90)</f>
        <v/>
      </c>
      <c r="E3" s="21">
        <f>IF(D3="","",D3-TODAY())</f>
        <v/>
      </c>
      <c r="F3" s="21">
        <f>IF(E3="","",IF(E3&lt;0,"OVERDUE",IF(E3&lt;14,"IMMINENT","On Track")))</f>
        <v/>
      </c>
      <c r="G3" s="44" t="inlineStr">
        <is>
          <t>RTS Art. 9(2), 9(3)</t>
        </is>
      </c>
      <c r="H3" s="45" t="n"/>
      <c r="I3" s="26" t="n"/>
      <c r="J3" s="26" t="n"/>
      <c r="K3" s="26" t="n"/>
      <c r="L3" s="26" t="n"/>
      <c r="M3" s="26" t="n"/>
      <c r="N3" s="26" t="n"/>
      <c r="O3" s="26" t="n"/>
      <c r="P3" s="26" t="n"/>
      <c r="Q3" s="26" t="n"/>
      <c r="R3" s="26" t="n"/>
      <c r="S3" s="26" t="n"/>
      <c r="T3" s="26" t="n"/>
      <c r="U3" s="26" t="n"/>
      <c r="V3" s="26" t="n"/>
      <c r="W3" s="26" t="n"/>
      <c r="X3" s="26" t="n"/>
      <c r="Y3" s="26" t="n"/>
      <c r="Z3" s="26" t="n"/>
      <c r="AA3" s="26" t="n"/>
      <c r="AB3" s="26" t="n"/>
      <c r="AC3" s="26" t="n"/>
      <c r="AD3" s="26" t="n"/>
      <c r="AE3" s="26" t="n"/>
      <c r="AF3" s="26" t="n"/>
      <c r="AG3" s="26" t="n"/>
      <c r="AH3" s="26" t="n"/>
      <c r="AI3" s="26" t="n"/>
      <c r="AJ3" s="26" t="n"/>
      <c r="AK3" s="26" t="n"/>
      <c r="AL3" s="26" t="n"/>
      <c r="AM3" s="26" t="n"/>
      <c r="AN3" s="26" t="n"/>
      <c r="AO3" s="26" t="n"/>
      <c r="AP3" s="26" t="n"/>
      <c r="AQ3" s="26" t="n"/>
      <c r="AR3" s="26" t="n"/>
      <c r="AS3" s="26" t="n"/>
      <c r="AT3" s="26" t="n"/>
      <c r="AU3" s="26" t="n"/>
      <c r="AV3" s="26" t="n"/>
      <c r="AW3" s="26" t="n"/>
      <c r="AX3" s="26" t="n"/>
      <c r="AY3" s="26" t="n"/>
      <c r="AZ3" s="26" t="n"/>
      <c r="BA3" s="26" t="n"/>
      <c r="BB3" s="26" t="n"/>
      <c r="BC3" s="26" t="n"/>
      <c r="BD3" s="26" t="n"/>
      <c r="BE3" s="26" t="n"/>
      <c r="BF3" s="26" t="n"/>
      <c r="BG3" s="26" t="n"/>
      <c r="BH3" s="26" t="n"/>
      <c r="BI3" s="26" t="n"/>
      <c r="BJ3" s="26" t="n"/>
      <c r="BK3" s="26" t="n"/>
      <c r="BL3" s="26" t="n"/>
      <c r="BM3" s="26" t="n"/>
      <c r="BN3" s="26" t="n"/>
      <c r="BO3" s="26" t="n"/>
      <c r="BP3" s="26" t="n"/>
    </row>
    <row r="4">
      <c r="A4" s="32" t="inlineStr">
        <is>
          <t>Control Team Validation</t>
        </is>
      </c>
      <c r="B4" s="39" t="inlineStr">
        <is>
          <t>6 weeks</t>
        </is>
      </c>
      <c r="C4" s="78">
        <f>IF(NotificationDate="","",NotificationDate+30)</f>
        <v/>
      </c>
      <c r="D4" s="78">
        <f>IF(NotificationDate="","",NotificationDate+75)</f>
        <v/>
      </c>
      <c r="E4" s="21">
        <f>IF(D4="","",D4-TODAY())</f>
        <v/>
      </c>
      <c r="F4" s="21">
        <f>IF(E4="","",IF(E4&lt;0,"OVERDUE",IF(E4&lt;14,"IMMINENT","On Track")))</f>
        <v/>
      </c>
      <c r="G4" s="44" t="inlineStr">
        <is>
          <t>RTS Art. 9(4), 9(5)</t>
        </is>
      </c>
      <c r="H4" s="45" t="n"/>
      <c r="I4" s="26" t="n"/>
      <c r="J4" s="26" t="n"/>
      <c r="K4" s="26" t="n"/>
      <c r="L4" s="26" t="n"/>
      <c r="M4" s="26" t="n"/>
      <c r="N4" s="26" t="n"/>
      <c r="O4" s="26" t="n"/>
      <c r="P4" s="26" t="n"/>
      <c r="Q4" s="26" t="n"/>
      <c r="R4" s="26" t="n"/>
      <c r="S4" s="26" t="n"/>
      <c r="T4" s="26" t="n"/>
      <c r="U4" s="26" t="n"/>
      <c r="V4" s="26" t="n"/>
      <c r="W4" s="26" t="n"/>
      <c r="X4" s="26" t="n"/>
      <c r="Y4" s="26" t="n"/>
      <c r="Z4" s="26" t="n"/>
      <c r="AA4" s="26" t="n"/>
      <c r="AB4" s="26" t="n"/>
      <c r="AC4" s="26" t="n"/>
      <c r="AD4" s="26" t="n"/>
      <c r="AE4" s="26" t="n"/>
      <c r="AF4" s="26" t="n"/>
      <c r="AG4" s="26" t="n"/>
      <c r="AH4" s="26" t="n"/>
      <c r="AI4" s="26" t="n"/>
      <c r="AJ4" s="26" t="n"/>
      <c r="AK4" s="26" t="n"/>
      <c r="AL4" s="26" t="n"/>
      <c r="AM4" s="26" t="n"/>
      <c r="AN4" s="26" t="n"/>
      <c r="AO4" s="26" t="n"/>
      <c r="AP4" s="26" t="n"/>
      <c r="AQ4" s="26" t="n"/>
      <c r="AR4" s="26" t="n"/>
      <c r="AS4" s="26" t="n"/>
      <c r="AT4" s="26" t="n"/>
      <c r="AU4" s="26" t="n"/>
      <c r="AV4" s="26" t="n"/>
      <c r="AW4" s="26" t="n"/>
      <c r="AX4" s="26" t="n"/>
      <c r="AY4" s="26" t="n"/>
      <c r="AZ4" s="26" t="n"/>
      <c r="BA4" s="26" t="n"/>
      <c r="BB4" s="26" t="n"/>
      <c r="BC4" s="26" t="n"/>
      <c r="BD4" s="26" t="n"/>
      <c r="BE4" s="26" t="n"/>
      <c r="BF4" s="26" t="n"/>
      <c r="BG4" s="26" t="n"/>
      <c r="BH4" s="26" t="n"/>
      <c r="BI4" s="26" t="n"/>
      <c r="BJ4" s="26" t="n"/>
      <c r="BK4" s="26" t="n"/>
      <c r="BL4" s="26" t="n"/>
      <c r="BM4" s="26" t="n"/>
      <c r="BN4" s="26" t="n"/>
      <c r="BO4" s="26" t="n"/>
      <c r="BP4" s="26" t="n"/>
    </row>
    <row r="5">
      <c r="A5" s="20" t="inlineStr">
        <is>
          <t>SCOPE SPECIFICATION</t>
        </is>
      </c>
      <c r="B5" s="39" t="inlineStr">
        <is>
          <t>17 weeks</t>
        </is>
      </c>
      <c r="C5" s="78">
        <f>IF(NotificationDate="","",NotificationDate+60)</f>
        <v/>
      </c>
      <c r="D5" s="78">
        <f>IF(NotificationDate="","",NotificationDate+180)</f>
        <v/>
      </c>
      <c r="E5" s="21">
        <f>IF(D5="","",D5-TODAY())</f>
        <v/>
      </c>
      <c r="F5" s="21">
        <f>IF(E5="","",IF(E5&lt;0,"OVERDUE",IF(E5&lt;14,"IMMINENT","On Track")))</f>
        <v/>
      </c>
      <c r="G5" s="44" t="inlineStr">
        <is>
          <t>RTS Art. 9(6), 9(12)</t>
        </is>
      </c>
      <c r="H5" s="45" t="n"/>
      <c r="I5" s="26" t="n"/>
      <c r="J5" s="26" t="n"/>
      <c r="K5" s="26" t="n"/>
      <c r="L5" s="26" t="n"/>
      <c r="M5" s="26" t="n"/>
      <c r="N5" s="26" t="n"/>
      <c r="O5" s="26" t="n"/>
      <c r="P5" s="26" t="n"/>
      <c r="Q5" s="26" t="n"/>
      <c r="R5" s="26" t="n"/>
      <c r="S5" s="26" t="n"/>
      <c r="T5" s="26" t="n"/>
      <c r="U5" s="26" t="n"/>
      <c r="V5" s="26" t="n"/>
      <c r="W5" s="26" t="n"/>
      <c r="X5" s="26" t="n"/>
      <c r="Y5" s="26" t="n"/>
      <c r="Z5" s="26" t="n"/>
      <c r="AA5" s="26" t="n"/>
      <c r="AB5" s="26" t="n"/>
      <c r="AC5" s="26" t="n"/>
      <c r="AD5" s="26" t="n"/>
      <c r="AE5" s="26" t="n"/>
      <c r="AF5" s="26" t="n"/>
      <c r="AG5" s="26" t="n"/>
      <c r="AH5" s="26" t="n"/>
      <c r="AI5" s="26" t="n"/>
      <c r="AJ5" s="26" t="n"/>
      <c r="AK5" s="26" t="n"/>
      <c r="AL5" s="26" t="n"/>
      <c r="AM5" s="26" t="n"/>
      <c r="AN5" s="26" t="n"/>
      <c r="AO5" s="26" t="n"/>
      <c r="AP5" s="26" t="n"/>
      <c r="AQ5" s="26" t="n"/>
      <c r="AR5" s="26" t="n"/>
      <c r="AS5" s="26" t="n"/>
      <c r="AT5" s="26" t="n"/>
      <c r="AU5" s="26" t="n"/>
      <c r="AV5" s="26" t="n"/>
      <c r="AW5" s="26" t="n"/>
      <c r="AX5" s="26" t="n"/>
      <c r="AY5" s="26" t="n"/>
      <c r="AZ5" s="26" t="n"/>
      <c r="BA5" s="26" t="n"/>
      <c r="BB5" s="26" t="n"/>
      <c r="BC5" s="26" t="n"/>
      <c r="BD5" s="26" t="n"/>
      <c r="BE5" s="26" t="n"/>
      <c r="BF5" s="26" t="n"/>
      <c r="BG5" s="26" t="n"/>
      <c r="BH5" s="26" t="n"/>
      <c r="BI5" s="26" t="n"/>
      <c r="BJ5" s="26" t="n"/>
      <c r="BK5" s="26" t="n"/>
      <c r="BL5" s="26" t="n"/>
      <c r="BM5" s="26" t="n"/>
      <c r="BN5" s="26" t="n"/>
      <c r="BO5" s="26" t="n"/>
      <c r="BP5" s="26" t="n"/>
    </row>
    <row r="6">
      <c r="A6" s="32" t="inlineStr">
        <is>
          <t>Cross-border Coordination</t>
        </is>
      </c>
      <c r="B6" s="39" t="inlineStr">
        <is>
          <t>8 weeks</t>
        </is>
      </c>
      <c r="C6" s="78">
        <f>IF(NotificationDate="","",NotificationDate+90)</f>
        <v/>
      </c>
      <c r="D6" s="78">
        <f>IF(NotificationDate="","",NotificationDate+150)</f>
        <v/>
      </c>
      <c r="E6" s="21">
        <f>IF(D6="","",D6-TODAY())</f>
        <v/>
      </c>
      <c r="F6" s="21">
        <f>IF(E6="","",IF(E6&lt;0,"OVERDUE",IF(E6&lt;14,"IMMINENT","On Track")))</f>
        <v/>
      </c>
      <c r="G6" s="44" t="inlineStr">
        <is>
          <t>RTS Art. 16(1)</t>
        </is>
      </c>
      <c r="H6" s="45" t="n"/>
      <c r="I6" s="26" t="n"/>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6" t="n"/>
      <c r="AM6" s="26" t="n"/>
      <c r="AN6" s="26" t="n"/>
      <c r="AO6" s="26" t="n"/>
      <c r="AP6" s="26" t="n"/>
      <c r="AQ6" s="26" t="n"/>
      <c r="AR6" s="26" t="n"/>
      <c r="AS6" s="26" t="n"/>
      <c r="AT6" s="26" t="n"/>
      <c r="AU6" s="26" t="n"/>
      <c r="AV6" s="26" t="n"/>
      <c r="AW6" s="26" t="n"/>
      <c r="AX6" s="26" t="n"/>
      <c r="AY6" s="26" t="n"/>
      <c r="AZ6" s="26" t="n"/>
      <c r="BA6" s="26" t="n"/>
      <c r="BB6" s="26" t="n"/>
      <c r="BC6" s="26" t="n"/>
      <c r="BD6" s="26" t="n"/>
      <c r="BE6" s="26" t="n"/>
      <c r="BF6" s="26" t="n"/>
      <c r="BG6" s="26" t="n"/>
      <c r="BH6" s="26" t="n"/>
      <c r="BI6" s="26" t="n"/>
      <c r="BJ6" s="26" t="n"/>
      <c r="BK6" s="26" t="n"/>
      <c r="BL6" s="26" t="n"/>
      <c r="BM6" s="26" t="n"/>
      <c r="BN6" s="26" t="n"/>
      <c r="BO6" s="26" t="n"/>
      <c r="BP6" s="26" t="n"/>
    </row>
    <row r="7">
      <c r="A7" s="32" t="inlineStr">
        <is>
          <t>Provider Compliance Verification</t>
        </is>
      </c>
      <c r="B7" s="39" t="inlineStr">
        <is>
          <t>8 weeks</t>
        </is>
      </c>
      <c r="C7" s="78">
        <f>IF(NotificationDate="","",NotificationDate+120)</f>
        <v/>
      </c>
      <c r="D7" s="78">
        <f>IF(NotificationDate="","",NotificationDate+180)</f>
        <v/>
      </c>
      <c r="E7" s="21">
        <f>IF(D7="","",D7-TODAY())</f>
        <v/>
      </c>
      <c r="F7" s="21">
        <f>IF(E7="","",IF(E7&lt;0,"OVERDUE",IF(E7&lt;14,"IMMINENT","On Track")))</f>
        <v/>
      </c>
      <c r="G7" s="44" t="inlineStr">
        <is>
          <t>RTS Art. 9(11)</t>
        </is>
      </c>
      <c r="H7" s="45" t="n"/>
      <c r="I7" s="26" t="n"/>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6" t="n"/>
      <c r="AM7" s="26" t="n"/>
      <c r="AN7" s="26" t="n"/>
      <c r="AO7" s="26" t="n"/>
      <c r="AP7" s="26" t="n"/>
      <c r="AQ7" s="26" t="n"/>
      <c r="AR7" s="26" t="n"/>
      <c r="AS7" s="26" t="n"/>
      <c r="AT7" s="26" t="n"/>
      <c r="AU7" s="26" t="n"/>
      <c r="AV7" s="26" t="n"/>
      <c r="AW7" s="26" t="n"/>
      <c r="AX7" s="26" t="n"/>
      <c r="AY7" s="26" t="n"/>
      <c r="AZ7" s="26" t="n"/>
      <c r="BA7" s="26" t="n"/>
      <c r="BB7" s="26" t="n"/>
      <c r="BC7" s="26" t="n"/>
      <c r="BD7" s="26" t="n"/>
      <c r="BE7" s="26" t="n"/>
      <c r="BF7" s="26" t="n"/>
      <c r="BG7" s="26" t="n"/>
      <c r="BH7" s="26" t="n"/>
      <c r="BI7" s="26" t="n"/>
      <c r="BJ7" s="26" t="n"/>
      <c r="BK7" s="26" t="n"/>
      <c r="BL7" s="26" t="n"/>
      <c r="BM7" s="26" t="n"/>
      <c r="BN7" s="26" t="n"/>
      <c r="BO7" s="26" t="n"/>
      <c r="BP7" s="26" t="n"/>
    </row>
    <row r="8">
      <c r="A8" s="32" t="inlineStr">
        <is>
          <t>Risk Assessment of TLPT</t>
        </is>
      </c>
      <c r="B8" s="39" t="inlineStr">
        <is>
          <t>7 weeks</t>
        </is>
      </c>
      <c r="C8" s="78">
        <f>IF(NotificationDate="","",NotificationDate+130)</f>
        <v/>
      </c>
      <c r="D8" s="78">
        <f>IF(NotificationDate="","",NotificationDate+180)</f>
        <v/>
      </c>
      <c r="E8" s="21">
        <f>IF(D8="","",D8-TODAY())</f>
        <v/>
      </c>
      <c r="F8" s="21">
        <f>IF(E8="","",IF(E8&lt;0,"OVERDUE",IF(E8&lt;14,"IMMINENT","On Track")))</f>
        <v/>
      </c>
      <c r="G8" s="44" t="inlineStr">
        <is>
          <t>RTS Art. 5; Art. 9(10)</t>
        </is>
      </c>
      <c r="H8" s="45" t="n"/>
      <c r="I8" s="26" t="n"/>
      <c r="J8" s="26" t="n"/>
      <c r="K8" s="26" t="n"/>
      <c r="L8" s="26" t="n"/>
      <c r="M8" s="26" t="n"/>
      <c r="N8" s="26" t="n"/>
      <c r="O8" s="26" t="n"/>
      <c r="P8" s="26" t="n"/>
      <c r="Q8" s="26" t="n"/>
      <c r="R8" s="26" t="n"/>
      <c r="S8" s="26" t="n"/>
      <c r="T8" s="26" t="n"/>
      <c r="U8" s="26" t="n"/>
      <c r="V8" s="26" t="n"/>
      <c r="W8" s="26" t="n"/>
      <c r="X8" s="26" t="n"/>
      <c r="Y8" s="26" t="n"/>
      <c r="Z8" s="26" t="n"/>
      <c r="AA8" s="26" t="n"/>
      <c r="AB8" s="26" t="n"/>
      <c r="AC8" s="26" t="n"/>
      <c r="AD8" s="26" t="n"/>
      <c r="AE8" s="26" t="n"/>
      <c r="AF8" s="26" t="n"/>
      <c r="AG8" s="26" t="n"/>
      <c r="AH8" s="26" t="n"/>
      <c r="AI8" s="26" t="n"/>
      <c r="AJ8" s="26" t="n"/>
      <c r="AK8" s="26" t="n"/>
      <c r="AL8" s="26" t="n"/>
      <c r="AM8" s="26" t="n"/>
      <c r="AN8" s="26" t="n"/>
      <c r="AO8" s="26" t="n"/>
      <c r="AP8" s="26" t="n"/>
      <c r="AQ8" s="26" t="n"/>
      <c r="AR8" s="26" t="n"/>
      <c r="AS8" s="26" t="n"/>
      <c r="AT8" s="26" t="n"/>
      <c r="AU8" s="26" t="n"/>
      <c r="AV8" s="26" t="n"/>
      <c r="AW8" s="26" t="n"/>
      <c r="AX8" s="26" t="n"/>
      <c r="AY8" s="26" t="n"/>
      <c r="AZ8" s="26" t="n"/>
      <c r="BA8" s="26" t="n"/>
      <c r="BB8" s="26" t="n"/>
      <c r="BC8" s="26" t="n"/>
      <c r="BD8" s="26" t="n"/>
      <c r="BE8" s="26" t="n"/>
      <c r="BF8" s="26" t="n"/>
      <c r="BG8" s="26" t="n"/>
      <c r="BH8" s="26" t="n"/>
      <c r="BI8" s="26" t="n"/>
      <c r="BJ8" s="26" t="n"/>
      <c r="BK8" s="26" t="n"/>
      <c r="BL8" s="26" t="n"/>
      <c r="BM8" s="26" t="n"/>
      <c r="BN8" s="26" t="n"/>
      <c r="BO8" s="26" t="n"/>
      <c r="BP8" s="26" t="n"/>
    </row>
    <row r="9">
      <c r="A9" s="20" t="inlineStr">
        <is>
          <t>THREAT INTELLIGENCE</t>
        </is>
      </c>
      <c r="B9" s="39" t="inlineStr">
        <is>
          <t>6 weeks</t>
        </is>
      </c>
      <c r="C9" s="78">
        <f>IF(NotificationDate="","",NotificationDate+180)</f>
        <v/>
      </c>
      <c r="D9" s="78">
        <f>IF(NotificationDate="","",NotificationDate+225)</f>
        <v/>
      </c>
      <c r="E9" s="21">
        <f>IF(D9="","",D9-TODAY())</f>
        <v/>
      </c>
      <c r="F9" s="21">
        <f>IF(E9="","",IF(E9&lt;0,"OVERDUE",IF(E9&lt;14,"IMMINENT","On Track")))</f>
        <v/>
      </c>
      <c r="G9" s="44" t="inlineStr">
        <is>
          <t>RTS Art. 10</t>
        </is>
      </c>
      <c r="H9" s="45" t="n"/>
      <c r="I9" s="26" t="n"/>
      <c r="J9" s="26" t="n"/>
      <c r="K9" s="26" t="n"/>
      <c r="L9" s="26" t="n"/>
      <c r="M9" s="26" t="n"/>
      <c r="N9" s="26" t="n"/>
      <c r="O9" s="26" t="n"/>
      <c r="P9" s="26" t="n"/>
      <c r="Q9" s="26" t="n"/>
      <c r="R9" s="26" t="n"/>
      <c r="S9" s="26" t="n"/>
      <c r="T9" s="26" t="n"/>
      <c r="U9" s="26" t="n"/>
      <c r="V9" s="26" t="n"/>
      <c r="W9" s="26" t="n"/>
      <c r="X9" s="26" t="n"/>
      <c r="Y9" s="26" t="n"/>
      <c r="Z9" s="26" t="n"/>
      <c r="AA9" s="26" t="n"/>
      <c r="AB9" s="26" t="n"/>
      <c r="AC9" s="26" t="n"/>
      <c r="AD9" s="26" t="n"/>
      <c r="AE9" s="26" t="n"/>
      <c r="AF9" s="26" t="n"/>
      <c r="AG9" s="26" t="n"/>
      <c r="AH9" s="26" t="n"/>
      <c r="AI9" s="26" t="n"/>
      <c r="AJ9" s="26" t="n"/>
      <c r="AK9" s="26" t="n"/>
      <c r="AL9" s="26" t="n"/>
      <c r="AM9" s="26" t="n"/>
      <c r="AN9" s="26" t="n"/>
      <c r="AO9" s="26" t="n"/>
      <c r="AP9" s="26" t="n"/>
      <c r="AQ9" s="26" t="n"/>
      <c r="AR9" s="26" t="n"/>
      <c r="AS9" s="26" t="n"/>
      <c r="AT9" s="26" t="n"/>
      <c r="AU9" s="26" t="n"/>
      <c r="AV9" s="26" t="n"/>
      <c r="AW9" s="26" t="n"/>
      <c r="AX9" s="26" t="n"/>
      <c r="AY9" s="26" t="n"/>
      <c r="AZ9" s="26" t="n"/>
      <c r="BA9" s="26" t="n"/>
      <c r="BB9" s="26" t="n"/>
      <c r="BC9" s="26" t="n"/>
      <c r="BD9" s="26" t="n"/>
      <c r="BE9" s="26" t="n"/>
      <c r="BF9" s="26" t="n"/>
      <c r="BG9" s="26" t="n"/>
      <c r="BH9" s="26" t="n"/>
      <c r="BI9" s="26" t="n"/>
      <c r="BJ9" s="26" t="n"/>
      <c r="BK9" s="26" t="n"/>
      <c r="BL9" s="26" t="n"/>
      <c r="BM9" s="26" t="n"/>
      <c r="BN9" s="26" t="n"/>
      <c r="BO9" s="26" t="n"/>
      <c r="BP9" s="26" t="n"/>
    </row>
    <row r="10">
      <c r="A10" s="32" t="inlineStr">
        <is>
          <t>TI Gathering and Analysis</t>
        </is>
      </c>
      <c r="B10" s="39" t="inlineStr">
        <is>
          <t>4 weeks</t>
        </is>
      </c>
      <c r="C10" s="78">
        <f>IF(NotificationDate="","",NotificationDate+180)</f>
        <v/>
      </c>
      <c r="D10" s="78">
        <f>IF(NotificationDate="","",NotificationDate+210)</f>
        <v/>
      </c>
      <c r="E10" s="21">
        <f>IF(D10="","",D10-TODAY())</f>
        <v/>
      </c>
      <c r="F10" s="21">
        <f>IF(E10="","",IF(E10&lt;0,"OVERDUE",IF(E10&lt;14,"IMMINENT","On Track")))</f>
        <v/>
      </c>
      <c r="G10" s="44" t="inlineStr">
        <is>
          <t>RTS Art. 10(1)</t>
        </is>
      </c>
      <c r="H10" s="45" t="n"/>
      <c r="I10" s="26" t="n"/>
      <c r="J10" s="26" t="n"/>
      <c r="K10" s="26" t="n"/>
      <c r="L10" s="26" t="n"/>
      <c r="M10" s="26" t="n"/>
      <c r="N10" s="26" t="n"/>
      <c r="O10" s="26" t="n"/>
      <c r="P10" s="26" t="n"/>
      <c r="Q10" s="26" t="n"/>
      <c r="R10" s="26" t="n"/>
      <c r="S10" s="26" t="n"/>
      <c r="T10" s="26" t="n"/>
      <c r="U10" s="26" t="n"/>
      <c r="V10" s="26" t="n"/>
      <c r="W10" s="26" t="n"/>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c r="AQ10" s="26" t="n"/>
      <c r="AR10" s="26" t="n"/>
      <c r="AS10" s="26" t="n"/>
      <c r="AT10" s="26" t="n"/>
      <c r="AU10" s="26" t="n"/>
      <c r="AV10" s="26" t="n"/>
      <c r="AW10" s="26" t="n"/>
      <c r="AX10" s="26" t="n"/>
      <c r="AY10" s="26" t="n"/>
      <c r="AZ10" s="26" t="n"/>
      <c r="BA10" s="26" t="n"/>
      <c r="BB10" s="26" t="n"/>
      <c r="BC10" s="26" t="n"/>
      <c r="BD10" s="26" t="n"/>
      <c r="BE10" s="26" t="n"/>
      <c r="BF10" s="26" t="n"/>
      <c r="BG10" s="26" t="n"/>
      <c r="BH10" s="26" t="n"/>
      <c r="BI10" s="26" t="n"/>
      <c r="BJ10" s="26" t="n"/>
      <c r="BK10" s="26" t="n"/>
      <c r="BL10" s="26" t="n"/>
      <c r="BM10" s="26" t="n"/>
      <c r="BN10" s="26" t="n"/>
      <c r="BO10" s="26" t="n"/>
      <c r="BP10" s="26" t="n"/>
    </row>
    <row r="11">
      <c r="A11" s="32" t="inlineStr">
        <is>
          <t>Scenario Development</t>
        </is>
      </c>
      <c r="B11" s="39" t="inlineStr">
        <is>
          <t>1 weeks</t>
        </is>
      </c>
      <c r="C11" s="78">
        <f>IF(NotificationDate="","",NotificationDate+210)</f>
        <v/>
      </c>
      <c r="D11" s="78">
        <f>IF(NotificationDate="","",NotificationDate+220)</f>
        <v/>
      </c>
      <c r="E11" s="21">
        <f>IF(D11="","",D11-TODAY())</f>
        <v/>
      </c>
      <c r="F11" s="21">
        <f>IF(E11="","",IF(E11&lt;0,"OVERDUE",IF(E11&lt;14,"IMMINENT","On Track")))</f>
        <v/>
      </c>
      <c r="G11" s="44" t="inlineStr">
        <is>
          <t>RTS Art. 10(2-4)</t>
        </is>
      </c>
      <c r="H11" s="45" t="n"/>
      <c r="I11" s="26" t="n"/>
      <c r="J11" s="26" t="n"/>
      <c r="K11" s="26" t="n"/>
      <c r="L11" s="26" t="n"/>
      <c r="M11" s="26" t="n"/>
      <c r="N11" s="26" t="n"/>
      <c r="O11" s="26" t="n"/>
      <c r="P11" s="26" t="n"/>
      <c r="Q11" s="26" t="n"/>
      <c r="R11" s="26" t="n"/>
      <c r="S11" s="26" t="n"/>
      <c r="T11" s="26" t="n"/>
      <c r="U11" s="26" t="n"/>
      <c r="V11" s="26" t="n"/>
      <c r="W11" s="26" t="n"/>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c r="AQ11" s="26" t="n"/>
      <c r="AR11" s="26" t="n"/>
      <c r="AS11" s="26" t="n"/>
      <c r="AT11" s="26" t="n"/>
      <c r="AU11" s="26" t="n"/>
      <c r="AV11" s="26" t="n"/>
      <c r="AW11" s="26" t="n"/>
      <c r="AX11" s="26" t="n"/>
      <c r="AY11" s="26" t="n"/>
      <c r="AZ11" s="26" t="n"/>
      <c r="BA11" s="26" t="n"/>
      <c r="BB11" s="26" t="n"/>
      <c r="BC11" s="26" t="n"/>
      <c r="BD11" s="26" t="n"/>
      <c r="BE11" s="26" t="n"/>
      <c r="BF11" s="26" t="n"/>
      <c r="BG11" s="26" t="n"/>
      <c r="BH11" s="26" t="n"/>
      <c r="BI11" s="26" t="n"/>
      <c r="BJ11" s="26" t="n"/>
      <c r="BK11" s="26" t="n"/>
      <c r="BL11" s="26" t="n"/>
      <c r="BM11" s="26" t="n"/>
      <c r="BN11" s="26" t="n"/>
      <c r="BO11" s="26" t="n"/>
      <c r="BP11" s="26" t="n"/>
    </row>
    <row r="12">
      <c r="A12" s="32" t="inlineStr">
        <is>
          <t>TTIR Delivery and Approval</t>
        </is>
      </c>
      <c r="B12" s="39" t="inlineStr">
        <is>
          <t>1 weeks</t>
        </is>
      </c>
      <c r="C12" s="78">
        <f>IF(NotificationDate="","",NotificationDate+220)</f>
        <v/>
      </c>
      <c r="D12" s="78">
        <f>IF(NotificationDate="","",NotificationDate+232)</f>
        <v/>
      </c>
      <c r="E12" s="21">
        <f>IF(D12="","",D12-TODAY())</f>
        <v/>
      </c>
      <c r="F12" s="21">
        <f>IF(E12="","",IF(E12&lt;0,"OVERDUE",IF(E12&lt;14,"IMMINENT","On Track")))</f>
        <v/>
      </c>
      <c r="G12" s="44" t="inlineStr">
        <is>
          <t>RTS Art. 10(5-6)</t>
        </is>
      </c>
      <c r="H12" s="45" t="n"/>
      <c r="I12" s="26" t="n"/>
      <c r="J12" s="26" t="n"/>
      <c r="K12" s="26" t="n"/>
      <c r="L12" s="26" t="n"/>
      <c r="M12" s="26" t="n"/>
      <c r="N12" s="26" t="n"/>
      <c r="O12" s="26" t="n"/>
      <c r="P12" s="26" t="n"/>
      <c r="Q12" s="26" t="n"/>
      <c r="R12" s="26" t="n"/>
      <c r="S12" s="26" t="n"/>
      <c r="T12" s="26" t="n"/>
      <c r="U12" s="26" t="n"/>
      <c r="V12" s="26" t="n"/>
      <c r="W12" s="26" t="n"/>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c r="AQ12" s="26" t="n"/>
      <c r="AR12" s="26" t="n"/>
      <c r="AS12" s="26" t="n"/>
      <c r="AT12" s="26" t="n"/>
      <c r="AU12" s="26" t="n"/>
      <c r="AV12" s="26" t="n"/>
      <c r="AW12" s="26" t="n"/>
      <c r="AX12" s="26" t="n"/>
      <c r="AY12" s="26" t="n"/>
      <c r="AZ12" s="26" t="n"/>
      <c r="BA12" s="26" t="n"/>
      <c r="BB12" s="26" t="n"/>
      <c r="BC12" s="26" t="n"/>
      <c r="BD12" s="26" t="n"/>
      <c r="BE12" s="26" t="n"/>
      <c r="BF12" s="26" t="n"/>
      <c r="BG12" s="26" t="n"/>
      <c r="BH12" s="26" t="n"/>
      <c r="BI12" s="26" t="n"/>
      <c r="BJ12" s="26" t="n"/>
      <c r="BK12" s="26" t="n"/>
      <c r="BL12" s="26" t="n"/>
      <c r="BM12" s="26" t="n"/>
      <c r="BN12" s="26" t="n"/>
      <c r="BO12" s="26" t="n"/>
      <c r="BP12" s="26" t="n"/>
    </row>
    <row r="13">
      <c r="A13" s="20" t="inlineStr">
        <is>
          <t>RED TEAM TEST PLAN</t>
        </is>
      </c>
      <c r="B13" s="39" t="inlineStr">
        <is>
          <t>3 weeks</t>
        </is>
      </c>
      <c r="C13" s="78">
        <f>IF(NotificationDate="","",NotificationDate+232)</f>
        <v/>
      </c>
      <c r="D13" s="78">
        <f>IF(NotificationDate="","",NotificationDate+255)</f>
        <v/>
      </c>
      <c r="E13" s="21">
        <f>IF(D13="","",D13-TODAY())</f>
        <v/>
      </c>
      <c r="F13" s="21">
        <f>IF(E13="","",IF(E13&lt;0,"OVERDUE",IF(E13&lt;14,"IMMINENT","On Track")))</f>
        <v/>
      </c>
      <c r="G13" s="44" t="inlineStr">
        <is>
          <t>RTS Art. 11(1-3)</t>
        </is>
      </c>
      <c r="H13" s="45" t="n"/>
      <c r="I13" s="26" t="n"/>
      <c r="J13" s="26" t="n"/>
      <c r="K13" s="26" t="n"/>
      <c r="L13" s="26" t="n"/>
      <c r="M13" s="26" t="n"/>
      <c r="N13" s="26" t="n"/>
      <c r="O13" s="26" t="n"/>
      <c r="P13" s="26" t="n"/>
      <c r="Q13" s="26" t="n"/>
      <c r="R13" s="26" t="n"/>
      <c r="S13" s="26" t="n"/>
      <c r="T13" s="26" t="n"/>
      <c r="U13" s="26" t="n"/>
      <c r="V13" s="26" t="n"/>
      <c r="W13" s="26" t="n"/>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c r="AQ13" s="26" t="n"/>
      <c r="AR13" s="26" t="n"/>
      <c r="AS13" s="26" t="n"/>
      <c r="AT13" s="26" t="n"/>
      <c r="AU13" s="26" t="n"/>
      <c r="AV13" s="26" t="n"/>
      <c r="AW13" s="26" t="n"/>
      <c r="AX13" s="26" t="n"/>
      <c r="AY13" s="26" t="n"/>
      <c r="AZ13" s="26" t="n"/>
      <c r="BA13" s="26" t="n"/>
      <c r="BB13" s="26" t="n"/>
      <c r="BC13" s="26" t="n"/>
      <c r="BD13" s="26" t="n"/>
      <c r="BE13" s="26" t="n"/>
      <c r="BF13" s="26" t="n"/>
      <c r="BG13" s="26" t="n"/>
      <c r="BH13" s="26" t="n"/>
      <c r="BI13" s="26" t="n"/>
      <c r="BJ13" s="26" t="n"/>
      <c r="BK13" s="26" t="n"/>
      <c r="BL13" s="26" t="n"/>
      <c r="BM13" s="26" t="n"/>
      <c r="BN13" s="26" t="n"/>
      <c r="BO13" s="26" t="n"/>
      <c r="BP13" s="26" t="n"/>
    </row>
    <row r="14">
      <c r="A14" s="20" t="inlineStr">
        <is>
          <t>ACTIVE RED TEAM TESTING</t>
        </is>
      </c>
      <c r="B14" s="39" t="inlineStr">
        <is>
          <t>12 weeks</t>
        </is>
      </c>
      <c r="C14" s="78">
        <f>IF(NotificationDate="","",NotificationDate+255)</f>
        <v/>
      </c>
      <c r="D14" s="78">
        <f>IF(NotificationDate="","",NotificationDate+339)</f>
        <v/>
      </c>
      <c r="E14" s="21">
        <f>IF(D14="","",D14-TODAY())</f>
        <v/>
      </c>
      <c r="F14" s="21">
        <f>IF(E14="","",IF(E14&lt;0,"OVERDUE",IF(E14&lt;14,"IMMINENT","On Track")))</f>
        <v/>
      </c>
      <c r="G14" s="44" t="inlineStr">
        <is>
          <t>RTS Art. 11(4-5)</t>
        </is>
      </c>
      <c r="H14" s="45" t="n"/>
      <c r="I14" s="26" t="n"/>
      <c r="J14" s="26" t="n"/>
      <c r="K14" s="26" t="n"/>
      <c r="L14" s="26" t="n"/>
      <c r="M14" s="26" t="n"/>
      <c r="N14" s="26" t="n"/>
      <c r="O14" s="26" t="n"/>
      <c r="P14" s="26" t="n"/>
      <c r="Q14" s="26" t="n"/>
      <c r="R14" s="26" t="n"/>
      <c r="S14" s="26" t="n"/>
      <c r="T14" s="26" t="n"/>
      <c r="U14" s="26" t="n"/>
      <c r="V14" s="26" t="n"/>
      <c r="W14" s="26" t="n"/>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c r="AQ14" s="26" t="n"/>
      <c r="AR14" s="26" t="n"/>
      <c r="AS14" s="26" t="n"/>
      <c r="AT14" s="26" t="n"/>
      <c r="AU14" s="26" t="n"/>
      <c r="AV14" s="26" t="n"/>
      <c r="AW14" s="26" t="n"/>
      <c r="AX14" s="26" t="n"/>
      <c r="AY14" s="26" t="n"/>
      <c r="AZ14" s="26" t="n"/>
      <c r="BA14" s="26" t="n"/>
      <c r="BB14" s="26" t="n"/>
      <c r="BC14" s="26" t="n"/>
      <c r="BD14" s="26" t="n"/>
      <c r="BE14" s="26" t="n"/>
      <c r="BF14" s="26" t="n"/>
      <c r="BG14" s="26" t="n"/>
      <c r="BH14" s="26" t="n"/>
      <c r="BI14" s="26" t="n"/>
      <c r="BJ14" s="26" t="n"/>
      <c r="BK14" s="26" t="n"/>
      <c r="BL14" s="26" t="n"/>
      <c r="BM14" s="26" t="n"/>
      <c r="BN14" s="26" t="n"/>
      <c r="BO14" s="26" t="n"/>
      <c r="BP14" s="26" t="n"/>
    </row>
    <row r="15">
      <c r="A15" s="32" t="inlineStr">
        <is>
          <t>Blue Team Notification</t>
        </is>
      </c>
      <c r="B15" s="39" t="inlineStr">
        <is>
          <t>1 day</t>
        </is>
      </c>
      <c r="C15" s="78">
        <f>IF(NotificationDate="","",NotificationDate+339)</f>
        <v/>
      </c>
      <c r="D15" s="78">
        <f>IF(NotificationDate="","",NotificationDate+340)</f>
        <v/>
      </c>
      <c r="E15" s="21">
        <f>IF(D15="","",D15-TODAY())</f>
        <v/>
      </c>
      <c r="F15" s="21">
        <f>IF(E15="","",IF(E15&lt;0,"OVERDUE",IF(E15&lt;14,"IMMINENT","On Track")))</f>
        <v/>
      </c>
      <c r="G15" s="44" t="inlineStr">
        <is>
          <t>RTS Art. 12(1)</t>
        </is>
      </c>
      <c r="H15" s="45" t="n"/>
      <c r="I15" s="26" t="n"/>
      <c r="J15" s="26" t="n"/>
      <c r="K15" s="26" t="n"/>
      <c r="L15" s="26" t="n"/>
      <c r="M15" s="26" t="n"/>
      <c r="N15" s="26" t="n"/>
      <c r="O15" s="26" t="n"/>
      <c r="P15" s="26" t="n"/>
      <c r="Q15" s="26" t="n"/>
      <c r="R15" s="26" t="n"/>
      <c r="S15" s="26" t="n"/>
      <c r="T15" s="26" t="n"/>
      <c r="U15" s="26" t="n"/>
      <c r="V15" s="26" t="n"/>
      <c r="W15" s="26" t="n"/>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c r="AQ15" s="26" t="n"/>
      <c r="AR15" s="26" t="n"/>
      <c r="AS15" s="26" t="n"/>
      <c r="AT15" s="26" t="n"/>
      <c r="AU15" s="26" t="n"/>
      <c r="AV15" s="26" t="n"/>
      <c r="AW15" s="26" t="n"/>
      <c r="AX15" s="26" t="n"/>
      <c r="AY15" s="26" t="n"/>
      <c r="AZ15" s="26" t="n"/>
      <c r="BA15" s="26" t="n"/>
      <c r="BB15" s="26" t="n"/>
      <c r="BC15" s="26" t="n"/>
      <c r="BD15" s="26" t="n"/>
      <c r="BE15" s="26" t="n"/>
      <c r="BF15" s="26" t="n"/>
      <c r="BG15" s="26" t="n"/>
      <c r="BH15" s="26" t="n"/>
      <c r="BI15" s="26" t="n"/>
      <c r="BJ15" s="26" t="n"/>
      <c r="BK15" s="26" t="n"/>
      <c r="BL15" s="26" t="n"/>
      <c r="BM15" s="26" t="n"/>
      <c r="BN15" s="26" t="n"/>
      <c r="BO15" s="26" t="n"/>
      <c r="BP15" s="26" t="n"/>
    </row>
    <row r="16">
      <c r="A16" s="20" t="inlineStr">
        <is>
          <t>RED TEAM TEST REPORT</t>
        </is>
      </c>
      <c r="B16" s="39" t="inlineStr">
        <is>
          <t>4 weeks</t>
        </is>
      </c>
      <c r="C16" s="78">
        <f>IF(NotificationDate="","",NotificationDate+339)</f>
        <v/>
      </c>
      <c r="D16" s="78">
        <f>IF(NotificationDate="","",NotificationDate+367)</f>
        <v/>
      </c>
      <c r="E16" s="21">
        <f>IF(D16="","",D16-TODAY())</f>
        <v/>
      </c>
      <c r="F16" s="21">
        <f>IF(E16="","",IF(E16&lt;0,"OVERDUE",IF(E16&lt;14,"IMMINENT","On Track")))</f>
        <v/>
      </c>
      <c r="G16" s="44" t="inlineStr">
        <is>
          <t>RTS Art. 12(2)</t>
        </is>
      </c>
      <c r="H16" s="45" t="n"/>
      <c r="I16" s="26" t="n"/>
      <c r="J16" s="26" t="n"/>
      <c r="K16" s="26" t="n"/>
      <c r="L16" s="26" t="n"/>
      <c r="M16" s="26" t="n"/>
      <c r="N16" s="26" t="n"/>
      <c r="O16" s="26" t="n"/>
      <c r="P16" s="26" t="n"/>
      <c r="Q16" s="26" t="n"/>
      <c r="R16" s="26" t="n"/>
      <c r="S16" s="26" t="n"/>
      <c r="T16" s="26" t="n"/>
      <c r="U16" s="26" t="n"/>
      <c r="V16" s="26" t="n"/>
      <c r="W16" s="26" t="n"/>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c r="AQ16" s="26" t="n"/>
      <c r="AR16" s="26" t="n"/>
      <c r="AS16" s="26" t="n"/>
      <c r="AT16" s="26" t="n"/>
      <c r="AU16" s="26" t="n"/>
      <c r="AV16" s="26" t="n"/>
      <c r="AW16" s="26" t="n"/>
      <c r="AX16" s="26" t="n"/>
      <c r="AY16" s="26" t="n"/>
      <c r="AZ16" s="26" t="n"/>
      <c r="BA16" s="26" t="n"/>
      <c r="BB16" s="26" t="n"/>
      <c r="BC16" s="26" t="n"/>
      <c r="BD16" s="26" t="n"/>
      <c r="BE16" s="26" t="n"/>
      <c r="BF16" s="26" t="n"/>
      <c r="BG16" s="26" t="n"/>
      <c r="BH16" s="26" t="n"/>
      <c r="BI16" s="26" t="n"/>
      <c r="BJ16" s="26" t="n"/>
      <c r="BK16" s="26" t="n"/>
      <c r="BL16" s="26" t="n"/>
      <c r="BM16" s="26" t="n"/>
      <c r="BN16" s="26" t="n"/>
      <c r="BO16" s="26" t="n"/>
      <c r="BP16" s="26" t="n"/>
    </row>
    <row r="17">
      <c r="A17" s="20" t="inlineStr">
        <is>
          <t>BLUE TEAM TEST REPORT</t>
        </is>
      </c>
      <c r="B17" s="39" t="inlineStr">
        <is>
          <t>10 weeks</t>
        </is>
      </c>
      <c r="C17" s="78">
        <f>IF(NotificationDate="","",NotificationDate+339)</f>
        <v/>
      </c>
      <c r="D17" s="78">
        <f>IF(NotificationDate="","",NotificationDate+409)</f>
        <v/>
      </c>
      <c r="E17" s="21">
        <f>IF(D17="","",D17-TODAY())</f>
        <v/>
      </c>
      <c r="F17" s="21">
        <f>IF(E17="","",IF(E17&lt;0,"OVERDUE",IF(E17&lt;14,"IMMINENT","On Track")))</f>
        <v/>
      </c>
      <c r="G17" s="44" t="inlineStr">
        <is>
          <t>RTS Art. 12(4)</t>
        </is>
      </c>
      <c r="H17" s="45" t="n"/>
      <c r="I17" s="26" t="n"/>
      <c r="J17" s="26" t="n"/>
      <c r="K17" s="26" t="n"/>
      <c r="L17" s="26" t="n"/>
      <c r="M17" s="26" t="n"/>
      <c r="N17" s="26" t="n"/>
      <c r="O17" s="26" t="n"/>
      <c r="P17" s="26" t="n"/>
      <c r="Q17" s="26" t="n"/>
      <c r="R17" s="26" t="n"/>
      <c r="S17" s="26" t="n"/>
      <c r="T17" s="26" t="n"/>
      <c r="U17" s="26" t="n"/>
      <c r="V17" s="26" t="n"/>
      <c r="W17" s="26" t="n"/>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c r="AQ17" s="26" t="n"/>
      <c r="AR17" s="26" t="n"/>
      <c r="AS17" s="26" t="n"/>
      <c r="AT17" s="26" t="n"/>
      <c r="AU17" s="26" t="n"/>
      <c r="AV17" s="26" t="n"/>
      <c r="AW17" s="26" t="n"/>
      <c r="AX17" s="26" t="n"/>
      <c r="AY17" s="26" t="n"/>
      <c r="AZ17" s="26" t="n"/>
      <c r="BA17" s="26" t="n"/>
      <c r="BB17" s="26" t="n"/>
      <c r="BC17" s="26" t="n"/>
      <c r="BD17" s="26" t="n"/>
      <c r="BE17" s="26" t="n"/>
      <c r="BF17" s="26" t="n"/>
      <c r="BG17" s="26" t="n"/>
      <c r="BH17" s="26" t="n"/>
      <c r="BI17" s="26" t="n"/>
      <c r="BJ17" s="26" t="n"/>
      <c r="BK17" s="26" t="n"/>
      <c r="BL17" s="26" t="n"/>
      <c r="BM17" s="26" t="n"/>
      <c r="BN17" s="26" t="n"/>
      <c r="BO17" s="26" t="n"/>
      <c r="BP17" s="26" t="n"/>
    </row>
    <row r="18">
      <c r="A18" s="20" t="inlineStr">
        <is>
          <t>REPLAY AND PURPLE TEAMING</t>
        </is>
      </c>
      <c r="B18" s="39" t="inlineStr">
        <is>
          <t>6 weeks</t>
        </is>
      </c>
      <c r="C18" s="78">
        <f>IF(NotificationDate="","",NotificationDate+367)</f>
        <v/>
      </c>
      <c r="D18" s="78">
        <f>IF(NotificationDate="","",NotificationDate+409)</f>
        <v/>
      </c>
      <c r="E18" s="21">
        <f>IF(D18="","",D18-TODAY())</f>
        <v/>
      </c>
      <c r="F18" s="21">
        <f>IF(E18="","",IF(E18&lt;0,"OVERDUE",IF(E18&lt;14,"IMMINENT","On Track")))</f>
        <v/>
      </c>
      <c r="G18" s="44" t="inlineStr">
        <is>
          <t>RTS Art. 12(5-6)</t>
        </is>
      </c>
      <c r="H18" s="45" t="n"/>
      <c r="I18" s="26" t="n"/>
      <c r="J18" s="26" t="n"/>
      <c r="K18" s="26" t="n"/>
      <c r="L18" s="26" t="n"/>
      <c r="M18" s="26" t="n"/>
      <c r="N18" s="26" t="n"/>
      <c r="O18" s="26" t="n"/>
      <c r="P18" s="26" t="n"/>
      <c r="Q18" s="26" t="n"/>
      <c r="R18" s="26" t="n"/>
      <c r="S18" s="26" t="n"/>
      <c r="T18" s="26" t="n"/>
      <c r="U18" s="26" t="n"/>
      <c r="V18" s="26" t="n"/>
      <c r="W18" s="26" t="n"/>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c r="AQ18" s="26" t="n"/>
      <c r="AR18" s="26" t="n"/>
      <c r="AS18" s="26" t="n"/>
      <c r="AT18" s="26" t="n"/>
      <c r="AU18" s="26" t="n"/>
      <c r="AV18" s="26" t="n"/>
      <c r="AW18" s="26" t="n"/>
      <c r="AX18" s="26" t="n"/>
      <c r="AY18" s="26" t="n"/>
      <c r="AZ18" s="26" t="n"/>
      <c r="BA18" s="26" t="n"/>
      <c r="BB18" s="26" t="n"/>
      <c r="BC18" s="26" t="n"/>
      <c r="BD18" s="26" t="n"/>
      <c r="BE18" s="26" t="n"/>
      <c r="BF18" s="26" t="n"/>
      <c r="BG18" s="26" t="n"/>
      <c r="BH18" s="26" t="n"/>
      <c r="BI18" s="26" t="n"/>
      <c r="BJ18" s="26" t="n"/>
      <c r="BK18" s="26" t="n"/>
      <c r="BL18" s="26" t="n"/>
      <c r="BM18" s="26" t="n"/>
      <c r="BN18" s="26" t="n"/>
      <c r="BO18" s="26" t="n"/>
      <c r="BP18" s="26" t="n"/>
    </row>
    <row r="19">
      <c r="A19" s="20" t="inlineStr">
        <is>
          <t>TM ASSESSMENT</t>
        </is>
      </c>
      <c r="B19" s="39" t="inlineStr">
        <is>
          <t>2 weeks</t>
        </is>
      </c>
      <c r="C19" s="78">
        <f>IF(NotificationDate="","",NotificationDate+409)</f>
        <v/>
      </c>
      <c r="D19" s="78">
        <f>IF(NotificationDate="","",NotificationDate+425)</f>
        <v/>
      </c>
      <c r="E19" s="21">
        <f>IF(D19="","",D19-TODAY())</f>
        <v/>
      </c>
      <c r="F19" s="21">
        <f>IF(E19="","",IF(E19&lt;0,"OVERDUE",IF(E19&lt;14,"IMMINENT","On Track")))</f>
        <v/>
      </c>
      <c r="G19" s="44" t="inlineStr">
        <is>
          <t>RTS Art. 12(7)</t>
        </is>
      </c>
      <c r="H19" s="45" t="n"/>
      <c r="I19" s="26" t="n"/>
      <c r="J19" s="26" t="n"/>
      <c r="K19" s="26" t="n"/>
      <c r="L19" s="26" t="n"/>
      <c r="M19" s="26" t="n"/>
      <c r="N19" s="26" t="n"/>
      <c r="O19" s="26" t="n"/>
      <c r="P19" s="26" t="n"/>
      <c r="Q19" s="26" t="n"/>
      <c r="R19" s="26" t="n"/>
      <c r="S19" s="26" t="n"/>
      <c r="T19" s="26" t="n"/>
      <c r="U19" s="26" t="n"/>
      <c r="V19" s="26" t="n"/>
      <c r="W19" s="26" t="n"/>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c r="AQ19" s="26" t="n"/>
      <c r="AR19" s="26" t="n"/>
      <c r="AS19" s="26" t="n"/>
      <c r="AT19" s="26" t="n"/>
      <c r="AU19" s="26" t="n"/>
      <c r="AV19" s="26" t="n"/>
      <c r="AW19" s="26" t="n"/>
      <c r="AX19" s="26" t="n"/>
      <c r="AY19" s="26" t="n"/>
      <c r="AZ19" s="26" t="n"/>
      <c r="BA19" s="26" t="n"/>
      <c r="BB19" s="26" t="n"/>
      <c r="BC19" s="26" t="n"/>
      <c r="BD19" s="26" t="n"/>
      <c r="BE19" s="26" t="n"/>
      <c r="BF19" s="26" t="n"/>
      <c r="BG19" s="26" t="n"/>
      <c r="BH19" s="26" t="n"/>
      <c r="BI19" s="26" t="n"/>
      <c r="BJ19" s="26" t="n"/>
      <c r="BK19" s="26" t="n"/>
      <c r="BL19" s="26" t="n"/>
      <c r="BM19" s="26" t="n"/>
      <c r="BN19" s="26" t="n"/>
      <c r="BO19" s="26" t="n"/>
      <c r="BP19" s="26" t="n"/>
    </row>
    <row r="20">
      <c r="A20" s="20" t="inlineStr">
        <is>
          <t>TEST SUMMARY REPORT</t>
        </is>
      </c>
      <c r="B20" s="39" t="inlineStr">
        <is>
          <t>8 weeks</t>
        </is>
      </c>
      <c r="C20" s="78">
        <f>IF(NotificationDate="","",NotificationDate+425)</f>
        <v/>
      </c>
      <c r="D20" s="78">
        <f>IF(NotificationDate="","",NotificationDate+481)</f>
        <v/>
      </c>
      <c r="E20" s="21">
        <f>IF(D20="","",D20-TODAY())</f>
        <v/>
      </c>
      <c r="F20" s="21">
        <f>IF(E20="","",IF(E20&lt;0,"OVERDUE",IF(E20&lt;14,"IMMINENT","On Track")))</f>
        <v/>
      </c>
      <c r="G20" s="44" t="inlineStr">
        <is>
          <t>RTS Art. 12(7); DORA Art. 26(6)</t>
        </is>
      </c>
      <c r="H20" s="45" t="n"/>
      <c r="I20" s="26" t="n"/>
      <c r="J20" s="26" t="n"/>
      <c r="K20" s="26" t="n"/>
      <c r="L20" s="26" t="n"/>
      <c r="M20" s="26" t="n"/>
      <c r="N20" s="26" t="n"/>
      <c r="O20" s="26" t="n"/>
      <c r="P20" s="26" t="n"/>
      <c r="Q20" s="26" t="n"/>
      <c r="R20" s="26" t="n"/>
      <c r="S20" s="26" t="n"/>
      <c r="T20" s="26" t="n"/>
      <c r="U20" s="26" t="n"/>
      <c r="V20" s="26" t="n"/>
      <c r="W20" s="26" t="n"/>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c r="AQ20" s="26" t="n"/>
      <c r="AR20" s="26" t="n"/>
      <c r="AS20" s="26" t="n"/>
      <c r="AT20" s="26" t="n"/>
      <c r="AU20" s="26" t="n"/>
      <c r="AV20" s="26" t="n"/>
      <c r="AW20" s="26" t="n"/>
      <c r="AX20" s="26" t="n"/>
      <c r="AY20" s="26" t="n"/>
      <c r="AZ20" s="26" t="n"/>
      <c r="BA20" s="26" t="n"/>
      <c r="BB20" s="26" t="n"/>
      <c r="BC20" s="26" t="n"/>
      <c r="BD20" s="26" t="n"/>
      <c r="BE20" s="26" t="n"/>
      <c r="BF20" s="26" t="n"/>
      <c r="BG20" s="26" t="n"/>
      <c r="BH20" s="26" t="n"/>
      <c r="BI20" s="26" t="n"/>
      <c r="BJ20" s="26" t="n"/>
      <c r="BK20" s="26" t="n"/>
      <c r="BL20" s="26" t="n"/>
      <c r="BM20" s="26" t="n"/>
      <c r="BN20" s="26" t="n"/>
      <c r="BO20" s="26" t="n"/>
      <c r="BP20" s="26" t="n"/>
    </row>
    <row r="21">
      <c r="A21" s="20" t="inlineStr">
        <is>
          <t>REMEDIATION PLAN</t>
        </is>
      </c>
      <c r="B21" s="39" t="inlineStr">
        <is>
          <t>8 weeks</t>
        </is>
      </c>
      <c r="C21" s="78">
        <f>IF(NotificationDate="","",NotificationDate+425)</f>
        <v/>
      </c>
      <c r="D21" s="78">
        <f>IF(NotificationDate="","",NotificationDate+481)</f>
        <v/>
      </c>
      <c r="E21" s="21">
        <f>IF(D21="","",D21-TODAY())</f>
        <v/>
      </c>
      <c r="F21" s="21">
        <f>IF(E21="","",IF(E21&lt;0,"OVERDUE",IF(E21&lt;14,"IMMINENT","On Track")))</f>
        <v/>
      </c>
      <c r="G21" s="44" t="inlineStr">
        <is>
          <t>RTS Art. 13(1)</t>
        </is>
      </c>
      <c r="H21" s="45" t="n"/>
      <c r="I21" s="26" t="n"/>
      <c r="J21" s="26" t="n"/>
      <c r="K21" s="26" t="n"/>
      <c r="L21" s="26" t="n"/>
      <c r="M21" s="26" t="n"/>
      <c r="N21" s="26" t="n"/>
      <c r="O21" s="26" t="n"/>
      <c r="P21" s="26" t="n"/>
      <c r="Q21" s="26" t="n"/>
      <c r="R21" s="26" t="n"/>
      <c r="S21" s="26" t="n"/>
      <c r="T21" s="26" t="n"/>
      <c r="U21" s="26" t="n"/>
      <c r="V21" s="26" t="n"/>
      <c r="W21" s="26" t="n"/>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c r="AQ21" s="26" t="n"/>
      <c r="AR21" s="26" t="n"/>
      <c r="AS21" s="26" t="n"/>
      <c r="AT21" s="26" t="n"/>
      <c r="AU21" s="26" t="n"/>
      <c r="AV21" s="26" t="n"/>
      <c r="AW21" s="26" t="n"/>
      <c r="AX21" s="26" t="n"/>
      <c r="AY21" s="26" t="n"/>
      <c r="AZ21" s="26" t="n"/>
      <c r="BA21" s="26" t="n"/>
      <c r="BB21" s="26" t="n"/>
      <c r="BC21" s="26" t="n"/>
      <c r="BD21" s="26" t="n"/>
      <c r="BE21" s="26" t="n"/>
      <c r="BF21" s="26" t="n"/>
      <c r="BG21" s="26" t="n"/>
      <c r="BH21" s="26" t="n"/>
      <c r="BI21" s="26" t="n"/>
      <c r="BJ21" s="26" t="n"/>
      <c r="BK21" s="26" t="n"/>
      <c r="BL21" s="26" t="n"/>
      <c r="BM21" s="26" t="n"/>
      <c r="BN21" s="26" t="n"/>
      <c r="BO21" s="26" t="n"/>
      <c r="BP21" s="26" t="n"/>
    </row>
    <row r="22">
      <c r="A22" s="20" t="inlineStr">
        <is>
          <t>ATTESTATION</t>
        </is>
      </c>
      <c r="B22" s="39" t="inlineStr">
        <is>
          <t>4 weeks</t>
        </is>
      </c>
      <c r="C22" s="78">
        <f>IF(NotificationDate="","",NotificationDate+481)</f>
        <v/>
      </c>
      <c r="D22" s="78">
        <f>IF(NotificationDate="","",NotificationDate+510)</f>
        <v/>
      </c>
      <c r="E22" s="21">
        <f>IF(D22="","",D22-TODAY())</f>
        <v/>
      </c>
      <c r="F22" s="21">
        <f>IF(E22="","",IF(E22&lt;0,"OVERDUE",IF(E22&lt;14,"IMMINENT","On Track")))</f>
        <v/>
      </c>
      <c r="G22" s="44" t="inlineStr">
        <is>
          <t>RTS Art. 14; DORA Art. 26(7)</t>
        </is>
      </c>
      <c r="H22" s="45" t="n"/>
      <c r="I22" s="26" t="n"/>
      <c r="J22" s="26" t="n"/>
      <c r="K22" s="26" t="n"/>
      <c r="L22" s="26" t="n"/>
      <c r="M22" s="26" t="n"/>
      <c r="N22" s="26" t="n"/>
      <c r="O22" s="26" t="n"/>
      <c r="P22" s="26" t="n"/>
      <c r="Q22" s="26" t="n"/>
      <c r="R22" s="26" t="n"/>
      <c r="S22" s="26" t="n"/>
      <c r="T22" s="26" t="n"/>
      <c r="U22" s="26" t="n"/>
      <c r="V22" s="26" t="n"/>
      <c r="W22" s="26" t="n"/>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c r="AQ22" s="26" t="n"/>
      <c r="AR22" s="26" t="n"/>
      <c r="AS22" s="26" t="n"/>
      <c r="AT22" s="26" t="n"/>
      <c r="AU22" s="26" t="n"/>
      <c r="AV22" s="26" t="n"/>
      <c r="AW22" s="26" t="n"/>
      <c r="AX22" s="26" t="n"/>
      <c r="AY22" s="26" t="n"/>
      <c r="AZ22" s="26" t="n"/>
      <c r="BA22" s="26" t="n"/>
      <c r="BB22" s="26" t="n"/>
      <c r="BC22" s="26" t="n"/>
      <c r="BD22" s="26" t="n"/>
      <c r="BE22" s="26" t="n"/>
      <c r="BF22" s="26" t="n"/>
      <c r="BG22" s="26" t="n"/>
      <c r="BH22" s="26" t="n"/>
      <c r="BI22" s="26" t="n"/>
      <c r="BJ22" s="26" t="n"/>
      <c r="BK22" s="26" t="n"/>
      <c r="BL22" s="26" t="n"/>
      <c r="BM22" s="26" t="n"/>
      <c r="BN22" s="26" t="n"/>
      <c r="BO22" s="26" t="n"/>
      <c r="BP22" s="26" t="n"/>
    </row>
  </sheetData>
  <sheetProtection selectLockedCells="0" selectUnlockedCells="0" sheet="1" objects="0" insertRows="1" insertHyperlinks="1" autoFilter="0" scenarios="0" formatColumns="0" deleteColumns="1" insertColumns="1" pivotTables="1" deleteRows="1" formatCells="1" formatRows="0" sort="0" password="CE4B"/>
  <mergeCells count="1">
    <mergeCell ref="A1:H1"/>
  </mergeCells>
  <conditionalFormatting sqref="F3:F22">
    <cfRule type="cellIs" priority="1" operator="equal" dxfId="1">
      <formula>"OVERDUE"</formula>
    </cfRule>
    <cfRule type="cellIs" priority="2" operator="equal" dxfId="2">
      <formula>"IMMINENT"</formula>
    </cfRule>
    <cfRule type="cellIs" priority="3" operator="equal" dxfId="3">
      <formula>"On Track"</formula>
    </cfRule>
  </conditionalFormatting>
  <conditionalFormatting sqref="I3:BP22">
    <cfRule type="expression" priority="4" dxfId="6">
      <formula>AND(I$2&lt;&gt;"",$C3&lt;&gt;"",$D3&lt;&gt;"",I$2&gt;=$C3,I$2&lt;=$D3)</formula>
    </cfRule>
  </conditionalFormatting>
  <conditionalFormatting sqref="E3:E22">
    <cfRule type="dataBar" priority="5">
      <dataBar>
        <cfvo type="num" val="0"/>
        <cfvo type="num" val="365"/>
        <color rgb="0027AE60"/>
      </dataBar>
    </cfRule>
  </conditionalFormatting>
  <hyperlinks>
    <hyperlink xmlns:r="http://schemas.openxmlformats.org/officeDocument/2006/relationships" ref="G3" r:id="rId1"/>
    <hyperlink xmlns:r="http://schemas.openxmlformats.org/officeDocument/2006/relationships" ref="G4" r:id="rId2"/>
    <hyperlink xmlns:r="http://schemas.openxmlformats.org/officeDocument/2006/relationships" ref="G5" r:id="rId3"/>
    <hyperlink xmlns:r="http://schemas.openxmlformats.org/officeDocument/2006/relationships" ref="G6" r:id="rId4"/>
    <hyperlink xmlns:r="http://schemas.openxmlformats.org/officeDocument/2006/relationships" ref="G7" r:id="rId5"/>
    <hyperlink xmlns:r="http://schemas.openxmlformats.org/officeDocument/2006/relationships" ref="G8" r:id="rId6"/>
    <hyperlink xmlns:r="http://schemas.openxmlformats.org/officeDocument/2006/relationships" ref="G9" r:id="rId7"/>
    <hyperlink xmlns:r="http://schemas.openxmlformats.org/officeDocument/2006/relationships" ref="G10" r:id="rId8"/>
    <hyperlink xmlns:r="http://schemas.openxmlformats.org/officeDocument/2006/relationships" ref="G11" r:id="rId9"/>
    <hyperlink xmlns:r="http://schemas.openxmlformats.org/officeDocument/2006/relationships" ref="G12" r:id="rId10"/>
    <hyperlink xmlns:r="http://schemas.openxmlformats.org/officeDocument/2006/relationships" ref="G13" r:id="rId11"/>
    <hyperlink xmlns:r="http://schemas.openxmlformats.org/officeDocument/2006/relationships" ref="G14" r:id="rId12"/>
    <hyperlink xmlns:r="http://schemas.openxmlformats.org/officeDocument/2006/relationships" ref="G15" r:id="rId13"/>
    <hyperlink xmlns:r="http://schemas.openxmlformats.org/officeDocument/2006/relationships" ref="G16" r:id="rId14"/>
    <hyperlink xmlns:r="http://schemas.openxmlformats.org/officeDocument/2006/relationships" ref="G17" r:id="rId15"/>
    <hyperlink xmlns:r="http://schemas.openxmlformats.org/officeDocument/2006/relationships" ref="G18" r:id="rId16"/>
    <hyperlink xmlns:r="http://schemas.openxmlformats.org/officeDocument/2006/relationships" ref="G19" r:id="rId17"/>
    <hyperlink xmlns:r="http://schemas.openxmlformats.org/officeDocument/2006/relationships" ref="G20" r:id="rId18"/>
    <hyperlink xmlns:r="http://schemas.openxmlformats.org/officeDocument/2006/relationships" ref="G21" r:id="rId19"/>
    <hyperlink xmlns:r="http://schemas.openxmlformats.org/officeDocument/2006/relationships" ref="G22" r:id="rId20"/>
  </hyperlinks>
  <pageMargins left="0.75" right="0.75" top="1" bottom="1" header="0.5" footer="0.5"/>
  <pageSetup orientation="landscape" fitToHeight="0" fitToWidth="1"/>
  <headerFooter>
    <oddHeader>&amp;LAFINE | TLPT DORA Readiness Tracker&amp;RPage &amp;P of &amp;N</oddHeader>
    <oddFooter>&amp;CAFINE sp. z o.o. | afine.com</oddFooter>
    <evenHeader/>
    <evenFooter/>
    <firstHeader/>
    <firstFooter/>
  </headerFooter>
</worksheet>
</file>

<file path=xl/worksheets/sheet12.xml><?xml version="1.0" encoding="utf-8"?>
<worksheet xmlns="http://schemas.openxmlformats.org/spreadsheetml/2006/main">
  <sheetPr>
    <tabColor rgb="00F2994A"/>
    <outlinePr summaryBelow="1" summaryRight="1"/>
    <pageSetUpPr fitToPage="1"/>
  </sheetPr>
  <dimension ref="A1:I96"/>
  <sheetViews>
    <sheetView workbookViewId="0">
      <pane xSplit="2" ySplit="1" topLeftCell="C2" activePane="bottomRight" state="frozen"/>
      <selection pane="topRight" activeCell="A1" sqref="A1"/>
      <selection pane="bottomLeft" activeCell="A1" sqref="A1"/>
      <selection pane="bottomRight" activeCell="A1" sqref="A1"/>
    </sheetView>
  </sheetViews>
  <sheetFormatPr baseColWidth="8" defaultRowHeight="15"/>
  <cols>
    <col width="5" customWidth="1" min="1" max="1"/>
    <col width="55" customWidth="1" min="2" max="2"/>
    <col width="22" customWidth="1" min="3" max="3"/>
    <col width="14" customWidth="1" min="4" max="4"/>
    <col width="14" customWidth="1" min="5" max="5"/>
    <col width="14" customWidth="1" min="6" max="6"/>
    <col width="14" customWidth="1" min="7" max="7"/>
    <col width="14" customWidth="1" min="8" max="8"/>
    <col width="14" customWidth="1" min="9" max="9"/>
  </cols>
  <sheetData>
    <row r="1">
      <c r="A1" s="36" t="inlineStr">
        <is>
          <t>THREAT INTELLIGENCE PROVIDER EVALUATION</t>
        </is>
      </c>
    </row>
    <row r="3">
      <c r="A3" s="53" t="inlineStr">
        <is>
          <t>Part A: Minimum Requirements Gate</t>
        </is>
      </c>
    </row>
    <row r="4">
      <c r="A4" s="37" t="inlineStr">
        <is>
          <t>#</t>
        </is>
      </c>
      <c r="B4" s="37" t="inlineStr">
        <is>
          <t>Requirement</t>
        </is>
      </c>
      <c r="C4" s="37" t="inlineStr">
        <is>
          <t>RTS Reference</t>
        </is>
      </c>
      <c r="D4" s="37" t="inlineStr">
        <is>
          <t>Provider A</t>
        </is>
      </c>
      <c r="E4" s="37" t="inlineStr">
        <is>
          <t>Provider B</t>
        </is>
      </c>
      <c r="F4" s="37" t="inlineStr">
        <is>
          <t>Provider C</t>
        </is>
      </c>
      <c r="G4" s="54" t="n"/>
      <c r="H4" s="54" t="n"/>
      <c r="I4" s="54" t="n"/>
    </row>
    <row r="5">
      <c r="A5" s="39" t="inlineStr">
        <is>
          <t>M1</t>
        </is>
      </c>
      <c r="B5" s="40" t="inlineStr">
        <is>
          <t>Provider is external to the financial entity</t>
        </is>
      </c>
      <c r="C5" s="44" t="inlineStr">
        <is>
          <t>DORA Art. 27(2); RTS Art. 7</t>
        </is>
      </c>
      <c r="D5" s="55" t="n"/>
      <c r="E5" s="55" t="n"/>
      <c r="F5" s="55" t="n"/>
      <c r="G5" s="26" t="n"/>
      <c r="H5" s="26" t="n"/>
      <c r="I5" s="26" t="n"/>
    </row>
    <row r="6">
      <c r="A6" s="39" t="inlineStr">
        <is>
          <t>M2</t>
        </is>
      </c>
      <c r="B6" s="40" t="inlineStr">
        <is>
          <t>TI Manager has minimum 5 years threat intelligence experience</t>
        </is>
      </c>
      <c r="C6" s="44" t="inlineStr">
        <is>
          <t>RTS Art. 7(1)(a); TIBER-EU Procurement 3.1</t>
        </is>
      </c>
      <c r="D6" s="55" t="n"/>
      <c r="E6" s="55" t="n"/>
      <c r="F6" s="55" t="n"/>
      <c r="G6" s="26" t="n"/>
      <c r="H6" s="26" t="n"/>
      <c r="I6" s="26" t="n"/>
    </row>
    <row r="7">
      <c r="A7" s="39" t="inlineStr">
        <is>
          <t>M3</t>
        </is>
      </c>
      <c r="B7" s="40" t="inlineStr">
        <is>
          <t>At least 1 additional team member with minimum 2 years TI experience</t>
        </is>
      </c>
      <c r="C7" s="44" t="inlineStr">
        <is>
          <t>RTS Art. 7(1)(a); TIBER-EU Procurement 3.1</t>
        </is>
      </c>
      <c r="D7" s="55" t="n"/>
      <c r="E7" s="55" t="n"/>
      <c r="F7" s="55" t="n"/>
      <c r="G7" s="26" t="n"/>
      <c r="H7" s="26" t="n"/>
      <c r="I7" s="26" t="n"/>
    </row>
    <row r="8">
      <c r="A8" s="39" t="inlineStr">
        <is>
          <t>M4</t>
        </is>
      </c>
      <c r="B8" s="40" t="inlineStr">
        <is>
          <t>Minimum 3 client references from previous TI assignments for pentest/red team engagements</t>
        </is>
      </c>
      <c r="C8" s="44" t="inlineStr">
        <is>
          <t>TIBER-EU Procurement 3.1</t>
        </is>
      </c>
      <c r="D8" s="55" t="n"/>
      <c r="E8" s="55" t="n"/>
      <c r="F8" s="55" t="n"/>
      <c r="G8" s="26" t="n"/>
      <c r="H8" s="26" t="n"/>
      <c r="I8" s="26" t="n"/>
    </row>
    <row r="9">
      <c r="A9" s="39" t="inlineStr">
        <is>
          <t>M5</t>
        </is>
      </c>
      <c r="B9" s="40" t="inlineStr">
        <is>
          <t>Two core team members have combined minimum 3 previous TI assignments for pentest/red team</t>
        </is>
      </c>
      <c r="C9" s="44" t="inlineStr">
        <is>
          <t>TIBER-EU Procurement 3.1</t>
        </is>
      </c>
      <c r="D9" s="55" t="n"/>
      <c r="E9" s="55" t="n"/>
      <c r="F9" s="55" t="n"/>
      <c r="G9" s="26" t="n"/>
      <c r="H9" s="26" t="n"/>
      <c r="I9" s="26" t="n"/>
    </row>
    <row r="10">
      <c r="A10" s="39" t="inlineStr">
        <is>
          <t>M6</t>
        </is>
      </c>
      <c r="B10" s="40" t="inlineStr">
        <is>
          <t>Professional indemnity insurance covering misconduct and negligence</t>
        </is>
      </c>
      <c r="C10" s="44" t="inlineStr">
        <is>
          <t>DORA Art. 27(1)(e); RTS Art. 7(1)(b)</t>
        </is>
      </c>
      <c r="D10" s="55" t="n"/>
      <c r="E10" s="55" t="n"/>
      <c r="F10" s="55" t="n"/>
      <c r="G10" s="26" t="n"/>
      <c r="H10" s="26" t="n"/>
      <c r="I10" s="26" t="n"/>
    </row>
    <row r="11">
      <c r="A11" s="39" t="inlineStr">
        <is>
          <t>M7</t>
        </is>
      </c>
      <c r="B11" s="40" t="inlineStr">
        <is>
          <t>Certifications per recognized market standards</t>
        </is>
      </c>
      <c r="C11" s="44" t="inlineStr">
        <is>
          <t>DORA Art. 27(1)(c); RTS Art. 7(1)(b)</t>
        </is>
      </c>
      <c r="D11" s="55" t="n"/>
      <c r="E11" s="55" t="n"/>
      <c r="F11" s="55" t="n"/>
      <c r="G11" s="26" t="n"/>
      <c r="H11" s="26" t="n"/>
      <c r="I11" s="26" t="n"/>
    </row>
    <row r="12">
      <c r="A12" s="39" t="inlineStr">
        <is>
          <t>M8</t>
        </is>
      </c>
      <c r="B12" s="40" t="inlineStr">
        <is>
          <t>No conflict of interest with the financial entity or ICT providers in scope</t>
        </is>
      </c>
      <c r="C12" s="44" t="inlineStr">
        <is>
          <t>RTS Art. 7(1)(d); TIBER-EU Procurement 3.1</t>
        </is>
      </c>
      <c r="D12" s="55" t="n"/>
      <c r="E12" s="55" t="n"/>
      <c r="F12" s="55" t="n"/>
      <c r="G12" s="26" t="n"/>
      <c r="H12" s="26" t="n"/>
      <c r="I12" s="26" t="n"/>
    </row>
    <row r="13">
      <c r="A13" s="39" t="inlineStr">
        <is>
          <t>M9</t>
        </is>
      </c>
      <c r="B13" s="40" t="inlineStr">
        <is>
          <t>Not simultaneously performing blue team / defensive security tasks for the entity</t>
        </is>
      </c>
      <c r="C13" s="44" t="inlineStr">
        <is>
          <t>TIBER-EU Procurement 3.1</t>
        </is>
      </c>
      <c r="D13" s="55" t="n"/>
      <c r="E13" s="55" t="n"/>
      <c r="F13" s="55" t="n"/>
      <c r="G13" s="26" t="n"/>
      <c r="H13" s="26" t="n"/>
      <c r="I13" s="26" t="n"/>
    </row>
    <row r="14">
      <c r="A14" s="39" t="inlineStr">
        <is>
          <t>M10</t>
        </is>
      </c>
      <c r="B14" s="40" t="inlineStr">
        <is>
          <t>If same company provides TI and RT: TI team is separated from and does not report to RT staff</t>
        </is>
      </c>
      <c r="C14" s="44" t="inlineStr">
        <is>
          <t>RTS Art. 7(1)(d); TIBER-EU Procurement 3.1</t>
        </is>
      </c>
      <c r="D14" s="55" t="n"/>
      <c r="E14" s="55" t="n"/>
      <c r="F14" s="55" t="n"/>
      <c r="G14" s="26" t="n"/>
      <c r="H14" s="26" t="n"/>
      <c r="I14" s="26" t="n"/>
    </row>
    <row r="15">
      <c r="A15" s="39" t="inlineStr">
        <is>
          <t>M11</t>
        </is>
      </c>
      <c r="B15" s="40" t="inlineStr">
        <is>
          <t>Up-to-date CVs provided for all proposed team members</t>
        </is>
      </c>
      <c r="C15" s="44" t="inlineStr">
        <is>
          <t>RTS Art. 7(1)(b); TIBER-EU Procurement 3.1</t>
        </is>
      </c>
      <c r="D15" s="55" t="n"/>
      <c r="E15" s="55" t="n"/>
      <c r="F15" s="55" t="n"/>
      <c r="G15" s="26" t="n"/>
      <c r="H15" s="26" t="n"/>
      <c r="I15" s="26" t="n"/>
    </row>
    <row r="16">
      <c r="A16" s="39" t="inlineStr">
        <is>
          <t>M12</t>
        </is>
      </c>
      <c r="B16" s="40" t="inlineStr">
        <is>
          <t>Provider can deliver independent assurance or audit report on sound risk management for TLPT</t>
        </is>
      </c>
      <c r="C16" s="44" t="inlineStr">
        <is>
          <t>DORA Art. 27(1)(d)</t>
        </is>
      </c>
      <c r="D16" s="55" t="n"/>
      <c r="E16" s="55" t="n"/>
      <c r="F16" s="55" t="n"/>
      <c r="G16" s="26" t="n"/>
      <c r="H16" s="26" t="n"/>
      <c r="I16" s="26" t="n"/>
    </row>
    <row r="17">
      <c r="A17" s="26" t="n"/>
      <c r="B17" s="56" t="inlineStr">
        <is>
          <t>RESULT:</t>
        </is>
      </c>
      <c r="C17" s="26" t="n"/>
      <c r="D17" s="57">
        <f>IF(COUNTIF(D5:D16,"No")&gt;0,"FAIL","PASS")</f>
        <v/>
      </c>
      <c r="E17" s="57">
        <f>IF(COUNTIF(E5:E16,"No")&gt;0,"FAIL","PASS")</f>
        <v/>
      </c>
      <c r="F17" s="57">
        <f>IF(COUNTIF(F5:F16,"No")&gt;0,"FAIL","PASS")</f>
        <v/>
      </c>
      <c r="G17" s="26" t="n"/>
      <c r="H17" s="26" t="n"/>
      <c r="I17" s="26" t="n"/>
    </row>
    <row r="19">
      <c r="A19" s="53" t="inlineStr">
        <is>
          <t>Part B: Weighted Evaluation</t>
        </is>
      </c>
    </row>
    <row r="20">
      <c r="A20" s="37" t="inlineStr">
        <is>
          <t>#</t>
        </is>
      </c>
      <c r="B20" s="37" t="inlineStr">
        <is>
          <t>Criterion</t>
        </is>
      </c>
      <c r="C20" s="37" t="inlineStr">
        <is>
          <t>Weight</t>
        </is>
      </c>
      <c r="D20" s="37" t="inlineStr">
        <is>
          <t>A Score</t>
        </is>
      </c>
      <c r="E20" s="37" t="inlineStr">
        <is>
          <t>A Weighted</t>
        </is>
      </c>
      <c r="F20" s="37" t="inlineStr">
        <is>
          <t>B Score</t>
        </is>
      </c>
      <c r="G20" s="37" t="inlineStr">
        <is>
          <t>B Weighted</t>
        </is>
      </c>
      <c r="H20" s="37" t="inlineStr">
        <is>
          <t>C Score</t>
        </is>
      </c>
      <c r="I20" s="37" t="inlineStr">
        <is>
          <t>C Weighted</t>
        </is>
      </c>
    </row>
    <row r="21">
      <c r="A21" s="39" t="inlineStr">
        <is>
          <t>E1</t>
        </is>
      </c>
      <c r="B21" s="40" t="inlineStr">
        <is>
          <t>Financial sector threat intelligence depth</t>
        </is>
      </c>
      <c r="C21" s="24" t="n">
        <v>3</v>
      </c>
      <c r="D21" s="55" t="n"/>
      <c r="E21" s="24">
        <f>IF(D21="","",C21*D21)</f>
        <v/>
      </c>
      <c r="F21" s="55" t="n"/>
      <c r="G21" s="24">
        <f>IF(F21="","",C21*F21)</f>
        <v/>
      </c>
      <c r="H21" s="55" t="n"/>
      <c r="I21" s="24">
        <f>IF(H21="","",C21*H21)</f>
        <v/>
      </c>
    </row>
    <row r="22">
      <c r="A22" s="39" t="inlineStr">
        <is>
          <t>E2</t>
        </is>
      </c>
      <c r="B22" s="40" t="inlineStr">
        <is>
          <t>Target intelligence capability (HUMINT, OSINT, dark web)</t>
        </is>
      </c>
      <c r="C22" s="24" t="n">
        <v>3</v>
      </c>
      <c r="D22" s="55" t="n"/>
      <c r="E22" s="24">
        <f>IF(D22="","",C22*D22)</f>
        <v/>
      </c>
      <c r="F22" s="55" t="n"/>
      <c r="G22" s="24">
        <f>IF(F22="","",C22*F22)</f>
        <v/>
      </c>
      <c r="H22" s="55" t="n"/>
      <c r="I22" s="24">
        <f>IF(H22="","",C22*H22)</f>
        <v/>
      </c>
    </row>
    <row r="23">
      <c r="A23" s="39" t="inlineStr">
        <is>
          <t>E3</t>
        </is>
      </c>
      <c r="B23" s="40" t="inlineStr">
        <is>
          <t>TLPT/TIBER prior experience</t>
        </is>
      </c>
      <c r="C23" s="24" t="n">
        <v>3</v>
      </c>
      <c r="D23" s="55" t="n"/>
      <c r="E23" s="24">
        <f>IF(D23="","",C23*D23)</f>
        <v/>
      </c>
      <c r="F23" s="55" t="n"/>
      <c r="G23" s="24">
        <f>IF(F23="","",C23*F23)</f>
        <v/>
      </c>
      <c r="H23" s="55" t="n"/>
      <c r="I23" s="24">
        <f>IF(H23="","",C23*H23)</f>
        <v/>
      </c>
    </row>
    <row r="24">
      <c r="A24" s="39" t="inlineStr">
        <is>
          <t>E4</t>
        </is>
      </c>
      <c r="B24" s="40" t="inlineStr">
        <is>
          <t>Geopolitical and sectoral analysis capability</t>
        </is>
      </c>
      <c r="C24" s="24" t="n">
        <v>2</v>
      </c>
      <c r="D24" s="55" t="n"/>
      <c r="E24" s="24">
        <f>IF(D24="","",C24*D24)</f>
        <v/>
      </c>
      <c r="F24" s="55" t="n"/>
      <c r="G24" s="24">
        <f>IF(F24="","",C24*F24)</f>
        <v/>
      </c>
      <c r="H24" s="55" t="n"/>
      <c r="I24" s="24">
        <f>IF(H24="","",C24*H24)</f>
        <v/>
      </c>
    </row>
    <row r="25">
      <c r="A25" s="39" t="inlineStr">
        <is>
          <t>E5</t>
        </is>
      </c>
      <c r="B25" s="40" t="inlineStr">
        <is>
          <t>Language capability for social engineering research</t>
        </is>
      </c>
      <c r="C25" s="24" t="n">
        <v>2</v>
      </c>
      <c r="D25" s="55" t="n"/>
      <c r="E25" s="24">
        <f>IF(D25="","",C25*D25)</f>
        <v/>
      </c>
      <c r="F25" s="55" t="n"/>
      <c r="G25" s="24">
        <f>IF(F25="","",C25*F25)</f>
        <v/>
      </c>
      <c r="H25" s="55" t="n"/>
      <c r="I25" s="24">
        <f>IF(H25="","",C25*H25)</f>
        <v/>
      </c>
    </row>
    <row r="26">
      <c r="A26" s="39" t="inlineStr">
        <is>
          <t>E6</t>
        </is>
      </c>
      <c r="B26" s="40" t="inlineStr">
        <is>
          <t>Threat actor profiling methodology</t>
        </is>
      </c>
      <c r="C26" s="24" t="n">
        <v>3</v>
      </c>
      <c r="D26" s="55" t="n"/>
      <c r="E26" s="24">
        <f>IF(D26="","",C26*D26)</f>
        <v/>
      </c>
      <c r="F26" s="55" t="n"/>
      <c r="G26" s="24">
        <f>IF(F26="","",C26*F26)</f>
        <v/>
      </c>
      <c r="H26" s="55" t="n"/>
      <c r="I26" s="24">
        <f>IF(H26="","",C26*H26)</f>
        <v/>
      </c>
    </row>
    <row r="27">
      <c r="A27" s="39" t="inlineStr">
        <is>
          <t>E7</t>
        </is>
      </c>
      <c r="B27" s="40" t="inlineStr">
        <is>
          <t>Scenario development quality</t>
        </is>
      </c>
      <c r="C27" s="24" t="n">
        <v>3</v>
      </c>
      <c r="D27" s="55" t="n"/>
      <c r="E27" s="24">
        <f>IF(D27="","",C27*D27)</f>
        <v/>
      </c>
      <c r="F27" s="55" t="n"/>
      <c r="G27" s="24">
        <f>IF(F27="","",C27*F27)</f>
        <v/>
      </c>
      <c r="H27" s="55" t="n"/>
      <c r="I27" s="24">
        <f>IF(H27="","",C27*H27)</f>
        <v/>
      </c>
    </row>
    <row r="28">
      <c r="A28" s="39" t="inlineStr">
        <is>
          <t>E8</t>
        </is>
      </c>
      <c r="B28" s="40" t="inlineStr">
        <is>
          <t>Communication quality (technical and non-technical audiences)</t>
        </is>
      </c>
      <c r="C28" s="24" t="n">
        <v>2</v>
      </c>
      <c r="D28" s="55" t="n"/>
      <c r="E28" s="24">
        <f>IF(D28="","",C28*D28)</f>
        <v/>
      </c>
      <c r="F28" s="55" t="n"/>
      <c r="G28" s="24">
        <f>IF(F28="","",C28*F28)</f>
        <v/>
      </c>
      <c r="H28" s="55" t="n"/>
      <c r="I28" s="24">
        <f>IF(H28="","",C28*H28)</f>
        <v/>
      </c>
    </row>
    <row r="29">
      <c r="A29" s="39" t="inlineStr">
        <is>
          <t>E9</t>
        </is>
      </c>
      <c r="B29" s="40" t="inlineStr">
        <is>
          <t>Data handling and destruction protocols</t>
        </is>
      </c>
      <c r="C29" s="24" t="n">
        <v>2</v>
      </c>
      <c r="D29" s="55" t="n"/>
      <c r="E29" s="24">
        <f>IF(D29="","",C29*D29)</f>
        <v/>
      </c>
      <c r="F29" s="55" t="n"/>
      <c r="G29" s="24">
        <f>IF(F29="","",C29*F29)</f>
        <v/>
      </c>
      <c r="H29" s="55" t="n"/>
      <c r="I29" s="24">
        <f>IF(H29="","",C29*H29)</f>
        <v/>
      </c>
    </row>
    <row r="30">
      <c r="A30" s="39" t="inlineStr">
        <is>
          <t>E10</t>
        </is>
      </c>
      <c r="B30" s="40" t="inlineStr">
        <is>
          <t>Availability and responsiveness during active testing</t>
        </is>
      </c>
      <c r="C30" s="24" t="n">
        <v>2</v>
      </c>
      <c r="D30" s="55" t="n"/>
      <c r="E30" s="24">
        <f>IF(D30="","",C30*D30)</f>
        <v/>
      </c>
      <c r="F30" s="55" t="n"/>
      <c r="G30" s="24">
        <f>IF(F30="","",C30*F30)</f>
        <v/>
      </c>
      <c r="H30" s="55" t="n"/>
      <c r="I30" s="24">
        <f>IF(H30="","",C30*H30)</f>
        <v/>
      </c>
    </row>
    <row r="31">
      <c r="A31" s="39" t="inlineStr">
        <is>
          <t>E11</t>
        </is>
      </c>
      <c r="B31" s="40" t="inlineStr">
        <is>
          <t>Report quality and actionability</t>
        </is>
      </c>
      <c r="C31" s="24" t="n">
        <v>3</v>
      </c>
      <c r="D31" s="55" t="n"/>
      <c r="E31" s="24">
        <f>IF(D31="","",C31*D31)</f>
        <v/>
      </c>
      <c r="F31" s="55" t="n"/>
      <c r="G31" s="24">
        <f>IF(F31="","",C31*F31)</f>
        <v/>
      </c>
      <c r="H31" s="55" t="n"/>
      <c r="I31" s="24">
        <f>IF(H31="","",C31*H31)</f>
        <v/>
      </c>
    </row>
    <row r="32">
      <c r="A32" s="39" t="inlineStr">
        <is>
          <t>E12</t>
        </is>
      </c>
      <c r="B32" s="40" t="inlineStr">
        <is>
          <t>Team stability and replacement capacity</t>
        </is>
      </c>
      <c r="C32" s="24" t="n">
        <v>2</v>
      </c>
      <c r="D32" s="55" t="n"/>
      <c r="E32" s="24">
        <f>IF(D32="","",C32*D32)</f>
        <v/>
      </c>
      <c r="F32" s="55" t="n"/>
      <c r="G32" s="24">
        <f>IF(F32="","",C32*F32)</f>
        <v/>
      </c>
      <c r="H32" s="55" t="n"/>
      <c r="I32" s="24">
        <f>IF(H32="","",C32*H32)</f>
        <v/>
      </c>
    </row>
    <row r="33">
      <c r="A33" s="39" t="inlineStr">
        <is>
          <t>E13</t>
        </is>
      </c>
      <c r="B33" s="40" t="inlineStr">
        <is>
          <t>Access to proprietary intelligence sources</t>
        </is>
      </c>
      <c r="C33" s="24" t="n">
        <v>2</v>
      </c>
      <c r="D33" s="55" t="n"/>
      <c r="E33" s="24">
        <f>IF(D33="","",C33*D33)</f>
        <v/>
      </c>
      <c r="F33" s="55" t="n"/>
      <c r="G33" s="24">
        <f>IF(F33="","",C33*F33)</f>
        <v/>
      </c>
      <c r="H33" s="55" t="n"/>
      <c r="I33" s="24">
        <f>IF(H33="","",C33*H33)</f>
        <v/>
      </c>
    </row>
    <row r="34">
      <c r="A34" s="39" t="inlineStr">
        <is>
          <t>E14</t>
        </is>
      </c>
      <c r="B34" s="40" t="inlineStr">
        <is>
          <t>Collaboration track record with red teams</t>
        </is>
      </c>
      <c r="C34" s="24" t="n">
        <v>3</v>
      </c>
      <c r="D34" s="55" t="n"/>
      <c r="E34" s="24">
        <f>IF(D34="","",C34*D34)</f>
        <v/>
      </c>
      <c r="F34" s="55" t="n"/>
      <c r="G34" s="24">
        <f>IF(F34="","",C34*F34)</f>
        <v/>
      </c>
      <c r="H34" s="55" t="n"/>
      <c r="I34" s="24">
        <f>IF(H34="","",C34*H34)</f>
        <v/>
      </c>
    </row>
    <row r="35">
      <c r="B35" s="56" t="inlineStr">
        <is>
          <t>TOTAL</t>
        </is>
      </c>
      <c r="E35" s="58">
        <f>SUM(E21:E34)</f>
        <v/>
      </c>
      <c r="G35" s="58">
        <f>SUM(G21:G34)</f>
        <v/>
      </c>
      <c r="I35" s="58">
        <f>SUM(I21:I34)</f>
        <v/>
      </c>
    </row>
    <row r="38">
      <c r="A38" s="36" t="inlineStr">
        <is>
          <t>RED TEAM PROVIDER EVALUATION</t>
        </is>
      </c>
    </row>
    <row r="40">
      <c r="A40" s="53" t="inlineStr">
        <is>
          <t>Part A: Minimum Requirements Gate</t>
        </is>
      </c>
    </row>
    <row r="41">
      <c r="A41" s="37" t="inlineStr">
        <is>
          <t>#</t>
        </is>
      </c>
      <c r="B41" s="37" t="inlineStr">
        <is>
          <t>Requirement</t>
        </is>
      </c>
      <c r="C41" s="37" t="inlineStr">
        <is>
          <t>RTS Reference</t>
        </is>
      </c>
      <c r="D41" s="37" t="inlineStr">
        <is>
          <t>Provider A</t>
        </is>
      </c>
      <c r="E41" s="37" t="inlineStr">
        <is>
          <t>Provider B</t>
        </is>
      </c>
      <c r="F41" s="37" t="inlineStr">
        <is>
          <t>Provider C</t>
        </is>
      </c>
      <c r="G41" s="54" t="n"/>
      <c r="H41" s="54" t="n"/>
      <c r="I41" s="54" t="n"/>
    </row>
    <row r="42">
      <c r="A42" s="39" t="inlineStr">
        <is>
          <t>M1</t>
        </is>
      </c>
      <c r="B42" s="40" t="inlineStr">
        <is>
          <t>Test lead has minimum 5 years penetration testing and red team experience</t>
        </is>
      </c>
      <c r="C42" s="44" t="inlineStr">
        <is>
          <t>RTS Art. 7(1)(a); TIBER-EU Procurement 4.1</t>
        </is>
      </c>
      <c r="D42" s="55" t="n"/>
      <c r="E42" s="55" t="n"/>
      <c r="F42" s="55" t="n"/>
      <c r="G42" s="26" t="n"/>
      <c r="H42" s="26" t="n"/>
      <c r="I42" s="26" t="n"/>
    </row>
    <row r="43">
      <c r="A43" s="39" t="inlineStr">
        <is>
          <t>M2</t>
        </is>
      </c>
      <c r="B43" s="40" t="inlineStr">
        <is>
          <t>At least 2 additional team members with minimum 2 years experience each</t>
        </is>
      </c>
      <c r="C43" s="44" t="inlineStr">
        <is>
          <t>RTS Art. 7(1)(a); TIBER-EU Procurement 4.1</t>
        </is>
      </c>
      <c r="D43" s="55" t="n"/>
      <c r="E43" s="55" t="n"/>
      <c r="F43" s="55" t="n"/>
      <c r="G43" s="26" t="n"/>
      <c r="H43" s="26" t="n"/>
      <c r="I43" s="26" t="n"/>
    </row>
    <row r="44">
      <c r="A44" s="39" t="inlineStr">
        <is>
          <t>M3</t>
        </is>
      </c>
      <c r="B44" s="40" t="inlineStr">
        <is>
          <t>Minimum team size: 3 persons with adequate replacement capacity</t>
        </is>
      </c>
      <c r="C44" s="44" t="inlineStr">
        <is>
          <t>TIBER-EU Procurement 4.1</t>
        </is>
      </c>
      <c r="D44" s="55" t="n"/>
      <c r="E44" s="55" t="n"/>
      <c r="F44" s="55" t="n"/>
      <c r="G44" s="26" t="n"/>
      <c r="H44" s="26" t="n"/>
      <c r="I44" s="26" t="n"/>
    </row>
    <row r="45">
      <c r="A45" s="39" t="inlineStr">
        <is>
          <t>M4</t>
        </is>
      </c>
      <c r="B45" s="40" t="inlineStr">
        <is>
          <t>Minimum 5 client references from previous pentest/red team assignments</t>
        </is>
      </c>
      <c r="C45" s="44" t="inlineStr">
        <is>
          <t>TIBER-EU Procurement 4.1</t>
        </is>
      </c>
      <c r="D45" s="55" t="n"/>
      <c r="E45" s="55" t="n"/>
      <c r="F45" s="55" t="n"/>
      <c r="G45" s="26" t="n"/>
      <c r="H45" s="26" t="n"/>
      <c r="I45" s="26" t="n"/>
    </row>
    <row r="46">
      <c r="A46" s="39" t="inlineStr">
        <is>
          <t>M5</t>
        </is>
      </c>
      <c r="B46" s="40" t="inlineStr">
        <is>
          <t>Three core team members have combined minimum 5 previous pentest/red team assignments</t>
        </is>
      </c>
      <c r="C46" s="44" t="inlineStr">
        <is>
          <t>TIBER-EU Procurement 4.1</t>
        </is>
      </c>
      <c r="D46" s="55" t="n"/>
      <c r="E46" s="55" t="n"/>
      <c r="F46" s="55" t="n"/>
      <c r="G46" s="26" t="n"/>
      <c r="H46" s="26" t="n"/>
      <c r="I46" s="26" t="n"/>
    </row>
    <row r="47">
      <c r="A47" s="39" t="inlineStr">
        <is>
          <t>M6</t>
        </is>
      </c>
      <c r="B47" s="40" t="inlineStr">
        <is>
          <t>Professional indemnity insurance covering misconduct and negligence</t>
        </is>
      </c>
      <c r="C47" s="44" t="inlineStr">
        <is>
          <t>DORA Art. 27(1)(e); RTS Art. 7(1)(b)</t>
        </is>
      </c>
      <c r="D47" s="55" t="n"/>
      <c r="E47" s="55" t="n"/>
      <c r="F47" s="55" t="n"/>
      <c r="G47" s="26" t="n"/>
      <c r="H47" s="26" t="n"/>
      <c r="I47" s="26" t="n"/>
    </row>
    <row r="48">
      <c r="A48" s="39" t="inlineStr">
        <is>
          <t>M7</t>
        </is>
      </c>
      <c r="B48" s="40" t="inlineStr">
        <is>
          <t>Certifications per recognized market standards</t>
        </is>
      </c>
      <c r="C48" s="44" t="inlineStr">
        <is>
          <t>DORA Art. 27(1)(c); RTS Art. 7(1)(b)</t>
        </is>
      </c>
      <c r="D48" s="55" t="n"/>
      <c r="E48" s="55" t="n"/>
      <c r="F48" s="55" t="n"/>
      <c r="G48" s="26" t="n"/>
      <c r="H48" s="26" t="n"/>
      <c r="I48" s="26" t="n"/>
    </row>
    <row r="49">
      <c r="A49" s="39" t="inlineStr">
        <is>
          <t>M8</t>
        </is>
      </c>
      <c r="B49" s="40" t="inlineStr">
        <is>
          <t>No conflict of interest with the financial entity or ICT providers in scope</t>
        </is>
      </c>
      <c r="C49" s="44" t="inlineStr">
        <is>
          <t>RTS Art. 7(1)(d); TIBER-EU Procurement 4.1</t>
        </is>
      </c>
      <c r="D49" s="55" t="n"/>
      <c r="E49" s="55" t="n"/>
      <c r="F49" s="55" t="n"/>
      <c r="G49" s="26" t="n"/>
      <c r="H49" s="26" t="n"/>
      <c r="I49" s="26" t="n"/>
    </row>
    <row r="50">
      <c r="A50" s="39" t="inlineStr">
        <is>
          <t>M9</t>
        </is>
      </c>
      <c r="B50" s="40" t="inlineStr">
        <is>
          <t>Not simultaneously performing blue team / defensive security tasks for the entity</t>
        </is>
      </c>
      <c r="C50" s="44" t="inlineStr">
        <is>
          <t>TIBER-EU Procurement 4.1</t>
        </is>
      </c>
      <c r="D50" s="55" t="n"/>
      <c r="E50" s="55" t="n"/>
      <c r="F50" s="55" t="n"/>
      <c r="G50" s="26" t="n"/>
      <c r="H50" s="26" t="n"/>
      <c r="I50" s="26" t="n"/>
    </row>
    <row r="51">
      <c r="A51" s="39" t="inlineStr">
        <is>
          <t>M10</t>
        </is>
      </c>
      <c r="B51" s="40" t="inlineStr">
        <is>
          <t>If same company provides TI and RT: RT team is separated from TI staff</t>
        </is>
      </c>
      <c r="C51" s="44" t="inlineStr">
        <is>
          <t>RTS Art. 7(1)(d); TIBER-EU Procurement 4.1</t>
        </is>
      </c>
      <c r="D51" s="55" t="n"/>
      <c r="E51" s="55" t="n"/>
      <c r="F51" s="55" t="n"/>
      <c r="G51" s="26" t="n"/>
      <c r="H51" s="26" t="n"/>
      <c r="I51" s="26" t="n"/>
    </row>
    <row r="52">
      <c r="A52" s="39" t="inlineStr">
        <is>
          <t>M11</t>
        </is>
      </c>
      <c r="B52" s="40" t="inlineStr">
        <is>
          <t>Up-to-date CVs provided for all proposed team members</t>
        </is>
      </c>
      <c r="C52" s="44" t="inlineStr">
        <is>
          <t>RTS Art. 7(1)(b); TIBER-EU Procurement 4.1</t>
        </is>
      </c>
      <c r="D52" s="55" t="n"/>
      <c r="E52" s="55" t="n"/>
      <c r="F52" s="55" t="n"/>
      <c r="G52" s="26" t="n"/>
      <c r="H52" s="26" t="n"/>
      <c r="I52" s="26" t="n"/>
    </row>
    <row r="53">
      <c r="A53" s="39" t="inlineStr">
        <is>
          <t>M12</t>
        </is>
      </c>
      <c r="B53" s="40" t="inlineStr">
        <is>
          <t>Provider can deliver independent assurance or audit report on sound risk management for TLPT</t>
        </is>
      </c>
      <c r="C53" s="44" t="inlineStr">
        <is>
          <t>DORA Art. 27(1)(d)</t>
        </is>
      </c>
      <c r="D53" s="55" t="n"/>
      <c r="E53" s="55" t="n"/>
      <c r="F53" s="55" t="n"/>
      <c r="G53" s="26" t="n"/>
      <c r="H53" s="26" t="n"/>
      <c r="I53" s="26" t="n"/>
    </row>
    <row r="54">
      <c r="A54" s="39" t="inlineStr">
        <is>
          <t>M13</t>
        </is>
      </c>
      <c r="B54" s="40" t="inlineStr">
        <is>
          <t>Provider is external (or internal use approved by TLPT authority per RTS Art. 15)</t>
        </is>
      </c>
      <c r="C54" s="44" t="inlineStr">
        <is>
          <t>DORA Art. 26(8); RTS Art. 15</t>
        </is>
      </c>
      <c r="D54" s="55" t="n"/>
      <c r="E54" s="55" t="n"/>
      <c r="F54" s="55" t="n"/>
      <c r="G54" s="26" t="n"/>
      <c r="H54" s="26" t="n"/>
      <c r="I54" s="26" t="n"/>
    </row>
    <row r="55">
      <c r="A55" s="26" t="n"/>
      <c r="B55" s="56" t="inlineStr">
        <is>
          <t>RESULT:</t>
        </is>
      </c>
      <c r="C55" s="26" t="n"/>
      <c r="D55" s="57">
        <f>IF(COUNTIF(D42:D54,"No")&gt;0,"FAIL","PASS")</f>
        <v/>
      </c>
      <c r="E55" s="57">
        <f>IF(COUNTIF(E42:E54,"No")&gt;0,"FAIL","PASS")</f>
        <v/>
      </c>
      <c r="F55" s="57">
        <f>IF(COUNTIF(F42:F54,"No")&gt;0,"FAIL","PASS")</f>
        <v/>
      </c>
      <c r="G55" s="26" t="n"/>
      <c r="H55" s="26" t="n"/>
      <c r="I55" s="26" t="n"/>
    </row>
    <row r="57">
      <c r="A57" s="53" t="inlineStr">
        <is>
          <t>Part B: Weighted Evaluation</t>
        </is>
      </c>
    </row>
    <row r="58">
      <c r="A58" s="37" t="inlineStr">
        <is>
          <t>#</t>
        </is>
      </c>
      <c r="B58" s="37" t="inlineStr">
        <is>
          <t>Criterion</t>
        </is>
      </c>
      <c r="C58" s="37" t="inlineStr">
        <is>
          <t>Weight</t>
        </is>
      </c>
      <c r="D58" s="37" t="inlineStr">
        <is>
          <t>A Score</t>
        </is>
      </c>
      <c r="E58" s="37" t="inlineStr">
        <is>
          <t>A Weighted</t>
        </is>
      </c>
      <c r="F58" s="37" t="inlineStr">
        <is>
          <t>B Score</t>
        </is>
      </c>
      <c r="G58" s="37" t="inlineStr">
        <is>
          <t>B Weighted</t>
        </is>
      </c>
      <c r="H58" s="37" t="inlineStr">
        <is>
          <t>C Score</t>
        </is>
      </c>
      <c r="I58" s="37" t="inlineStr">
        <is>
          <t>C Weighted</t>
        </is>
      </c>
    </row>
    <row r="59">
      <c r="A59" s="39" t="inlineStr">
        <is>
          <t>E1</t>
        </is>
      </c>
      <c r="B59" s="40" t="inlineStr">
        <is>
          <t>CVE publication track record</t>
        </is>
      </c>
      <c r="C59" s="24" t="n">
        <v>3</v>
      </c>
      <c r="D59" s="55" t="n"/>
      <c r="E59" s="24">
        <f>IF(D59="","",C59*D59)</f>
        <v/>
      </c>
      <c r="F59" s="55" t="n"/>
      <c r="G59" s="24">
        <f>IF(F59="","",C59*F59)</f>
        <v/>
      </c>
      <c r="H59" s="55" t="n"/>
      <c r="I59" s="24">
        <f>IF(H59="","",C59*H59)</f>
        <v/>
      </c>
    </row>
    <row r="60">
      <c r="A60" s="39" t="inlineStr">
        <is>
          <t>E2</t>
        </is>
      </c>
      <c r="B60" s="40" t="inlineStr">
        <is>
          <t>TLPT/TIBER prior experience</t>
        </is>
      </c>
      <c r="C60" s="24" t="n">
        <v>3</v>
      </c>
      <c r="D60" s="55" t="n"/>
      <c r="E60" s="24">
        <f>IF(D60="","",C60*D60)</f>
        <v/>
      </c>
      <c r="F60" s="55" t="n"/>
      <c r="G60" s="24">
        <f>IF(F60="","",C60*F60)</f>
        <v/>
      </c>
      <c r="H60" s="55" t="n"/>
      <c r="I60" s="24">
        <f>IF(H60="","",C60*H60)</f>
        <v/>
      </c>
    </row>
    <row r="61">
      <c r="A61" s="39" t="inlineStr">
        <is>
          <t>E3</t>
        </is>
      </c>
      <c r="B61" s="40" t="inlineStr">
        <is>
          <t>Financial sector experience</t>
        </is>
      </c>
      <c r="C61" s="24" t="n">
        <v>3</v>
      </c>
      <c r="D61" s="55" t="n"/>
      <c r="E61" s="24">
        <f>IF(D61="","",C61*D61)</f>
        <v/>
      </c>
      <c r="F61" s="55" t="n"/>
      <c r="G61" s="24">
        <f>IF(F61="","",C61*F61)</f>
        <v/>
      </c>
      <c r="H61" s="55" t="n"/>
      <c r="I61" s="24">
        <f>IF(H61="","",C61*H61)</f>
        <v/>
      </c>
    </row>
    <row r="62">
      <c r="A62" s="39" t="inlineStr">
        <is>
          <t>E4</t>
        </is>
      </c>
      <c r="B62" s="40" t="inlineStr">
        <is>
          <t>Live production system testing experience</t>
        </is>
      </c>
      <c r="C62" s="24" t="n">
        <v>3</v>
      </c>
      <c r="D62" s="55" t="n"/>
      <c r="E62" s="24">
        <f>IF(D62="","",C62*D62)</f>
        <v/>
      </c>
      <c r="F62" s="55" t="n"/>
      <c r="G62" s="24">
        <f>IF(F62="","",C62*F62)</f>
        <v/>
      </c>
      <c r="H62" s="55" t="n"/>
      <c r="I62" s="24">
        <f>IF(H62="","",C62*H62)</f>
        <v/>
      </c>
    </row>
    <row r="63">
      <c r="A63" s="39" t="inlineStr">
        <is>
          <t>E5</t>
        </is>
      </c>
      <c r="B63" s="40" t="inlineStr">
        <is>
          <t>Operational security maturity</t>
        </is>
      </c>
      <c r="C63" s="24" t="n">
        <v>3</v>
      </c>
      <c r="D63" s="55" t="n"/>
      <c r="E63" s="24">
        <f>IF(D63="","",C63*D63)</f>
        <v/>
      </c>
      <c r="F63" s="55" t="n"/>
      <c r="G63" s="24">
        <f>IF(F63="","",C63*F63)</f>
        <v/>
      </c>
      <c r="H63" s="55" t="n"/>
      <c r="I63" s="24">
        <f>IF(H63="","",C63*H63)</f>
        <v/>
      </c>
    </row>
    <row r="64">
      <c r="A64" s="39" t="inlineStr">
        <is>
          <t>E6</t>
        </is>
      </c>
      <c r="B64" s="40" t="inlineStr">
        <is>
          <t>Kill switch and halt procedures</t>
        </is>
      </c>
      <c r="C64" s="24" t="n">
        <v>3</v>
      </c>
      <c r="D64" s="55" t="n"/>
      <c r="E64" s="24">
        <f>IF(D64="","",C64*D64)</f>
        <v/>
      </c>
      <c r="F64" s="55" t="n"/>
      <c r="G64" s="24">
        <f>IF(F64="","",C64*F64)</f>
        <v/>
      </c>
      <c r="H64" s="55" t="n"/>
      <c r="I64" s="24">
        <f>IF(H64="","",C64*H64)</f>
        <v/>
      </c>
    </row>
    <row r="65">
      <c r="A65" s="39" t="inlineStr">
        <is>
          <t>E7</t>
        </is>
      </c>
      <c r="B65" s="40" t="inlineStr">
        <is>
          <t>AV/EDR/XDR bypass capability</t>
        </is>
      </c>
      <c r="C65" s="24" t="n">
        <v>3</v>
      </c>
      <c r="D65" s="55" t="n"/>
      <c r="E65" s="24">
        <f>IF(D65="","",C65*D65)</f>
        <v/>
      </c>
      <c r="F65" s="55" t="n"/>
      <c r="G65" s="24">
        <f>IF(F65="","",C65*F65)</f>
        <v/>
      </c>
      <c r="H65" s="55" t="n"/>
      <c r="I65" s="24">
        <f>IF(H65="","",C65*H65)</f>
        <v/>
      </c>
    </row>
    <row r="66">
      <c r="A66" s="39" t="inlineStr">
        <is>
          <t>E8</t>
        </is>
      </c>
      <c r="B66" s="40" t="inlineStr">
        <is>
          <t>Social engineering methodology</t>
        </is>
      </c>
      <c r="C66" s="24" t="n">
        <v>2</v>
      </c>
      <c r="D66" s="55" t="n"/>
      <c r="E66" s="24">
        <f>IF(D66="","",C66*D66)</f>
        <v/>
      </c>
      <c r="F66" s="55" t="n"/>
      <c r="G66" s="24">
        <f>IF(F66="","",C66*F66)</f>
        <v/>
      </c>
      <c r="H66" s="55" t="n"/>
      <c r="I66" s="24">
        <f>IF(H66="","",C66*H66)</f>
        <v/>
      </c>
    </row>
    <row r="67">
      <c r="A67" s="39" t="inlineStr">
        <is>
          <t>E9</t>
        </is>
      </c>
      <c r="B67" s="40" t="inlineStr">
        <is>
          <t>Physical security testing capability</t>
        </is>
      </c>
      <c r="C67" s="24" t="n">
        <v>2</v>
      </c>
      <c r="D67" s="55" t="n"/>
      <c r="E67" s="24">
        <f>IF(D67="","",C67*D67)</f>
        <v/>
      </c>
      <c r="F67" s="55" t="n"/>
      <c r="G67" s="24">
        <f>IF(F67="","",C67*F67)</f>
        <v/>
      </c>
      <c r="H67" s="55" t="n"/>
      <c r="I67" s="24">
        <f>IF(H67="","",C67*H67)</f>
        <v/>
      </c>
    </row>
    <row r="68">
      <c r="A68" s="39" t="inlineStr">
        <is>
          <t>E10</t>
        </is>
      </c>
      <c r="B68" s="40" t="inlineStr">
        <is>
          <t>Report quality (request redacted sample)</t>
        </is>
      </c>
      <c r="C68" s="24" t="n">
        <v>3</v>
      </c>
      <c r="D68" s="55" t="n"/>
      <c r="E68" s="24">
        <f>IF(D68="","",C68*D68)</f>
        <v/>
      </c>
      <c r="F68" s="55" t="n"/>
      <c r="G68" s="24">
        <f>IF(F68="","",C68*F68)</f>
        <v/>
      </c>
      <c r="H68" s="55" t="n"/>
      <c r="I68" s="24">
        <f>IF(H68="","",C68*H68)</f>
        <v/>
      </c>
    </row>
    <row r="69">
      <c r="A69" s="39" t="inlineStr">
        <is>
          <t>E11</t>
        </is>
      </c>
      <c r="B69" s="40" t="inlineStr">
        <is>
          <t>Communication and weekly reporting quality</t>
        </is>
      </c>
      <c r="C69" s="24" t="n">
        <v>2</v>
      </c>
      <c r="D69" s="55" t="n"/>
      <c r="E69" s="24">
        <f>IF(D69="","",C69*D69)</f>
        <v/>
      </c>
      <c r="F69" s="55" t="n"/>
      <c r="G69" s="24">
        <f>IF(F69="","",C69*F69)</f>
        <v/>
      </c>
      <c r="H69" s="55" t="n"/>
      <c r="I69" s="24">
        <f>IF(H69="","",C69*H69)</f>
        <v/>
      </c>
    </row>
    <row r="70">
      <c r="A70" s="39" t="inlineStr">
        <is>
          <t>E12</t>
        </is>
      </c>
      <c r="B70" s="40" t="inlineStr">
        <is>
          <t>Team depth and replacement capacity</t>
        </is>
      </c>
      <c r="C70" s="24" t="n">
        <v>2</v>
      </c>
      <c r="D70" s="55" t="n"/>
      <c r="E70" s="24">
        <f>IF(D70="","",C70*D70)</f>
        <v/>
      </c>
      <c r="F70" s="55" t="n"/>
      <c r="G70" s="24">
        <f>IF(F70="","",C70*F70)</f>
        <v/>
      </c>
      <c r="H70" s="55" t="n"/>
      <c r="I70" s="24">
        <f>IF(H70="","",C70*H70)</f>
        <v/>
      </c>
    </row>
    <row r="71">
      <c r="A71" s="39" t="inlineStr">
        <is>
          <t>E13</t>
        </is>
      </c>
      <c r="B71" s="40" t="inlineStr">
        <is>
          <t>ISO 27001 or equivalent ISMS</t>
        </is>
      </c>
      <c r="C71" s="24" t="n">
        <v>2</v>
      </c>
      <c r="D71" s="55" t="n"/>
      <c r="E71" s="24">
        <f>IF(D71="","",C71*D71)</f>
        <v/>
      </c>
      <c r="F71" s="55" t="n"/>
      <c r="G71" s="24">
        <f>IF(F71="","",C71*F71)</f>
        <v/>
      </c>
      <c r="H71" s="55" t="n"/>
      <c r="I71" s="24">
        <f>IF(H71="","",C71*H71)</f>
        <v/>
      </c>
    </row>
    <row r="72">
      <c r="A72" s="39" t="inlineStr">
        <is>
          <t>E14</t>
        </is>
      </c>
      <c r="B72" s="40" t="inlineStr">
        <is>
          <t>Custom tooling and C2 infrastructure</t>
        </is>
      </c>
      <c r="C72" s="24" t="n">
        <v>3</v>
      </c>
      <c r="D72" s="55" t="n"/>
      <c r="E72" s="24">
        <f>IF(D72="","",C72*D72)</f>
        <v/>
      </c>
      <c r="F72" s="55" t="n"/>
      <c r="G72" s="24">
        <f>IF(F72="","",C72*F72)</f>
        <v/>
      </c>
      <c r="H72" s="55" t="n"/>
      <c r="I72" s="24">
        <f>IF(H72="","",C72*H72)</f>
        <v/>
      </c>
    </row>
    <row r="73">
      <c r="A73" s="39" t="inlineStr">
        <is>
          <t>E15</t>
        </is>
      </c>
      <c r="B73" s="40" t="inlineStr">
        <is>
          <t>Collaboration with TI providers</t>
        </is>
      </c>
      <c r="C73" s="24" t="n">
        <v>2</v>
      </c>
      <c r="D73" s="55" t="n"/>
      <c r="E73" s="24">
        <f>IF(D73="","",C73*D73)</f>
        <v/>
      </c>
      <c r="F73" s="55" t="n"/>
      <c r="G73" s="24">
        <f>IF(F73="","",C73*F73)</f>
        <v/>
      </c>
      <c r="H73" s="55" t="n"/>
      <c r="I73" s="24">
        <f>IF(H73="","",C73*H73)</f>
        <v/>
      </c>
    </row>
    <row r="74">
      <c r="A74" s="39" t="inlineStr">
        <is>
          <t>E16</t>
        </is>
      </c>
      <c r="B74" s="40" t="inlineStr">
        <is>
          <t>Provider rotation (not used for entity's previous TLPT)</t>
        </is>
      </c>
      <c r="C74" s="24" t="n">
        <v>1</v>
      </c>
      <c r="D74" s="55" t="n"/>
      <c r="E74" s="24">
        <f>IF(D74="","",C74*D74)</f>
        <v/>
      </c>
      <c r="F74" s="55" t="n"/>
      <c r="G74" s="24">
        <f>IF(F74="","",C74*F74)</f>
        <v/>
      </c>
      <c r="H74" s="55" t="n"/>
      <c r="I74" s="24">
        <f>IF(H74="","",C74*H74)</f>
        <v/>
      </c>
    </row>
    <row r="75">
      <c r="A75" s="39" t="inlineStr">
        <is>
          <t>E17</t>
        </is>
      </c>
      <c r="B75" s="40" t="inlineStr">
        <is>
          <t>Leg-up process experience</t>
        </is>
      </c>
      <c r="C75" s="24" t="n">
        <v>2</v>
      </c>
      <c r="D75" s="55" t="n"/>
      <c r="E75" s="24">
        <f>IF(D75="","",C75*D75)</f>
        <v/>
      </c>
      <c r="F75" s="55" t="n"/>
      <c r="G75" s="24">
        <f>IF(F75="","",C75*F75)</f>
        <v/>
      </c>
      <c r="H75" s="55" t="n"/>
      <c r="I75" s="24">
        <f>IF(H75="","",C75*H75)</f>
        <v/>
      </c>
    </row>
    <row r="76">
      <c r="B76" s="56" t="inlineStr">
        <is>
          <t>TOTAL</t>
        </is>
      </c>
      <c r="E76" s="58">
        <f>SUM(E59:E75)</f>
        <v/>
      </c>
      <c r="G76" s="58">
        <f>SUM(G59:G75)</f>
        <v/>
      </c>
      <c r="I76" s="58">
        <f>SUM(I59:I75)</f>
        <v/>
      </c>
    </row>
    <row r="79">
      <c r="A79" s="36" t="inlineStr">
        <is>
          <t>TECHNICAL COMPETENCY ASSESSMENT</t>
        </is>
      </c>
    </row>
    <row r="80">
      <c r="A80" s="37" t="inlineStr">
        <is>
          <t>#</t>
        </is>
      </c>
      <c r="B80" s="37" t="inlineStr">
        <is>
          <t>Competency Area</t>
        </is>
      </c>
      <c r="C80" s="37" t="inlineStr">
        <is>
          <t>TIBER-EU Ref</t>
        </is>
      </c>
      <c r="D80" s="37" t="inlineStr">
        <is>
          <t>Provider A</t>
        </is>
      </c>
      <c r="E80" s="37" t="inlineStr">
        <is>
          <t>Provider B</t>
        </is>
      </c>
      <c r="F80" s="37" t="inlineStr">
        <is>
          <t>Provider C</t>
        </is>
      </c>
      <c r="G80" s="54" t="n"/>
      <c r="H80" s="54" t="n"/>
      <c r="I80" s="54" t="n"/>
    </row>
    <row r="81">
      <c r="A81" s="39" t="inlineStr">
        <is>
          <t>TC1</t>
        </is>
      </c>
      <c r="B81" s="40" t="inlineStr">
        <is>
          <t>Open source intelligence gathering</t>
        </is>
      </c>
      <c r="C81" s="50" t="inlineStr">
        <is>
          <t>Procurement 4.2</t>
        </is>
      </c>
      <c r="D81" s="55" t="n"/>
      <c r="E81" s="55" t="n"/>
      <c r="F81" s="55" t="n"/>
      <c r="G81" s="26" t="n"/>
      <c r="H81" s="26" t="n"/>
      <c r="I81" s="26" t="n"/>
    </row>
    <row r="82">
      <c r="A82" s="39" t="inlineStr">
        <is>
          <t>TC2</t>
        </is>
      </c>
      <c r="B82" s="40" t="inlineStr">
        <is>
          <t>Exploit development</t>
        </is>
      </c>
      <c r="C82" s="50" t="inlineStr">
        <is>
          <t>Procurement 4.2</t>
        </is>
      </c>
      <c r="D82" s="55" t="n"/>
      <c r="E82" s="55" t="n"/>
      <c r="F82" s="55" t="n"/>
      <c r="G82" s="26" t="n"/>
      <c r="H82" s="26" t="n"/>
      <c r="I82" s="26" t="n"/>
    </row>
    <row r="83">
      <c r="A83" s="39" t="inlineStr">
        <is>
          <t>TC3</t>
        </is>
      </c>
      <c r="B83" s="40" t="inlineStr">
        <is>
          <t>Custom malware development</t>
        </is>
      </c>
      <c r="C83" s="50" t="inlineStr">
        <is>
          <t>Procurement 4.2</t>
        </is>
      </c>
      <c r="D83" s="55" t="n"/>
      <c r="E83" s="55" t="n"/>
      <c r="F83" s="55" t="n"/>
      <c r="G83" s="26" t="n"/>
      <c r="H83" s="26" t="n"/>
      <c r="I83" s="26" t="n"/>
    </row>
    <row r="84">
      <c r="A84" s="39" t="inlineStr">
        <is>
          <t>TC4</t>
        </is>
      </c>
      <c r="B84" s="40" t="inlineStr">
        <is>
          <t>Active Directory based exploitation</t>
        </is>
      </c>
      <c r="C84" s="50" t="inlineStr">
        <is>
          <t>Procurement 4.2</t>
        </is>
      </c>
      <c r="D84" s="55" t="n"/>
      <c r="E84" s="55" t="n"/>
      <c r="F84" s="55" t="n"/>
      <c r="G84" s="26" t="n"/>
      <c r="H84" s="26" t="n"/>
      <c r="I84" s="26" t="n"/>
    </row>
    <row r="85">
      <c r="A85" s="39" t="inlineStr">
        <is>
          <t>TC5</t>
        </is>
      </c>
      <c r="B85" s="40" t="inlineStr">
        <is>
          <t>Physical security testing</t>
        </is>
      </c>
      <c r="C85" s="50" t="inlineStr">
        <is>
          <t>Procurement 4.2</t>
        </is>
      </c>
      <c r="D85" s="55" t="n"/>
      <c r="E85" s="55" t="n"/>
      <c r="F85" s="55" t="n"/>
      <c r="G85" s="26" t="n"/>
      <c r="H85" s="26" t="n"/>
      <c r="I85" s="26" t="n"/>
    </row>
    <row r="86">
      <c r="A86" s="39" t="inlineStr">
        <is>
          <t>TC6</t>
        </is>
      </c>
      <c r="B86" s="40" t="inlineStr">
        <is>
          <t>Human Interface Device (HID) based attacks</t>
        </is>
      </c>
      <c r="C86" s="50" t="inlineStr">
        <is>
          <t>Procurement 4.2</t>
        </is>
      </c>
      <c r="D86" s="55" t="n"/>
      <c r="E86" s="55" t="n"/>
      <c r="F86" s="55" t="n"/>
      <c r="G86" s="26" t="n"/>
      <c r="H86" s="26" t="n"/>
      <c r="I86" s="26" t="n"/>
    </row>
    <row r="87">
      <c r="A87" s="39" t="inlineStr">
        <is>
          <t>TC7</t>
        </is>
      </c>
      <c r="B87" s="40" t="inlineStr">
        <is>
          <t>AV/EDR/NDR/XDR bypass</t>
        </is>
      </c>
      <c r="C87" s="50" t="inlineStr">
        <is>
          <t>Procurement 4.2</t>
        </is>
      </c>
      <c r="D87" s="55" t="n"/>
      <c r="E87" s="55" t="n"/>
      <c r="F87" s="55" t="n"/>
      <c r="G87" s="26" t="n"/>
      <c r="H87" s="26" t="n"/>
      <c r="I87" s="26" t="n"/>
    </row>
    <row r="88">
      <c r="A88" s="39" t="inlineStr">
        <is>
          <t>TC8</t>
        </is>
      </c>
      <c r="B88" s="40" t="inlineStr">
        <is>
          <t>Email security solutions bypass</t>
        </is>
      </c>
      <c r="C88" s="50" t="inlineStr">
        <is>
          <t>Procurement 4.2</t>
        </is>
      </c>
      <c r="D88" s="55" t="n"/>
      <c r="E88" s="55" t="n"/>
      <c r="F88" s="55" t="n"/>
      <c r="G88" s="26" t="n"/>
      <c r="H88" s="26" t="n"/>
      <c r="I88" s="26" t="n"/>
    </row>
    <row r="89">
      <c r="A89" s="39" t="inlineStr">
        <is>
          <t>TC9</t>
        </is>
      </c>
      <c r="B89" s="40" t="inlineStr">
        <is>
          <t>Secure web gateway bypass</t>
        </is>
      </c>
      <c r="C89" s="50" t="inlineStr">
        <is>
          <t>Procurement 4.2</t>
        </is>
      </c>
      <c r="D89" s="55" t="n"/>
      <c r="E89" s="55" t="n"/>
      <c r="F89" s="55" t="n"/>
      <c r="G89" s="26" t="n"/>
      <c r="H89" s="26" t="n"/>
      <c r="I89" s="26" t="n"/>
    </row>
    <row r="90">
      <c r="A90" s="39" t="inlineStr">
        <is>
          <t>TC10</t>
        </is>
      </c>
      <c r="B90" s="40" t="inlineStr">
        <is>
          <t>Anti-phishing solutions bypass</t>
        </is>
      </c>
      <c r="C90" s="50" t="inlineStr">
        <is>
          <t>Procurement 4.2</t>
        </is>
      </c>
      <c r="D90" s="55" t="n"/>
      <c r="E90" s="55" t="n"/>
      <c r="F90" s="55" t="n"/>
      <c r="G90" s="26" t="n"/>
      <c r="H90" s="26" t="n"/>
      <c r="I90" s="26" t="n"/>
    </row>
    <row r="91">
      <c r="A91" s="39" t="inlineStr">
        <is>
          <t>TC11</t>
        </is>
      </c>
      <c r="B91" s="40" t="inlineStr">
        <is>
          <t>Web/API/Mobile penetration testing</t>
        </is>
      </c>
      <c r="C91" s="50" t="inlineStr">
        <is>
          <t>Procurement 4.2</t>
        </is>
      </c>
      <c r="D91" s="55" t="n"/>
      <c r="E91" s="55" t="n"/>
      <c r="F91" s="55" t="n"/>
      <c r="G91" s="26" t="n"/>
      <c r="H91" s="26" t="n"/>
      <c r="I91" s="26" t="n"/>
    </row>
    <row r="92">
      <c r="A92" s="39" t="inlineStr">
        <is>
          <t>TC12</t>
        </is>
      </c>
      <c r="B92" s="40" t="inlineStr">
        <is>
          <t>Mainframe testing (if applicable)</t>
        </is>
      </c>
      <c r="C92" s="50" t="inlineStr">
        <is>
          <t>Procurement 4.2</t>
        </is>
      </c>
      <c r="D92" s="55" t="n"/>
      <c r="E92" s="55" t="n"/>
      <c r="F92" s="55" t="n"/>
      <c r="G92" s="26" t="n"/>
      <c r="H92" s="26" t="n"/>
      <c r="I92" s="26" t="n"/>
    </row>
    <row r="93">
      <c r="A93" s="39" t="inlineStr">
        <is>
          <t>TC13</t>
        </is>
      </c>
      <c r="B93" s="40" t="inlineStr">
        <is>
          <t>Wi-Fi penetration testing</t>
        </is>
      </c>
      <c r="C93" s="50" t="inlineStr">
        <is>
          <t>Procurement 4.2</t>
        </is>
      </c>
      <c r="D93" s="55" t="n"/>
      <c r="E93" s="55" t="n"/>
      <c r="F93" s="55" t="n"/>
      <c r="G93" s="26" t="n"/>
      <c r="H93" s="26" t="n"/>
      <c r="I93" s="26" t="n"/>
    </row>
    <row r="94">
      <c r="A94" s="39" t="inlineStr">
        <is>
          <t>TC14</t>
        </is>
      </c>
      <c r="B94" s="40" t="inlineStr">
        <is>
          <t>Social engineering</t>
        </is>
      </c>
      <c r="C94" s="50" t="inlineStr">
        <is>
          <t>Procurement 4.2</t>
        </is>
      </c>
      <c r="D94" s="55" t="n"/>
      <c r="E94" s="55" t="n"/>
      <c r="F94" s="55" t="n"/>
      <c r="G94" s="26" t="n"/>
      <c r="H94" s="26" t="n"/>
      <c r="I94" s="26" t="n"/>
    </row>
    <row r="95">
      <c r="A95" s="39" t="inlineStr">
        <is>
          <t>TC15</t>
        </is>
      </c>
      <c r="B95" s="40" t="inlineStr">
        <is>
          <t>Incident response knowledge</t>
        </is>
      </c>
      <c r="C95" s="50" t="inlineStr">
        <is>
          <t>Procurement 4.2</t>
        </is>
      </c>
      <c r="D95" s="55" t="n"/>
      <c r="E95" s="55" t="n"/>
      <c r="F95" s="55" t="n"/>
      <c r="G95" s="26" t="n"/>
      <c r="H95" s="26" t="n"/>
      <c r="I95" s="26" t="n"/>
    </row>
    <row r="96">
      <c r="A96" s="39" t="inlineStr">
        <is>
          <t>TC16</t>
        </is>
      </c>
      <c r="B96" s="40" t="inlineStr">
        <is>
          <t>Offensive security tool development</t>
        </is>
      </c>
      <c r="C96" s="50" t="inlineStr">
        <is>
          <t>Procurement 4.2</t>
        </is>
      </c>
      <c r="D96" s="55" t="n"/>
      <c r="E96" s="55" t="n"/>
      <c r="F96" s="55" t="n"/>
      <c r="G96" s="26" t="n"/>
      <c r="H96" s="26" t="n"/>
      <c r="I96" s="26" t="n"/>
    </row>
  </sheetData>
  <sheetProtection selectLockedCells="0" selectUnlockedCells="0" sheet="1" objects="0" insertRows="1" insertHyperlinks="1" autoFilter="0" scenarios="0" formatColumns="0" deleteColumns="1" insertColumns="1" pivotTables="1" deleteRows="1" formatCells="1" formatRows="0" sort="0" password="CE4B"/>
  <mergeCells count="7">
    <mergeCell ref="A57:I57"/>
    <mergeCell ref="A19:I19"/>
    <mergeCell ref="A1:I1"/>
    <mergeCell ref="A40:I40"/>
    <mergeCell ref="A79:I79"/>
    <mergeCell ref="A3:I3"/>
    <mergeCell ref="A38:I38"/>
  </mergeCells>
  <conditionalFormatting sqref="D5:D16">
    <cfRule type="cellIs" priority="1" operator="equal" dxfId="1">
      <formula>"No"</formula>
    </cfRule>
  </conditionalFormatting>
  <conditionalFormatting sqref="E5:E16">
    <cfRule type="cellIs" priority="2" operator="equal" dxfId="1">
      <formula>"No"</formula>
    </cfRule>
  </conditionalFormatting>
  <conditionalFormatting sqref="F5:F16">
    <cfRule type="cellIs" priority="3" operator="equal" dxfId="1">
      <formula>"No"</formula>
    </cfRule>
  </conditionalFormatting>
  <conditionalFormatting sqref="D17">
    <cfRule type="cellIs" priority="4" operator="equal" dxfId="7">
      <formula>"FAIL"</formula>
    </cfRule>
    <cfRule type="cellIs" priority="5" operator="equal" dxfId="8">
      <formula>"PASS"</formula>
    </cfRule>
  </conditionalFormatting>
  <conditionalFormatting sqref="E17">
    <cfRule type="cellIs" priority="6" operator="equal" dxfId="7">
      <formula>"FAIL"</formula>
    </cfRule>
    <cfRule type="cellIs" priority="7" operator="equal" dxfId="8">
      <formula>"PASS"</formula>
    </cfRule>
  </conditionalFormatting>
  <conditionalFormatting sqref="F17">
    <cfRule type="cellIs" priority="8" operator="equal" dxfId="7">
      <formula>"FAIL"</formula>
    </cfRule>
    <cfRule type="cellIs" priority="9" operator="equal" dxfId="8">
      <formula>"PASS"</formula>
    </cfRule>
  </conditionalFormatting>
  <conditionalFormatting sqref="D42:D54">
    <cfRule type="cellIs" priority="10" operator="equal" dxfId="1">
      <formula>"No"</formula>
    </cfRule>
  </conditionalFormatting>
  <conditionalFormatting sqref="E42:E54">
    <cfRule type="cellIs" priority="11" operator="equal" dxfId="1">
      <formula>"No"</formula>
    </cfRule>
  </conditionalFormatting>
  <conditionalFormatting sqref="F42:F54">
    <cfRule type="cellIs" priority="12" operator="equal" dxfId="1">
      <formula>"No"</formula>
    </cfRule>
  </conditionalFormatting>
  <conditionalFormatting sqref="D55">
    <cfRule type="cellIs" priority="13" operator="equal" dxfId="7">
      <formula>"FAIL"</formula>
    </cfRule>
    <cfRule type="cellIs" priority="14" operator="equal" dxfId="8">
      <formula>"PASS"</formula>
    </cfRule>
  </conditionalFormatting>
  <conditionalFormatting sqref="E55">
    <cfRule type="cellIs" priority="15" operator="equal" dxfId="7">
      <formula>"FAIL"</formula>
    </cfRule>
    <cfRule type="cellIs" priority="16" operator="equal" dxfId="8">
      <formula>"PASS"</formula>
    </cfRule>
  </conditionalFormatting>
  <conditionalFormatting sqref="F55">
    <cfRule type="cellIs" priority="17" operator="equal" dxfId="7">
      <formula>"FAIL"</formula>
    </cfRule>
    <cfRule type="cellIs" priority="18" operator="equal" dxfId="8">
      <formula>"PASS"</formula>
    </cfRule>
  </conditionalFormatting>
  <conditionalFormatting sqref="D81:D96">
    <cfRule type="cellIs" priority="19" operator="equal" dxfId="3">
      <formula>"Strong"</formula>
    </cfRule>
    <cfRule type="cellIs" priority="20" operator="equal" dxfId="9">
      <formula>"Adequate"</formula>
    </cfRule>
    <cfRule type="cellIs" priority="21" operator="equal" dxfId="10">
      <formula>"Weak"</formula>
    </cfRule>
    <cfRule type="cellIs" priority="22" operator="equal" dxfId="1">
      <formula>"Not Demonstrated"</formula>
    </cfRule>
  </conditionalFormatting>
  <conditionalFormatting sqref="E81:E96">
    <cfRule type="cellIs" priority="23" operator="equal" dxfId="3">
      <formula>"Strong"</formula>
    </cfRule>
    <cfRule type="cellIs" priority="24" operator="equal" dxfId="9">
      <formula>"Adequate"</formula>
    </cfRule>
    <cfRule type="cellIs" priority="25" operator="equal" dxfId="10">
      <formula>"Weak"</formula>
    </cfRule>
    <cfRule type="cellIs" priority="26" operator="equal" dxfId="1">
      <formula>"Not Demonstrated"</formula>
    </cfRule>
  </conditionalFormatting>
  <conditionalFormatting sqref="F81:F96">
    <cfRule type="cellIs" priority="27" operator="equal" dxfId="3">
      <formula>"Strong"</formula>
    </cfRule>
    <cfRule type="cellIs" priority="28" operator="equal" dxfId="9">
      <formula>"Adequate"</formula>
    </cfRule>
    <cfRule type="cellIs" priority="29" operator="equal" dxfId="10">
      <formula>"Weak"</formula>
    </cfRule>
    <cfRule type="cellIs" priority="30" operator="equal" dxfId="1">
      <formula>"Not Demonstrated"</formula>
    </cfRule>
  </conditionalFormatting>
  <dataValidations count="3">
    <dataValidation sqref="D5 D6 D7 D8 D9 D10 D11 D12 D13 D14 D15 D16 D42 D43 D44 D45 D46 D47 D48 D49 D50 D51 D52 D53 D54 E5 E6 E7 E8 E9 E10 E11 E12 E13 E14 E15 E16 E42 E43 E44 E45 E46 E47 E48 E49 E50 E51 E52 E53 E54 F5 F6 F7 F8 F9 F10 F11 F12 F13 F14 F15 F16 F42 F43 F44 F45 F46 F47 F48 F49 F50 F51 F52 F53 F54" showDropDown="0" showInputMessage="0" showErrorMessage="0" allowBlank="1" error="Select Yes or No" type="list">
      <formula1>"Yes,No"</formula1>
    </dataValidation>
    <dataValidation sqref="D21 D22 D23 D24 D25 D26 D27 D28 D29 D30 D31 D32 D33 D34 D59 D60 D61 D62 D63 D64 D65 D66 D67 D68 D69 D70 D71 D72 D73 D74 D75 F21 F22 F23 F24 F25 F26 F27 F28 F29 F30 F31 F32 F33 F34 F59 F60 F61 F62 F63 F64 F65 F66 F67 F68 F69 F70 F71 F72 F73 F74 F75 H21 H22 H23 H24 H25 H26 H27 H28 H29 H30 H31 H32 H33 H34 H59 H60 H61 H62 H63 H64 H65 H66 H67 H68 H69 H70 H71 H72 H73 H74 H75" showDropDown="0" showInputMessage="0" showErrorMessage="0" allowBlank="1" error="Score 1-5" type="list">
      <formula1>"1,2,3,4,5"</formula1>
    </dataValidation>
    <dataValidation sqref="D81 D82 D83 D84 D85 D86 D87 D88 D89 D90 D91 D92 D93 D94 D95 D96 E81 E82 E83 E84 E85 E86 E87 E88 E89 E90 E91 E92 E93 E94 E95 E96 F81 F82 F83 F84 F85 F86 F87 F88 F89 F90 F91 F92 F93 F94 F95 F96" showDropDown="0" showInputMessage="0" showErrorMessage="0" allowBlank="1" error="Select: Strong, Adequate, Weak, Not Demonstrated" type="list">
      <formula1>"Strong,Adequate,Weak,Not Demonstrated"</formula1>
    </dataValidation>
  </dataValidations>
  <hyperlinks>
    <hyperlink xmlns:r="http://schemas.openxmlformats.org/officeDocument/2006/relationships" ref="C5" r:id="rId1"/>
    <hyperlink xmlns:r="http://schemas.openxmlformats.org/officeDocument/2006/relationships" ref="C6" r:id="rId2"/>
    <hyperlink xmlns:r="http://schemas.openxmlformats.org/officeDocument/2006/relationships" ref="C7" r:id="rId3"/>
    <hyperlink xmlns:r="http://schemas.openxmlformats.org/officeDocument/2006/relationships" ref="C8" r:id="rId4"/>
    <hyperlink xmlns:r="http://schemas.openxmlformats.org/officeDocument/2006/relationships" ref="C9" r:id="rId5"/>
    <hyperlink xmlns:r="http://schemas.openxmlformats.org/officeDocument/2006/relationships" ref="C10" r:id="rId6"/>
    <hyperlink xmlns:r="http://schemas.openxmlformats.org/officeDocument/2006/relationships" ref="C11" r:id="rId7"/>
    <hyperlink xmlns:r="http://schemas.openxmlformats.org/officeDocument/2006/relationships" ref="C12" r:id="rId8"/>
    <hyperlink xmlns:r="http://schemas.openxmlformats.org/officeDocument/2006/relationships" ref="C13" r:id="rId9"/>
    <hyperlink xmlns:r="http://schemas.openxmlformats.org/officeDocument/2006/relationships" ref="C14" r:id="rId10"/>
    <hyperlink xmlns:r="http://schemas.openxmlformats.org/officeDocument/2006/relationships" ref="C15" r:id="rId11"/>
    <hyperlink xmlns:r="http://schemas.openxmlformats.org/officeDocument/2006/relationships" ref="C16" r:id="rId12"/>
    <hyperlink xmlns:r="http://schemas.openxmlformats.org/officeDocument/2006/relationships" ref="C42" r:id="rId13"/>
    <hyperlink xmlns:r="http://schemas.openxmlformats.org/officeDocument/2006/relationships" ref="C43" r:id="rId14"/>
    <hyperlink xmlns:r="http://schemas.openxmlformats.org/officeDocument/2006/relationships" ref="C44" r:id="rId15"/>
    <hyperlink xmlns:r="http://schemas.openxmlformats.org/officeDocument/2006/relationships" ref="C45" r:id="rId16"/>
    <hyperlink xmlns:r="http://schemas.openxmlformats.org/officeDocument/2006/relationships" ref="C46" r:id="rId17"/>
    <hyperlink xmlns:r="http://schemas.openxmlformats.org/officeDocument/2006/relationships" ref="C47" r:id="rId18"/>
    <hyperlink xmlns:r="http://schemas.openxmlformats.org/officeDocument/2006/relationships" ref="C48" r:id="rId19"/>
    <hyperlink xmlns:r="http://schemas.openxmlformats.org/officeDocument/2006/relationships" ref="C49" r:id="rId20"/>
    <hyperlink xmlns:r="http://schemas.openxmlformats.org/officeDocument/2006/relationships" ref="C50" r:id="rId21"/>
    <hyperlink xmlns:r="http://schemas.openxmlformats.org/officeDocument/2006/relationships" ref="C51" r:id="rId22"/>
    <hyperlink xmlns:r="http://schemas.openxmlformats.org/officeDocument/2006/relationships" ref="C52" r:id="rId23"/>
    <hyperlink xmlns:r="http://schemas.openxmlformats.org/officeDocument/2006/relationships" ref="C53" r:id="rId24"/>
    <hyperlink xmlns:r="http://schemas.openxmlformats.org/officeDocument/2006/relationships" ref="C54" r:id="rId25"/>
  </hyperlinks>
  <pageMargins left="0.75" right="0.75" top="1" bottom="1" header="0.5" footer="0.5"/>
  <pageSetup orientation="landscape" fitToHeight="0" fitToWidth="1"/>
  <headerFooter>
    <oddHeader>&amp;LAFINE | TLPT DORA Readiness Tracker&amp;RPage &amp;P of &amp;N</oddHeader>
    <oddFooter>&amp;CAFINE sp. z o.o. | afine.com</oddFooter>
    <evenHeader/>
    <evenFooter/>
    <firstHeader/>
    <firstFooter/>
  </headerFooter>
</worksheet>
</file>

<file path=xl/worksheets/sheet13.xml><?xml version="1.0" encoding="utf-8"?>
<worksheet xmlns="http://schemas.openxmlformats.org/spreadsheetml/2006/main">
  <sheetPr>
    <tabColor rgb="00DA250D"/>
    <outlinePr summaryBelow="1" summaryRight="1"/>
    <pageSetUpPr fitToPage="1"/>
  </sheetPr>
  <dimension ref="A1:U35"/>
  <sheetViews>
    <sheetView workbookViewId="0">
      <pane xSplit="2" ySplit="2" topLeftCell="C3" activePane="bottomRight" state="frozen"/>
      <selection pane="topRight" activeCell="A1" sqref="A1"/>
      <selection pane="bottomLeft" activeCell="A1" sqref="A1"/>
      <selection pane="bottomRight" activeCell="A1" sqref="A1"/>
    </sheetView>
  </sheetViews>
  <sheetFormatPr baseColWidth="8" defaultRowHeight="15"/>
  <cols>
    <col width="8" customWidth="1" min="1" max="1"/>
    <col width="45" customWidth="1" min="2" max="2"/>
    <col width="14" customWidth="1" min="3" max="3"/>
    <col width="10" customWidth="1" min="4" max="4"/>
    <col width="10" customWidth="1" min="5" max="5"/>
    <col width="10" customWidth="1" min="6" max="6"/>
    <col width="10" customWidth="1" min="7" max="7"/>
    <col width="45" customWidth="1" min="8" max="8"/>
    <col width="10" customWidth="1" min="9" max="9"/>
    <col width="10" customWidth="1" min="10" max="10"/>
    <col width="10" customWidth="1" min="11" max="11"/>
    <col width="10" customWidth="1" min="12" max="12"/>
    <col width="18" customWidth="1" min="13" max="13"/>
    <col width="12" customWidth="1" min="14" max="14"/>
  </cols>
  <sheetData>
    <row r="1">
      <c r="A1" s="36" t="inlineStr">
        <is>
          <t>TLPT RISK REGISTER (RTS Article 5)</t>
        </is>
      </c>
    </row>
    <row r="2">
      <c r="A2" s="37" t="inlineStr">
        <is>
          <t>Risk ID</t>
        </is>
      </c>
      <c r="B2" s="37" t="inlineStr">
        <is>
          <t>Description</t>
        </is>
      </c>
      <c r="C2" s="37" t="inlineStr">
        <is>
          <t>Category</t>
        </is>
      </c>
      <c r="D2" s="37" t="inlineStr">
        <is>
          <t>Likelihood</t>
        </is>
      </c>
      <c r="E2" s="37" t="inlineStr">
        <is>
          <t>Impact</t>
        </is>
      </c>
      <c r="F2" s="37" t="inlineStr">
        <is>
          <t>Risk Score</t>
        </is>
      </c>
      <c r="G2" s="37" t="inlineStr">
        <is>
          <t>Risk Level</t>
        </is>
      </c>
      <c r="H2" s="37" t="inlineStr">
        <is>
          <t>Mitigation Measures</t>
        </is>
      </c>
      <c r="I2" s="37" t="inlineStr">
        <is>
          <t>Res. L</t>
        </is>
      </c>
      <c r="J2" s="37" t="inlineStr">
        <is>
          <t>Res. I</t>
        </is>
      </c>
      <c r="K2" s="37" t="inlineStr">
        <is>
          <t>Res. Score</t>
        </is>
      </c>
      <c r="L2" s="37" t="inlineStr">
        <is>
          <t>Res. Level</t>
        </is>
      </c>
      <c r="M2" s="37" t="inlineStr">
        <is>
          <t>Owner</t>
        </is>
      </c>
      <c r="N2" s="37" t="inlineStr">
        <is>
          <t>Status</t>
        </is>
      </c>
    </row>
    <row r="3">
      <c r="A3" s="24" t="inlineStr">
        <is>
          <t>R-01</t>
        </is>
      </c>
      <c r="B3" s="40" t="inlineStr">
        <is>
          <t>Red team exploit or tool causes unintended denial-of-service on a live production system supporting a critical function (e.g., payment processing, trading platform), resulting in customer-facing service degradation.</t>
        </is>
      </c>
      <c r="C3" s="35" t="inlineStr">
        <is>
          <t>Operational</t>
        </is>
      </c>
      <c r="D3" s="35" t="n">
        <v>3</v>
      </c>
      <c r="E3" s="35" t="n">
        <v>5</v>
      </c>
      <c r="F3" s="24">
        <f>IF(OR(D3="",E3=""),"",D3*E3)</f>
        <v/>
      </c>
      <c r="G3" s="24">
        <f>IF(F3="","",IF(F3&gt;=16,"Critical",IF(F3&gt;=10,"High",IF(F3&gt;=5,"Medium","Low"))))</f>
        <v/>
      </c>
      <c r="H3" s="59" t="inlineStr">
        <is>
          <t>(1) Red team test plan must identify high-availability systems and define restricted TTPs for those targets (RTS Art. 11, Annex IV). (2) Kill switch protocol: CTL can suspend testing within 15 minutes of any production impact report. (3) Red team must test exploits against staging/lab replicas before executing on production where feasible. (4) Weekly progress reports must include a "production impact" section. (5) Testers carry professional indemnity insurance (RTS Art. 7).</t>
        </is>
      </c>
      <c r="I3" s="35" t="n">
        <v>2</v>
      </c>
      <c r="J3" s="35" t="n">
        <v>4</v>
      </c>
      <c r="K3" s="24">
        <f>IF(OR(I3="",J3=""),"",I3*J3)</f>
        <v/>
      </c>
      <c r="L3" s="24">
        <f>IF(K3="","",IF(K3&gt;=16,"Critical",IF(K3&gt;=10,"High",IF(K3&gt;=5,"Medium","Low"))))</f>
        <v/>
      </c>
      <c r="M3" s="45" t="inlineStr">
        <is>
          <t>CTL + Red Team Test Lead</t>
        </is>
      </c>
      <c r="N3" s="35" t="inlineStr">
        <is>
          <t>Open</t>
        </is>
      </c>
    </row>
    <row r="4">
      <c r="A4" s="19" t="inlineStr">
        <is>
          <t>R-02</t>
        </is>
      </c>
      <c r="B4" s="60" t="inlineStr">
        <is>
          <t>Red team persistence mechanisms (implants, scheduled tasks, registry modifications) are not fully removed after testing ends, leaving residual artifacts in production systems that could be exploited by actual threat actors or trigger false positives for months.</t>
        </is>
      </c>
      <c r="C4" s="61" t="inlineStr">
        <is>
          <t>Operational</t>
        </is>
      </c>
      <c r="D4" s="61" t="n">
        <v>4</v>
      </c>
      <c r="E4" s="61" t="n">
        <v>4</v>
      </c>
      <c r="F4" s="19">
        <f>IF(OR(D4="",E4=""),"",D4*E4)</f>
        <v/>
      </c>
      <c r="G4" s="19">
        <f>IF(F4="","",IF(F4&gt;=16,"Critical",IF(F4&gt;=10,"High",IF(F4&gt;=5,"Medium","Low"))))</f>
        <v/>
      </c>
      <c r="H4" s="62" t="inlineStr">
        <is>
          <t>(1) Red team must maintain a real-time artifact log with system, path, type, and timestamp for every persistence mechanism deployed. (2) Post-test cleanup checklist signed off jointly by red team lead and CTL. (3) Blue team receives full artifact list during closure phase and independently verifies removal. (4) Contract must specify restoration obligations and timelines (RTS Art. 7). (5) Automated sweep of known artifact indicators 2 weeks post-cleanup.</t>
        </is>
      </c>
      <c r="I4" s="61" t="n">
        <v>2</v>
      </c>
      <c r="J4" s="61" t="n">
        <v>3</v>
      </c>
      <c r="K4" s="19">
        <f>IF(OR(I4="",J4=""),"",I4*J4)</f>
        <v/>
      </c>
      <c r="L4" s="19">
        <f>IF(K4="","",IF(K4&gt;=16,"Critical",IF(K4&gt;=10,"High",IF(K4&gt;=5,"Medium","Low"))))</f>
        <v/>
      </c>
      <c r="M4" s="63" t="inlineStr">
        <is>
          <t>Red Team Test Lead + CTL</t>
        </is>
      </c>
      <c r="N4" s="61" t="inlineStr">
        <is>
          <t>Open</t>
        </is>
      </c>
    </row>
    <row r="5">
      <c r="A5" s="24" t="inlineStr">
        <is>
          <t>R-03</t>
        </is>
      </c>
      <c r="B5" s="40" t="inlineStr">
        <is>
          <t>Red team testing triggers automated security controls (WAF blocks, account lockouts, IP bans, EDR quarantine) that degrade service for legitimate users or lock out production staff during business hours.</t>
        </is>
      </c>
      <c r="C5" s="35" t="inlineStr">
        <is>
          <t>Operational</t>
        </is>
      </c>
      <c r="D5" s="35" t="n">
        <v>4</v>
      </c>
      <c r="E5" s="35" t="n">
        <v>3</v>
      </c>
      <c r="F5" s="24">
        <f>IF(OR(D5="",E5=""),"",D5*E5)</f>
        <v/>
      </c>
      <c r="G5" s="24">
        <f>IF(F5="","",IF(F5&gt;=16,"Critical",IF(F5&gt;=10,"High",IF(F5&gt;=5,"Medium","Low"))))</f>
        <v/>
      </c>
      <c r="H5" s="59" t="inlineStr">
        <is>
          <t>(1) CTL pre-identifies automated response mechanisms on in-scope systems and briefs red team. (2) Red team schedules high-impact scanning and brute-force activities outside peak business hours where possible. (3) CTL has pre-authorized procedure to silently release blocks without alerting blue team (continuation measures per Art. 11(9)). (4) Account lockout thresholds documented in red team test plan.</t>
        </is>
      </c>
      <c r="I5" s="35" t="n">
        <v>3</v>
      </c>
      <c r="J5" s="35" t="n">
        <v>2</v>
      </c>
      <c r="K5" s="24">
        <f>IF(OR(I5="",J5=""),"",I5*J5)</f>
        <v/>
      </c>
      <c r="L5" s="24">
        <f>IF(K5="","",IF(K5&gt;=16,"Critical",IF(K5&gt;=10,"High",IF(K5&gt;=5,"Medium","Low"))))</f>
        <v/>
      </c>
      <c r="M5" s="45" t="inlineStr">
        <is>
          <t>CTL</t>
        </is>
      </c>
      <c r="N5" s="35" t="inlineStr">
        <is>
          <t>Open</t>
        </is>
      </c>
    </row>
    <row r="6">
      <c r="A6" s="19" t="inlineStr">
        <is>
          <t>R-04</t>
        </is>
      </c>
      <c r="B6" s="60" t="inlineStr">
        <is>
          <t>Red team gains access to personally identifiable information (PII), payment card data, or customer financial records during lateral movement that exceeds what is necessary to capture flags, creating GDPR/data protection liability.</t>
        </is>
      </c>
      <c r="C6" s="61" t="inlineStr">
        <is>
          <t>Confidentiality</t>
        </is>
      </c>
      <c r="D6" s="61" t="n">
        <v>4</v>
      </c>
      <c r="E6" s="61" t="n">
        <v>4</v>
      </c>
      <c r="F6" s="19">
        <f>IF(OR(D6="",E6=""),"",D6*E6)</f>
        <v/>
      </c>
      <c r="G6" s="19">
        <f>IF(F6="","",IF(F6&gt;=16,"Critical",IF(F6&gt;=10,"High",IF(F6&gt;=5,"Medium","Low"))))</f>
        <v/>
      </c>
      <c r="H6" s="62" t="inlineStr">
        <is>
          <t>(1) Red team test plan defines data handling rules: screenshot sensitive data rather than exfiltrate; redact PII in screenshots within 24 hours; never copy bulk customer databases. (2) Contract specifies data categories testers may and may not retain (DORA Art. 27(3)). (3) All tester workstations use full-disk encryption. (4) Data destruction protocol with written confirmation within 30 days of test closure. (5) CTL reviews weekly reports for unintended data access.</t>
        </is>
      </c>
      <c r="I6" s="61" t="n">
        <v>3</v>
      </c>
      <c r="J6" s="61" t="n">
        <v>3</v>
      </c>
      <c r="K6" s="19">
        <f>IF(OR(I6="",J6=""),"",I6*J6)</f>
        <v/>
      </c>
      <c r="L6" s="19">
        <f>IF(K6="","",IF(K6&gt;=16,"Critical",IF(K6&gt;=10,"High",IF(K6&gt;=5,"Medium","Low"))))</f>
        <v/>
      </c>
      <c r="M6" s="63" t="inlineStr">
        <is>
          <t>CTL + Legal</t>
        </is>
      </c>
      <c r="N6" s="61" t="inlineStr">
        <is>
          <t>Open</t>
        </is>
      </c>
    </row>
    <row r="7">
      <c r="A7" s="24" t="inlineStr">
        <is>
          <t>R-05</t>
        </is>
      </c>
      <c r="B7" s="40" t="inlineStr">
        <is>
          <t>Threat intelligence provider's target reconnaissance (OSINT, dark web monitoring, credential searches) inadvertently exposes the fact that the entity is undergoing a TLPT to external parties (e.g., through conspicuous queries on underground forums or to entity employees outside the control team).</t>
        </is>
      </c>
      <c r="C7" s="35" t="inlineStr">
        <is>
          <t>Confidentiality</t>
        </is>
      </c>
      <c r="D7" s="35" t="n">
        <v>2</v>
      </c>
      <c r="E7" s="35" t="n">
        <v>3</v>
      </c>
      <c r="F7" s="24">
        <f>IF(OR(D7="",E7=""),"",D7*E7)</f>
        <v/>
      </c>
      <c r="G7" s="24">
        <f>IF(F7="","",IF(F7&gt;=16,"Critical",IF(F7&gt;=10,"High",IF(F7&gt;=5,"Medium","Low"))))</f>
        <v/>
      </c>
      <c r="H7" s="59" t="inlineStr">
        <is>
          <t>(1) TI provider must use passive reconnaissance techniques that cannot be attributed to the entity. (2) TI provider OPSEC requirements specified in contract. (3) No direct contact with entity employees outside control team during reconnaissance. (4) Code name used in all TI provider communications and deliverables (RTS Art. 4).</t>
        </is>
      </c>
      <c r="I7" s="35" t="n">
        <v>1</v>
      </c>
      <c r="J7" s="35" t="n">
        <v>3</v>
      </c>
      <c r="K7" s="24">
        <f>IF(OR(I7="",J7=""),"",I7*J7)</f>
        <v/>
      </c>
      <c r="L7" s="24">
        <f>IF(K7="","",IF(K7&gt;=16,"Critical",IF(K7&gt;=10,"High",IF(K7&gt;=5,"Medium","Low"))))</f>
        <v/>
      </c>
      <c r="M7" s="45" t="inlineStr">
        <is>
          <t>CTL + TI Provider Lead</t>
        </is>
      </c>
      <c r="N7" s="35" t="inlineStr">
        <is>
          <t>Open</t>
        </is>
      </c>
    </row>
    <row r="8">
      <c r="A8" s="19" t="inlineStr">
        <is>
          <t>R-06</t>
        </is>
      </c>
      <c r="B8" s="60" t="inlineStr">
        <is>
          <t>TLPT documentation (TTIR, red team test plan, red team test report) containing detailed attack paths, vulnerabilities, and sensitive infrastructure information is leaked, stolen, or improperly shared, providing a roadmap for actual attackers.</t>
        </is>
      </c>
      <c r="C8" s="61" t="inlineStr">
        <is>
          <t>Confidentiality</t>
        </is>
      </c>
      <c r="D8" s="61" t="n">
        <v>2</v>
      </c>
      <c r="E8" s="61" t="n">
        <v>5</v>
      </c>
      <c r="F8" s="19">
        <f>IF(OR(D8="",E8=""),"",D8*E8)</f>
        <v/>
      </c>
      <c r="G8" s="19">
        <f>IF(F8="","",IF(F8&gt;=16,"Critical",IF(F8&gt;=10,"High",IF(F8&gt;=5,"Medium","Low"))))</f>
        <v/>
      </c>
      <c r="H8" s="62" t="inlineStr">
        <is>
          <t>(1) All TLPT documents stored in secure, access-controlled data room with audit logging (RTS Art. 9(2)). (2) Encrypted communication channels only - no TLPT content via standard corporate email. (3) Document classification: all TLPT reports marked "Strictly Confidential" with named recipients. (4) Provider contracts include data handling, retention limits, and destruction obligations. (5) Access review: CTL verifies data room permissions monthly. (6) Provider staff sign individual NDAs.</t>
        </is>
      </c>
      <c r="I8" s="61" t="n">
        <v>1</v>
      </c>
      <c r="J8" s="61" t="n">
        <v>5</v>
      </c>
      <c r="K8" s="19">
        <f>IF(OR(I8="",J8=""),"",I8*J8)</f>
        <v/>
      </c>
      <c r="L8" s="19">
        <f>IF(K8="","",IF(K8&gt;=16,"Critical",IF(K8&gt;=10,"High",IF(K8&gt;=5,"Medium","Low"))))</f>
        <v/>
      </c>
      <c r="M8" s="63" t="inlineStr">
        <is>
          <t>CTL</t>
        </is>
      </c>
      <c r="N8" s="61" t="inlineStr">
        <is>
          <t>Open</t>
        </is>
      </c>
    </row>
    <row r="9">
      <c r="A9" s="24" t="inlineStr">
        <is>
          <t>R-07</t>
        </is>
      </c>
      <c r="B9" s="40" t="inlineStr">
        <is>
          <t>Social engineering scenarios (phishing, vishing, physical access attempts) violate local employment law, privacy regulations, or internal HR policies - e.g., recording phone calls without consent in jurisdictions requiring two-party consent, or targeting employees in protected categories.</t>
        </is>
      </c>
      <c r="C9" s="35" t="inlineStr">
        <is>
          <t>Compliance</t>
        </is>
      </c>
      <c r="D9" s="35" t="n">
        <v>3</v>
      </c>
      <c r="E9" s="35" t="n">
        <v>4</v>
      </c>
      <c r="F9" s="24">
        <f>IF(OR(D9="",E9=""),"",D9*E9)</f>
        <v/>
      </c>
      <c r="G9" s="24">
        <f>IF(F9="","",IF(F9&gt;=16,"Critical",IF(F9&gt;=10,"High",IF(F9&gt;=5,"Medium","Low"))))</f>
        <v/>
      </c>
      <c r="H9" s="59" t="inlineStr">
        <is>
          <t>(1) Legal counsel reviews all social engineering scenarios in the red team test plan before approval, specifically for employment law and privacy compliance in each jurisdiction. (2) Red team test plan explicitly lists disallowed social engineering techniques (Annex IV(b)). (3) No recording of communications without prior legal clearance. (4) Employees who fall for social engineering are never disciplined - documented in HR policy before testing. (5) Physical social engineering boundaries clearly defined (no trespassing on non-entity premises).</t>
        </is>
      </c>
      <c r="I9" s="35" t="n">
        <v>2</v>
      </c>
      <c r="J9" s="35" t="n">
        <v>3</v>
      </c>
      <c r="K9" s="24">
        <f>IF(OR(I9="",J9=""),"",I9*J9)</f>
        <v/>
      </c>
      <c r="L9" s="24">
        <f>IF(K9="","",IF(K9&gt;=16,"Critical",IF(K9&gt;=10,"High",IF(K9&gt;=5,"Medium","Low"))))</f>
        <v/>
      </c>
      <c r="M9" s="45" t="inlineStr">
        <is>
          <t>Legal + CTL</t>
        </is>
      </c>
      <c r="N9" s="35" t="inlineStr">
        <is>
          <t>Open</t>
        </is>
      </c>
    </row>
    <row r="10">
      <c r="A10" s="19" t="inlineStr">
        <is>
          <t>R-08</t>
        </is>
      </c>
      <c r="B10" s="60" t="inlineStr">
        <is>
          <t>Red team testing of ICT third-party provider systems exceeds the contractual permissions granted under existing service agreements, constituting unauthorized access to provider infrastructure and potential breach of contract or computer misuse legislation.</t>
        </is>
      </c>
      <c r="C10" s="61" t="inlineStr">
        <is>
          <t>Compliance</t>
        </is>
      </c>
      <c r="D10" s="61" t="n">
        <v>3</v>
      </c>
      <c r="E10" s="61" t="n">
        <v>5</v>
      </c>
      <c r="F10" s="19">
        <f>IF(OR(D10="",E10=""),"",D10*E10)</f>
        <v/>
      </c>
      <c r="G10" s="19">
        <f>IF(F10="","",IF(F10&gt;=16,"Critical",IF(F10&gt;=10,"High",IF(F10&gt;=5,"Medium","Low"))))</f>
        <v/>
      </c>
      <c r="H10" s="62" t="inlineStr">
        <is>
          <t>(1) Review all ICT provider contracts for DORA Art. 30(3)(d) cooperation clauses before scoping. (2) Amend contracts lacking TLPT cooperation provisions - do not include provider systems in scope until amendment is signed. (3) Written authorization from each provider specifying exactly which systems, networks, and TTPs are permitted. (4) Red team test plan includes per-provider scope boundaries. (5) Legal sign-off on scope specification document before submission to TLPT authority.</t>
        </is>
      </c>
      <c r="I10" s="61" t="n">
        <v>1</v>
      </c>
      <c r="J10" s="61" t="n">
        <v>4</v>
      </c>
      <c r="K10" s="19">
        <f>IF(OR(I10="",J10=""),"",I10*J10)</f>
        <v/>
      </c>
      <c r="L10" s="19">
        <f>IF(K10="","",IF(K10&gt;=16,"Critical",IF(K10&gt;=10,"High",IF(K10&gt;=5,"Medium","Low"))))</f>
        <v/>
      </c>
      <c r="M10" s="63" t="inlineStr">
        <is>
          <t>Legal + Procurement</t>
        </is>
      </c>
      <c r="N10" s="61" t="inlineStr">
        <is>
          <t>Open</t>
        </is>
      </c>
    </row>
    <row r="11">
      <c r="A11" s="24" t="inlineStr">
        <is>
          <t>R-09</t>
        </is>
      </c>
      <c r="B11" s="40" t="inlineStr">
        <is>
          <t>TLPT exercise fails to meet RTS mandatory requirements (e.g., fewer than 3 scenarios, active testing shorter than 12 weeks, missing mandatory flag types), resulting in TLPT authority refusing attestation and requiring a retest.</t>
        </is>
      </c>
      <c r="C11" s="35" t="inlineStr">
        <is>
          <t>Compliance</t>
        </is>
      </c>
      <c r="D11" s="35" t="n">
        <v>2</v>
      </c>
      <c r="E11" s="35" t="n">
        <v>4</v>
      </c>
      <c r="F11" s="24">
        <f>IF(OR(D11="",E11=""),"",D11*E11)</f>
        <v/>
      </c>
      <c r="G11" s="24">
        <f>IF(F11="","",IF(F11&gt;=16,"Critical",IF(F11&gt;=10,"High",IF(F11&gt;=5,"Medium","Low"))))</f>
        <v/>
      </c>
      <c r="H11" s="59" t="inlineStr">
        <is>
          <t>(1) CTL maintains a compliance checklist tracking all RTS mandatory requirements throughout the exercise. (2) Test managers consulted at each phase gate (preparation, TI, red team, closure) per RTS Art. 9(10). (3) Scope specification explicitly maps scenarios to mandatory coverage (availability, integrity, confidentiality) before TLPT authority approval. (4) Weekly progress reports include compliance milestone tracking. (5) Pre-submission review of all Annex deliverables against RTS requirements.</t>
        </is>
      </c>
      <c r="I11" s="35" t="n">
        <v>1</v>
      </c>
      <c r="J11" s="35" t="n">
        <v>4</v>
      </c>
      <c r="K11" s="24">
        <f>IF(OR(I11="",J11=""),"",I11*J11)</f>
        <v/>
      </c>
      <c r="L11" s="24">
        <f>IF(K11="","",IF(K11&gt;=16,"Critical",IF(K11&gt;=10,"High",IF(K11&gt;=5,"Medium","Low"))))</f>
        <v/>
      </c>
      <c r="M11" s="45" t="inlineStr">
        <is>
          <t>CTL</t>
        </is>
      </c>
      <c r="N11" s="35" t="inlineStr">
        <is>
          <t>Open</t>
        </is>
      </c>
    </row>
    <row r="12">
      <c r="A12" s="19" t="inlineStr">
        <is>
          <t>R-10</t>
        </is>
      </c>
      <c r="B12" s="60" t="inlineStr">
        <is>
          <t>Blue team detects red team activity and escalates to full incident response - activating the CSIRT, notifying senior management outside the control team, engaging external IR retainers, or reporting to the national CERT/regulator as a real breach.</t>
        </is>
      </c>
      <c r="C12" s="61" t="inlineStr">
        <is>
          <t>Reputational</t>
        </is>
      </c>
      <c r="D12" s="61" t="n">
        <v>4</v>
      </c>
      <c r="E12" s="61" t="n">
        <v>4</v>
      </c>
      <c r="F12" s="19">
        <f>IF(OR(D12="",E12=""),"",D12*E12)</f>
        <v/>
      </c>
      <c r="G12" s="19">
        <f>IF(F12="","",IF(F12&gt;=16,"Critical",IF(F12&gt;=10,"High",IF(F12&gt;=5,"Medium","Low"))))</f>
        <v/>
      </c>
      <c r="H12" s="62" t="inlineStr">
        <is>
          <t>(1) CTL pre-defines an incident containment protocol: if blue team escalates, CTL intervenes before external notifications are made (within 1 hour). (2) CTL maintains a "break glass" authorization letter from the management body to immediately de-escalate. (3) Senior management outside control team who would receive incident notifications have a pre-agreed protocol (e.g., CFO or COO in the loop at "need to know" level). (4) After detection, CTL proposes continuation measures to test managers per Art. 11(9). (5) Red team OPSEC practices minimize detection signatures.</t>
        </is>
      </c>
      <c r="I12" s="61" t="n">
        <v>3</v>
      </c>
      <c r="J12" s="61" t="n">
        <v>2</v>
      </c>
      <c r="K12" s="19">
        <f>IF(OR(I12="",J12=""),"",I12*J12)</f>
        <v/>
      </c>
      <c r="L12" s="19">
        <f>IF(K12="","",IF(K12&gt;=16,"Critical",IF(K12&gt;=10,"High",IF(K12&gt;=5,"Medium","Low"))))</f>
        <v/>
      </c>
      <c r="M12" s="63" t="inlineStr">
        <is>
          <t>CTL + CISO</t>
        </is>
      </c>
      <c r="N12" s="61" t="inlineStr">
        <is>
          <t>Open</t>
        </is>
      </c>
    </row>
    <row r="13">
      <c r="A13" s="24" t="inlineStr">
        <is>
          <t>R-11</t>
        </is>
      </c>
      <c r="B13" s="40" t="inlineStr">
        <is>
          <t>Physical social engineering attempt (tailgating, impersonation of delivery personnel, USB drop) is observed by entity employees or visitors who are not part of the control team, leading to rumors, staff anxiety, or media inquiries about a "security incident."</t>
        </is>
      </c>
      <c r="C13" s="35" t="inlineStr">
        <is>
          <t>Reputational</t>
        </is>
      </c>
      <c r="D13" s="35" t="n">
        <v>3</v>
      </c>
      <c r="E13" s="35" t="n">
        <v>3</v>
      </c>
      <c r="F13" s="24">
        <f>IF(OR(D13="",E13=""),"",D13*E13)</f>
        <v/>
      </c>
      <c r="G13" s="24">
        <f>IF(F13="","",IF(F13&gt;=16,"Critical",IF(F13&gt;=10,"High",IF(F13&gt;=5,"Medium","Low"))))</f>
        <v/>
      </c>
      <c r="H13" s="59" t="inlineStr">
        <is>
          <t>(1) Physical social engineering scenarios must define abort conditions (e.g., if confronted by security, tester identifies themselves to a pre-agreed contact). (2) CTL prepares cover stories for control team members to use if questioned (RTS Art. 4). (3) Red team carries a sealed "get out of jail" letter from the CTL, to be opened only if detained or confronted by law enforcement. (4) Physical testing scheduled during lower-traffic periods where feasible.</t>
        </is>
      </c>
      <c r="I13" s="35" t="n">
        <v>2</v>
      </c>
      <c r="J13" s="35" t="n">
        <v>2</v>
      </c>
      <c r="K13" s="24">
        <f>IF(OR(I13="",J13=""),"",I13*J13)</f>
        <v/>
      </c>
      <c r="L13" s="24">
        <f>IF(K13="","",IF(K13&gt;=16,"Critical",IF(K13&gt;=10,"High",IF(K13&gt;=5,"Medium","Low"))))</f>
        <v/>
      </c>
      <c r="M13" s="45" t="inlineStr">
        <is>
          <t>CTL</t>
        </is>
      </c>
      <c r="N13" s="35" t="inlineStr">
        <is>
          <t>Open</t>
        </is>
      </c>
    </row>
    <row r="14">
      <c r="A14" s="19" t="inlineStr">
        <is>
          <t>R-12</t>
        </is>
      </c>
      <c r="B14" s="60" t="inlineStr">
        <is>
          <t>Phishing emails sent by the red team are reported by employees to external anti-phishing services, email security vendors, or public blocklists, causing the entity's legitimate email domains or lookalike domains to be flagged/blacklisted.</t>
        </is>
      </c>
      <c r="C14" s="61" t="inlineStr">
        <is>
          <t>Reputational</t>
        </is>
      </c>
      <c r="D14" s="61" t="n">
        <v>3</v>
      </c>
      <c r="E14" s="61" t="n">
        <v>3</v>
      </c>
      <c r="F14" s="19">
        <f>IF(OR(D14="",E14=""),"",D14*E14)</f>
        <v/>
      </c>
      <c r="G14" s="19">
        <f>IF(F14="","",IF(F14&gt;=16,"Critical",IF(F14&gt;=10,"High",IF(F14&gt;=5,"Medium","Low"))))</f>
        <v/>
      </c>
      <c r="H14" s="62" t="inlineStr">
        <is>
          <t>(1) Red team uses dedicated infrastructure (domains, IPs) not linked to the entity's production mail systems. (2) Phishing domains registered by the red team - not typosquats of the entity's primary domain. (3) CTL has a procedure to quickly delist domains if reported to blocklists. (4) Volume and timing of phishing campaigns controlled to avoid triggering mass reporting.</t>
        </is>
      </c>
      <c r="I14" s="61" t="n">
        <v>2</v>
      </c>
      <c r="J14" s="61" t="n">
        <v>2</v>
      </c>
      <c r="K14" s="19">
        <f>IF(OR(I14="",J14=""),"",I14*J14)</f>
        <v/>
      </c>
      <c r="L14" s="19">
        <f>IF(K14="","",IF(K14&gt;=16,"Critical",IF(K14&gt;=10,"High",IF(K14&gt;=5,"Medium","Low"))))</f>
        <v/>
      </c>
      <c r="M14" s="63" t="inlineStr">
        <is>
          <t>Red Team Test Lead + CTL</t>
        </is>
      </c>
      <c r="N14" s="61" t="inlineStr">
        <is>
          <t>Open</t>
        </is>
      </c>
    </row>
    <row r="15">
      <c r="A15" s="24" t="inlineStr">
        <is>
          <t>R-13</t>
        </is>
      </c>
      <c r="B15" s="40" t="inlineStr">
        <is>
          <t>ICT third-party provider (cloud provider, core banking vendor, payment processor) refuses to participate in the TLPT or delays contract amendments for months, preventing testing of critical functions that depend on their systems and potentially invalidating the scope.</t>
        </is>
      </c>
      <c r="C15" s="35" t="inlineStr">
        <is>
          <t>Third-party</t>
        </is>
      </c>
      <c r="D15" s="35" t="n">
        <v>4</v>
      </c>
      <c r="E15" s="35" t="n">
        <v>4</v>
      </c>
      <c r="F15" s="24">
        <f>IF(OR(D15="",E15=""),"",D15*E15)</f>
        <v/>
      </c>
      <c r="G15" s="24">
        <f>IF(F15="","",IF(F15&gt;=16,"Critical",IF(F15&gt;=10,"High",IF(F15&gt;=5,"Medium","Low"))))</f>
        <v/>
      </c>
      <c r="H15" s="59" t="inlineStr">
        <is>
          <t>(1) Start provider engagement 6+ months before expected testing - this is the single most common delay in TLPT exercises. (2) Review all relevant contracts for DORA Art. 30(3)(d) cooperation clauses during governance setup phase. (3) Escalate non-cooperative providers to TLPT authority early - regulator pressure is often the only thing that moves large vendors. (4) Prepare fallback: if provider participation is impossible, document justification for scope exclusion or pooled testing arrangement (DORA Art. 26(4)). (5) Engage procurement and legal in parallel, not sequentially.</t>
        </is>
      </c>
      <c r="I15" s="35" t="n">
        <v>3</v>
      </c>
      <c r="J15" s="35" t="n">
        <v>3</v>
      </c>
      <c r="K15" s="24">
        <f>IF(OR(I15="",J15=""),"",I15*J15)</f>
        <v/>
      </c>
      <c r="L15" s="24">
        <f>IF(K15="","",IF(K15&gt;=16,"Critical",IF(K15&gt;=10,"High",IF(K15&gt;=5,"Medium","Low"))))</f>
        <v/>
      </c>
      <c r="M15" s="45" t="inlineStr">
        <is>
          <t>Procurement + Legal</t>
        </is>
      </c>
      <c r="N15" s="35" t="inlineStr">
        <is>
          <t>Open</t>
        </is>
      </c>
    </row>
    <row r="16">
      <c r="A16" s="19" t="inlineStr">
        <is>
          <t>R-14</t>
        </is>
      </c>
      <c r="B16" s="60" t="inlineStr">
        <is>
          <t>Red team or TI provider staff retain copies of sensitive test data (credentials, network diagrams, vulnerability details, customer data samples) after the engagement ends, contrary to contractual data destruction obligations.</t>
        </is>
      </c>
      <c r="C16" s="61" t="inlineStr">
        <is>
          <t>Third-party</t>
        </is>
      </c>
      <c r="D16" s="61" t="n">
        <v>3</v>
      </c>
      <c r="E16" s="61" t="n">
        <v>4</v>
      </c>
      <c r="F16" s="19">
        <f>IF(OR(D16="",E16=""),"",D16*E16)</f>
        <v/>
      </c>
      <c r="G16" s="19">
        <f>IF(F16="","",IF(F16&gt;=16,"Critical",IF(F16&gt;=10,"High",IF(F16&gt;=5,"Medium","Low"))))</f>
        <v/>
      </c>
      <c r="H16" s="62" t="inlineStr">
        <is>
          <t>(1) Contract specifies data destruction timeline (within 30 days of test closure) with written confirmation from provider management. (2) Provider must use entity-provided secure infrastructure (VPN, data room) rather than storing data on provider-owned systems where possible. (3) Provider ISO 27001 certification or equivalent ISMS as a selection criterion (RTS Art. 7). (4) Right to audit clause in provider contract. (5) Destruction certificate listing all data types and storage locations.</t>
        </is>
      </c>
      <c r="I16" s="61" t="n">
        <v>2</v>
      </c>
      <c r="J16" s="61" t="n">
        <v>3</v>
      </c>
      <c r="K16" s="19">
        <f>IF(OR(I16="",J16=""),"",I16*J16)</f>
        <v/>
      </c>
      <c r="L16" s="19">
        <f>IF(K16="","",IF(K16&gt;=16,"Critical",IF(K16&gt;=10,"High",IF(K16&gt;=5,"Medium","Low"))))</f>
        <v/>
      </c>
      <c r="M16" s="63" t="inlineStr">
        <is>
          <t>CTL + Procurement</t>
        </is>
      </c>
      <c r="N16" s="61" t="inlineStr">
        <is>
          <t>Open</t>
        </is>
      </c>
    </row>
    <row r="17">
      <c r="A17" s="24" t="inlineStr">
        <is>
          <t>R-15</t>
        </is>
      </c>
      <c r="B17" s="40" t="inlineStr">
        <is>
          <t>Key red team personnel (test lead or specialist with critical skills such as mainframe testing or custom malware development) become unavailable mid-engagement due to illness, departure from provider, or reassignment to another client, causing testing delays or capability gaps.</t>
        </is>
      </c>
      <c r="C17" s="35" t="inlineStr">
        <is>
          <t>Third-party</t>
        </is>
      </c>
      <c r="D17" s="35" t="n">
        <v>3</v>
      </c>
      <c r="E17" s="35" t="n">
        <v>3</v>
      </c>
      <c r="F17" s="24">
        <f>IF(OR(D17="",E17=""),"",D17*E17)</f>
        <v/>
      </c>
      <c r="G17" s="24">
        <f>IF(F17="","",IF(F17&gt;=16,"Critical",IF(F17&gt;=10,"High",IF(F17&gt;=5,"Medium","Low"))))</f>
        <v/>
      </c>
      <c r="H17" s="59" t="inlineStr">
        <is>
          <t>(1) Contract requires provider to name backup personnel for each role at contracting stage. (2) Minimum team size of 3 per RTS Art. 7 - but evaluate whether the specific engagement requires more. (3) Provider must notify CTL within 48 hours of any team change and provide replacement CV for approval. (4) Evaluate provider team depth (bench strength) as a weighted criterion in provider scorecard. (5) Key person clause in contract with right to terminate if test lead is replaced without equivalent.</t>
        </is>
      </c>
      <c r="I17" s="35" t="n">
        <v>2</v>
      </c>
      <c r="J17" s="35" t="n">
        <v>2</v>
      </c>
      <c r="K17" s="24">
        <f>IF(OR(I17="",J17=""),"",I17*J17)</f>
        <v/>
      </c>
      <c r="L17" s="24">
        <f>IF(K17="","",IF(K17&gt;=16,"Critical",IF(K17&gt;=10,"High",IF(K17&gt;=5,"Medium","Low"))))</f>
        <v/>
      </c>
      <c r="M17" s="45" t="inlineStr">
        <is>
          <t>CTL + Procurement</t>
        </is>
      </c>
      <c r="N17" s="35" t="inlineStr">
        <is>
          <t>Open</t>
        </is>
      </c>
    </row>
    <row r="18">
      <c r="A18" s="19" t="inlineStr">
        <is>
          <t>R-16</t>
        </is>
      </c>
      <c r="B18" s="60" t="inlineStr">
        <is>
          <t>Red team or TI provider has an undisclosed conflict of interest - e.g., they are simultaneously providing blue team services, consulting on the same systems, or have a commercial relationship with an ICT provider in scope - compromising test independence and potentially invalidating results.</t>
        </is>
      </c>
      <c r="C18" s="61" t="inlineStr">
        <is>
          <t>Third-party</t>
        </is>
      </c>
      <c r="D18" s="61" t="n">
        <v>2</v>
      </c>
      <c r="E18" s="61" t="n">
        <v>4</v>
      </c>
      <c r="F18" s="19">
        <f>IF(OR(D18="",E18=""),"",D18*E18)</f>
        <v/>
      </c>
      <c r="G18" s="19">
        <f>IF(F18="","",IF(F18&gt;=16,"Critical",IF(F18&gt;=10,"High",IF(F18&gt;=5,"Medium","Low"))))</f>
        <v/>
      </c>
      <c r="H18" s="62" t="inlineStr">
        <is>
          <t>(1) Require signed conflict-of-interest declaration from provider listing all current and recent (24-month) engagements with the entity and its ICT providers. (2) Verify declarations with procurement records. (3) Contract includes immediate termination clause for undisclosed conflicts. (4) If same company provides TI and RT, contractual team separation required (RTS Art. 7). (5) Disclose provider identity to test managers for independent validation (RTS Art. 9(11)).</t>
        </is>
      </c>
      <c r="I18" s="61" t="n">
        <v>1</v>
      </c>
      <c r="J18" s="61" t="n">
        <v>4</v>
      </c>
      <c r="K18" s="19">
        <f>IF(OR(I18="",J18=""),"",I18*J18)</f>
        <v/>
      </c>
      <c r="L18" s="19">
        <f>IF(K18="","",IF(K18&gt;=16,"Critical",IF(K18&gt;=10,"High",IF(K18&gt;=5,"Medium","Low"))))</f>
        <v/>
      </c>
      <c r="M18" s="63" t="inlineStr">
        <is>
          <t>Procurement + CTL</t>
        </is>
      </c>
      <c r="N18" s="61" t="inlineStr">
        <is>
          <t>Open</t>
        </is>
      </c>
    </row>
    <row r="19">
      <c r="A19" s="24" t="inlineStr">
        <is>
          <t>R-17</t>
        </is>
      </c>
      <c r="B19" s="40" t="inlineStr">
        <is>
          <t>Critical function mapping is incomplete or inaccurate - entity fails to identify all ICT systems supporting a CIF, or misclassifies a function as non-critical - resulting in a TLPT scope that misses key attack surfaces and produces an attestation that does not reflect actual risk exposure.</t>
        </is>
      </c>
      <c r="C19" s="35" t="inlineStr">
        <is>
          <t>Scope</t>
        </is>
      </c>
      <c r="D19" s="35" t="n">
        <v>4</v>
      </c>
      <c r="E19" s="35" t="n">
        <v>4</v>
      </c>
      <c r="F19" s="24">
        <f>IF(OR(D19="",E19=""),"",D19*E19)</f>
        <v/>
      </c>
      <c r="G19" s="24">
        <f>IF(F19="","",IF(F19&gt;=16,"Critical",IF(F19&gt;=10,"High",IF(F19&gt;=5,"Medium","Low"))))</f>
        <v/>
      </c>
      <c r="H19" s="59" t="inlineStr">
        <is>
          <t>(1) Start CIF mapping 6+ months before expected notification - this is consistently the most underestimated task. (2) Cross-reference CIF list with business impact analysis, disaster recovery plans, and outsourcing register. (3) Involve business line owners, not just IT, in mapping CIFs to supporting systems. (4) TI provider validates attack surface during reconnaissance - discrepancies between documented scope and discovered infrastructure are flagged to CTL. (5) Apply all 7 RTS Art. 9(7) criteria systematically using a scoring matrix. (6) TLPT authority reviews and approves scope before testing.</t>
        </is>
      </c>
      <c r="I19" s="35" t="n">
        <v>2</v>
      </c>
      <c r="J19" s="35" t="n">
        <v>3</v>
      </c>
      <c r="K19" s="24">
        <f>IF(OR(I19="",J19=""),"",I19*J19)</f>
        <v/>
      </c>
      <c r="L19" s="24">
        <f>IF(K19="","",IF(K19&gt;=16,"Critical",IF(K19&gt;=10,"High",IF(K19&gt;=5,"Medium","Low"))))</f>
        <v/>
      </c>
      <c r="M19" s="45" t="inlineStr">
        <is>
          <t>CTL + Risk/Compliance</t>
        </is>
      </c>
      <c r="N19" s="35" t="inlineStr">
        <is>
          <t>Open</t>
        </is>
      </c>
    </row>
    <row r="20">
      <c r="A20" s="19" t="inlineStr">
        <is>
          <t>R-18</t>
        </is>
      </c>
      <c r="B20" s="60" t="inlineStr">
        <is>
          <t>Scenarios developed by the TI provider do not adequately cover the entity's actual threat landscape - e.g., scenarios focus on commodity ransomware when the primary threat is state-sponsored espionage targeting the entity's specific sub-sector - resulting in a TLPT that tests the wrong things.</t>
        </is>
      </c>
      <c r="C20" s="61" t="inlineStr">
        <is>
          <t>Scope</t>
        </is>
      </c>
      <c r="D20" s="61" t="n">
        <v>3</v>
      </c>
      <c r="E20" s="61" t="n">
        <v>3</v>
      </c>
      <c r="F20" s="19">
        <f>IF(OR(D20="",E20=""),"",D20*E20)</f>
        <v/>
      </c>
      <c r="G20" s="19">
        <f>IF(F20="","",IF(F20&gt;=16,"Critical",IF(F20&gt;=10,"High",IF(F20&gt;=5,"Medium","Low"))))</f>
        <v/>
      </c>
      <c r="H20" s="62" t="inlineStr">
        <is>
          <t>(1) CTL challenges TI provider scenarios against the entity's own threat intelligence and recent incident data. (2) Scenario selection meeting includes test managers who provide independent perspective (RTS Art. 10(3)). (3) Require TI provider to present a broad set of candidate scenarios (not just 3) so CTL has genuine selection options. (4) At least one scenario must be based on the most severe credible threat actor for the entity's sub-sector. (5) Scenarios must collectively target different CIFs and different CIA aspects (mandatory per RTS Art. 10(4)).</t>
        </is>
      </c>
      <c r="I20" s="61" t="n">
        <v>2</v>
      </c>
      <c r="J20" s="61" t="n">
        <v>2</v>
      </c>
      <c r="K20" s="19">
        <f>IF(OR(I20="",J20=""),"",I20*J20)</f>
        <v/>
      </c>
      <c r="L20" s="19">
        <f>IF(K20="","",IF(K20&gt;=16,"Critical",IF(K20&gt;=10,"High",IF(K20&gt;=5,"Medium","Low"))))</f>
        <v/>
      </c>
      <c r="M20" s="63" t="inlineStr">
        <is>
          <t>CTL + TI Provider Lead</t>
        </is>
      </c>
      <c r="N20" s="61" t="inlineStr">
        <is>
          <t>Open</t>
        </is>
      </c>
    </row>
    <row r="21">
      <c r="A21" s="24" t="inlineStr">
        <is>
          <t>R-19</t>
        </is>
      </c>
      <c r="B21" s="40" t="inlineStr">
        <is>
          <t>Cross-border CIF mapping is incomplete - entity fails to identify that a critical function operates in another Member State, resulting in a TLPT that does not achieve mutual recognition in that jurisdiction and triggers a separate testing requirement.</t>
        </is>
      </c>
      <c r="C21" s="35" t="inlineStr">
        <is>
          <t>Scope</t>
        </is>
      </c>
      <c r="D21" s="35" t="n">
        <v>3</v>
      </c>
      <c r="E21" s="35" t="n">
        <v>4</v>
      </c>
      <c r="F21" s="24">
        <f>IF(OR(D21="",E21=""),"",D21*E21)</f>
        <v/>
      </c>
      <c r="G21" s="24">
        <f>IF(F21="","",IF(F21&gt;=16,"Critical",IF(F21&gt;=10,"High",IF(F21&gt;=5,"Medium","Low"))))</f>
        <v/>
      </c>
      <c r="H21" s="59" t="inlineStr">
        <is>
          <t>(1) Cross-reference CIF list with entity's branch/subsidiary register and regulatory license inventory across all EU jurisdictions. (2) Identify host Member State authorities during preparation phase and include in project charter (Annex I). (3) Negotiate mutual recognition conditions before testing begins (RTS Art. 16). (4) Engage group compliance function to map all jurisdictions where CIFs operate. (5) If mutual recognition fails, budget for additional testing cycles.</t>
        </is>
      </c>
      <c r="I21" s="35" t="n">
        <v>2</v>
      </c>
      <c r="J21" s="35" t="n">
        <v>3</v>
      </c>
      <c r="K21" s="24">
        <f>IF(OR(I21="",J21=""),"",I21*J21)</f>
        <v/>
      </c>
      <c r="L21" s="24">
        <f>IF(K21="","",IF(K21&gt;=16,"Critical",IF(K21&gt;=10,"High",IF(K21&gt;=5,"Medium","Low"))))</f>
        <v/>
      </c>
      <c r="M21" s="45" t="inlineStr">
        <is>
          <t>CTL + Compliance</t>
        </is>
      </c>
      <c r="N21" s="35" t="inlineStr">
        <is>
          <t>Open</t>
        </is>
      </c>
    </row>
    <row r="22">
      <c r="A22" s="19" t="inlineStr">
        <is>
          <t>R-20</t>
        </is>
      </c>
      <c r="B22" s="60" t="inlineStr">
        <is>
          <t>A control team member inadvertently or deliberately discloses the TLPT to blue team personnel or other staff, destroying test validity. Common causes: casual conversation, shared calendar entries with real meeting names, emails forwarded to wrong recipients, or shared-screen incidents during video calls.</t>
        </is>
      </c>
      <c r="C22" s="61" t="inlineStr">
        <is>
          <t>Personnel</t>
        </is>
      </c>
      <c r="D22" s="61" t="n">
        <v>4</v>
      </c>
      <c r="E22" s="61" t="n">
        <v>4</v>
      </c>
      <c r="F22" s="19">
        <f>IF(OR(D22="",E22=""),"",D22*E22)</f>
        <v/>
      </c>
      <c r="G22" s="19">
        <f>IF(F22="","",IF(F22&gt;=16,"Critical",IF(F22&gt;=10,"High",IF(F22&gt;=5,"Medium","Low"))))</f>
        <v/>
      </c>
      <c r="H22" s="62" t="inlineStr">
        <is>
          <t>(1) All TLPT meetings use the code name only - never "TLPT," "red team," or "penetration test" in calendar entries, subject lines, or chat messages. (2) Dedicated encrypted communication channel separate from corporate systems (RTS Art. 9(2)). (3) Cover stories prepared for each control team member explaining their meeting absences (RTS Art. 4). (4) Control team members sign explicit confidentiality undertaking with consequences for breach. (5) Minimize control team size to 3-5 members. (6) CTL briefs all members on OPSEC discipline at kickoff.</t>
        </is>
      </c>
      <c r="I22" s="61" t="n">
        <v>2</v>
      </c>
      <c r="J22" s="61" t="n">
        <v>3</v>
      </c>
      <c r="K22" s="19">
        <f>IF(OR(I22="",J22=""),"",I22*J22)</f>
        <v/>
      </c>
      <c r="L22" s="19">
        <f>IF(K22="","",IF(K22&gt;=16,"Critical",IF(K22&gt;=10,"High",IF(K22&gt;=5,"Medium","Low"))))</f>
        <v/>
      </c>
      <c r="M22" s="63" t="inlineStr">
        <is>
          <t>CTL</t>
        </is>
      </c>
      <c r="N22" s="61" t="inlineStr">
        <is>
          <t>Open</t>
        </is>
      </c>
    </row>
    <row r="23">
      <c r="A23" s="24" t="inlineStr">
        <is>
          <t>R-21</t>
        </is>
      </c>
      <c r="B23" s="40" t="inlineStr">
        <is>
          <t>Control team lead becomes unavailable (extended illness, resignation, reassignment) mid-exercise, creating a leadership vacuum. No other team member has the authority, context, or management access to make binding decisions about scope changes, leg-ups, or incident containment.</t>
        </is>
      </c>
      <c r="C23" s="35" t="inlineStr">
        <is>
          <t>Personnel</t>
        </is>
      </c>
      <c r="D23" s="35" t="n">
        <v>2</v>
      </c>
      <c r="E23" s="35" t="n">
        <v>4</v>
      </c>
      <c r="F23" s="24">
        <f>IF(OR(D23="",E23=""),"",D23*E23)</f>
        <v/>
      </c>
      <c r="G23" s="24">
        <f>IF(F23="","",IF(F23&gt;=16,"Critical",IF(F23&gt;=10,"High",IF(F23&gt;=5,"Medium","Low"))))</f>
        <v/>
      </c>
      <c r="H23" s="59" t="inlineStr">
        <is>
          <t>(1) Designate a deputy CTL at the start of the exercise with documented authority to act in the CTL's absence. (2) Deputy attends all key meetings and has full access to the secure data room. (3) CTL maintains a running decision log so the deputy can assume control without context loss. (4) Notify TLPT authority of deputy designation in project charter. (5) Management body formally delegates decision authority to both CTL and deputy.</t>
        </is>
      </c>
      <c r="I23" s="35" t="n">
        <v>2</v>
      </c>
      <c r="J23" s="35" t="n">
        <v>2</v>
      </c>
      <c r="K23" s="24">
        <f>IF(OR(I23="",J23=""),"",I23*J23)</f>
        <v/>
      </c>
      <c r="L23" s="24">
        <f>IF(K23="","",IF(K23&gt;=16,"Critical",IF(K23&gt;=10,"High",IF(K23&gt;=5,"Medium","Low"))))</f>
        <v/>
      </c>
      <c r="M23" s="45" t="inlineStr">
        <is>
          <t>CISO + Management Body</t>
        </is>
      </c>
      <c r="N23" s="35" t="inlineStr">
        <is>
          <t>Open</t>
        </is>
      </c>
    </row>
    <row r="24">
      <c r="A24" s="19" t="inlineStr">
        <is>
          <t>R-22</t>
        </is>
      </c>
      <c r="B24" s="60" t="inlineStr">
        <is>
          <t>Blue team detects and fully blocks the red team's C2 infrastructure, phishing domains, or implants early in the engagement. Red team cannot progress any scenario without leg-ups, and excessive leg-ups undermine the test's validity and the attestation's credibility.</t>
        </is>
      </c>
      <c r="C24" s="61" t="inlineStr">
        <is>
          <t>Technical</t>
        </is>
      </c>
      <c r="D24" s="61" t="n">
        <v>3</v>
      </c>
      <c r="E24" s="61" t="n">
        <v>3</v>
      </c>
      <c r="F24" s="19">
        <f>IF(OR(D24="",E24=""),"",D24*E24)</f>
        <v/>
      </c>
      <c r="G24" s="19">
        <f>IF(F24="","",IF(F24&gt;=16,"Critical",IF(F24&gt;=10,"High",IF(F24&gt;=5,"Medium","Low"))))</f>
        <v/>
      </c>
      <c r="H24" s="62" t="inlineStr">
        <is>
          <t>(1) Red team must prepare multiple independent C2 channels and entry vectors before active testing begins. (2) Leg-up process pre-agreed in red team test plan with clear criteria for when a leg-up is justified vs. when the red team should adapt TTPs (RTS Art. 11(8)). (3) Each leg-up documented with code, type, reason, and what it compensates for (Annex IV). (4) If detection is comprehensive, CTL proposes continuation measures to test managers (Art. 11(9)). (5) Limited purple teaming as a last resort, with test manager validation (Art. 11(10)).</t>
        </is>
      </c>
      <c r="I24" s="61" t="n">
        <v>2</v>
      </c>
      <c r="J24" s="61" t="n">
        <v>2</v>
      </c>
      <c r="K24" s="19">
        <f>IF(OR(I24="",J24=""),"",I24*J24)</f>
        <v/>
      </c>
      <c r="L24" s="19">
        <f>IF(K24="","",IF(K24&gt;=16,"Critical",IF(K24&gt;=10,"High",IF(K24&gt;=5,"Medium","Low"))))</f>
        <v/>
      </c>
      <c r="M24" s="63" t="inlineStr">
        <is>
          <t>CTL + Red Team Test Lead</t>
        </is>
      </c>
      <c r="N24" s="61" t="inlineStr">
        <is>
          <t>Open</t>
        </is>
      </c>
    </row>
    <row r="25">
      <c r="A25" s="24" t="inlineStr">
        <is>
          <t>R-23</t>
        </is>
      </c>
      <c r="B25" s="40" t="inlineStr">
        <is>
          <t>Red team tools (custom implants, exploit frameworks, credential dumping utilities) are flagged and submitted to the entity's EDR/AV vendor by automated telemetry. The vendor adds detections to their signature database, burning the red team's custom tooling for future engagements and potentially exposing TLPT techniques to the broader market.</t>
        </is>
      </c>
      <c r="C25" s="35" t="inlineStr">
        <is>
          <t>Technical</t>
        </is>
      </c>
      <c r="D25" s="35" t="n">
        <v>4</v>
      </c>
      <c r="E25" s="35" t="n">
        <v>2</v>
      </c>
      <c r="F25" s="24">
        <f>IF(OR(D25="",E25=""),"",D25*E25)</f>
        <v/>
      </c>
      <c r="G25" s="24">
        <f>IF(F25="","",IF(F25&gt;=16,"Critical",IF(F25&gt;=10,"High",IF(F25&gt;=5,"Medium","Low"))))</f>
        <v/>
      </c>
      <c r="H25" s="59" t="inlineStr">
        <is>
          <t>(1) CTL documents whether endpoint security products send automated telemetry to vendor cloud, and shares with red team during planning. (2) Red team uses expendable tooling variants where automated submission is likely. (3) Where feasible and agreed, CTL configures sample submission exclusions for specific test directories (without alerting blue team to the reason). (4) Red team accepts this risk as part of live production testing - contract should not make entity liable for tool exposure via automated telemetry.</t>
        </is>
      </c>
      <c r="I25" s="35" t="n">
        <v>3</v>
      </c>
      <c r="J25" s="35" t="n">
        <v>1</v>
      </c>
      <c r="K25" s="24">
        <f>IF(OR(I25="",J25=""),"",I25*J25)</f>
        <v/>
      </c>
      <c r="L25" s="24">
        <f>IF(K25="","",IF(K25&gt;=16,"Critical",IF(K25&gt;=10,"High",IF(K25&gt;=5,"Medium","Low"))))</f>
        <v/>
      </c>
      <c r="M25" s="45" t="inlineStr">
        <is>
          <t>Red Team Test Lead</t>
        </is>
      </c>
      <c r="N25" s="35" t="inlineStr">
        <is>
          <t>Open</t>
        </is>
      </c>
    </row>
    <row r="26">
      <c r="A26" s="19" t="inlineStr">
        <is>
          <t>R-24</t>
        </is>
      </c>
      <c r="B26" s="60" t="inlineStr">
        <is>
          <t>Red team's network scanning, privilege escalation, or lateral movement triggers changes in system state (database locks, service restarts, log rotation, disk space exhaustion on monitoring systems) that are not immediately visible but cause delayed failures in production workloads hours or days later.</t>
        </is>
      </c>
      <c r="C26" s="61" t="inlineStr">
        <is>
          <t>Technical</t>
        </is>
      </c>
      <c r="D26" s="61" t="n">
        <v>3</v>
      </c>
      <c r="E26" s="61" t="n">
        <v>4</v>
      </c>
      <c r="F26" s="19">
        <f>IF(OR(D26="",E26=""),"",D26*E26)</f>
        <v/>
      </c>
      <c r="G26" s="19">
        <f>IF(F26="","",IF(F26&gt;=16,"Critical",IF(F26&gt;=10,"High",IF(F26&gt;=5,"Medium","Low"))))</f>
        <v/>
      </c>
      <c r="H26" s="62" t="inlineStr">
        <is>
          <t>(1) Red team test plan identifies high-risk actions (mass scanning, privilege escalation on production databases, disk-intensive operations) and defines safe execution parameters. (2) CTL monitors key production health metrics during active testing and correlates anomalies with red team activity log. (3) Red team provides daily activity summary (not just weekly) for high-risk phases. (4) Kill switch: CTL suspends specific scenario within 15 minutes if production impact suspected. (5) Post-test system health check before declaring active testing complete.</t>
        </is>
      </c>
      <c r="I26" s="61" t="n">
        <v>2</v>
      </c>
      <c r="J26" s="61" t="n">
        <v>3</v>
      </c>
      <c r="K26" s="19">
        <f>IF(OR(I26="",J26=""),"",I26*J26)</f>
        <v/>
      </c>
      <c r="L26" s="19">
        <f>IF(K26="","",IF(K26&gt;=16,"Critical",IF(K26&gt;=10,"High",IF(K26&gt;=5,"Medium","Low"))))</f>
        <v/>
      </c>
      <c r="M26" s="63" t="inlineStr">
        <is>
          <t>CTL + Red Team Test Lead</t>
        </is>
      </c>
      <c r="N26" s="61" t="inlineStr">
        <is>
          <t>Open</t>
        </is>
      </c>
    </row>
    <row r="29">
      <c r="P29" s="53" t="inlineStr">
        <is>
          <t>INHERENT RISK HEAT MAP</t>
        </is>
      </c>
    </row>
    <row r="30">
      <c r="P30" s="64" t="inlineStr">
        <is>
          <t>Impact \ Likelihood</t>
        </is>
      </c>
      <c r="Q30" s="24" t="n">
        <v>1</v>
      </c>
      <c r="R30" s="24" t="n">
        <v>2</v>
      </c>
      <c r="S30" s="24" t="n">
        <v>3</v>
      </c>
      <c r="T30" s="24" t="n">
        <v>4</v>
      </c>
      <c r="U30" s="24" t="n">
        <v>5</v>
      </c>
    </row>
    <row r="31">
      <c r="P31" s="24" t="inlineStr">
        <is>
          <t>Impact 5</t>
        </is>
      </c>
      <c r="Q31" s="65">
        <f>COUNTIFS(D3:D26,1,E3:E26,5)</f>
        <v/>
      </c>
      <c r="R31" s="66">
        <f>COUNTIFS(D3:D26,2,E3:E26,5)</f>
        <v/>
      </c>
      <c r="S31" s="66">
        <f>COUNTIFS(D3:D26,3,E3:E26,5)</f>
        <v/>
      </c>
      <c r="T31" s="67">
        <f>COUNTIFS(D3:D26,4,E3:E26,5)</f>
        <v/>
      </c>
      <c r="U31" s="67">
        <f>COUNTIFS(D3:D26,5,E3:E26,5)</f>
        <v/>
      </c>
    </row>
    <row r="32">
      <c r="P32" s="24" t="inlineStr">
        <is>
          <t>Impact 4</t>
        </is>
      </c>
      <c r="Q32" s="68">
        <f>COUNTIFS(D3:D26,1,E3:E26,4)</f>
        <v/>
      </c>
      <c r="R32" s="65">
        <f>COUNTIFS(D3:D26,2,E3:E26,4)</f>
        <v/>
      </c>
      <c r="S32" s="66">
        <f>COUNTIFS(D3:D26,3,E3:E26,4)</f>
        <v/>
      </c>
      <c r="T32" s="67">
        <f>COUNTIFS(D3:D26,4,E3:E26,4)</f>
        <v/>
      </c>
      <c r="U32" s="67">
        <f>COUNTIFS(D3:D26,5,E3:E26,4)</f>
        <v/>
      </c>
    </row>
    <row r="33">
      <c r="P33" s="24" t="inlineStr">
        <is>
          <t>Impact 3</t>
        </is>
      </c>
      <c r="Q33" s="68">
        <f>COUNTIFS(D3:D26,1,E3:E26,3)</f>
        <v/>
      </c>
      <c r="R33" s="65">
        <f>COUNTIFS(D3:D26,2,E3:E26,3)</f>
        <v/>
      </c>
      <c r="S33" s="65">
        <f>COUNTIFS(D3:D26,3,E3:E26,3)</f>
        <v/>
      </c>
      <c r="T33" s="66">
        <f>COUNTIFS(D3:D26,4,E3:E26,3)</f>
        <v/>
      </c>
      <c r="U33" s="66">
        <f>COUNTIFS(D3:D26,5,E3:E26,3)</f>
        <v/>
      </c>
    </row>
    <row r="34">
      <c r="P34" s="24" t="inlineStr">
        <is>
          <t>Impact 2</t>
        </is>
      </c>
      <c r="Q34" s="68">
        <f>COUNTIFS(D3:D26,1,E3:E26,2)</f>
        <v/>
      </c>
      <c r="R34" s="68">
        <f>COUNTIFS(D3:D26,2,E3:E26,2)</f>
        <v/>
      </c>
      <c r="S34" s="65">
        <f>COUNTIFS(D3:D26,3,E3:E26,2)</f>
        <v/>
      </c>
      <c r="T34" s="65">
        <f>COUNTIFS(D3:D26,4,E3:E26,2)</f>
        <v/>
      </c>
      <c r="U34" s="66">
        <f>COUNTIFS(D3:D26,5,E3:E26,2)</f>
        <v/>
      </c>
    </row>
    <row r="35">
      <c r="P35" s="24" t="inlineStr">
        <is>
          <t>Impact 1</t>
        </is>
      </c>
      <c r="Q35" s="68">
        <f>COUNTIFS(D3:D26,1,E3:E26,1)</f>
        <v/>
      </c>
      <c r="R35" s="68">
        <f>COUNTIFS(D3:D26,2,E3:E26,1)</f>
        <v/>
      </c>
      <c r="S35" s="68">
        <f>COUNTIFS(D3:D26,3,E3:E26,1)</f>
        <v/>
      </c>
      <c r="T35" s="68">
        <f>COUNTIFS(D3:D26,4,E3:E26,1)</f>
        <v/>
      </c>
      <c r="U35" s="65">
        <f>COUNTIFS(D3:D26,5,E3:E26,1)</f>
        <v/>
      </c>
    </row>
  </sheetData>
  <sheetProtection selectLockedCells="0" selectUnlockedCells="0" sheet="1" objects="0" insertRows="1" insertHyperlinks="1" autoFilter="0" scenarios="0" formatColumns="0" deleteColumns="1" insertColumns="1" pivotTables="1" deleteRows="1" formatCells="1" formatRows="0" sort="0" password="CE4B"/>
  <mergeCells count="2">
    <mergeCell ref="P29:U29"/>
    <mergeCell ref="A1:N1"/>
  </mergeCells>
  <conditionalFormatting sqref="G3:G26">
    <cfRule type="cellIs" priority="1" operator="equal" dxfId="11">
      <formula>"Critical"</formula>
    </cfRule>
    <cfRule type="cellIs" priority="2" operator="equal" dxfId="1">
      <formula>"High"</formula>
    </cfRule>
    <cfRule type="cellIs" priority="3" operator="equal" dxfId="9">
      <formula>"Medium"</formula>
    </cfRule>
    <cfRule type="cellIs" priority="4" operator="equal" dxfId="3">
      <formula>"Low"</formula>
    </cfRule>
  </conditionalFormatting>
  <conditionalFormatting sqref="L3:L26">
    <cfRule type="cellIs" priority="5" operator="equal" dxfId="11">
      <formula>"Critical"</formula>
    </cfRule>
    <cfRule type="cellIs" priority="6" operator="equal" dxfId="1">
      <formula>"High"</formula>
    </cfRule>
    <cfRule type="cellIs" priority="7" operator="equal" dxfId="9">
      <formula>"Medium"</formula>
    </cfRule>
    <cfRule type="cellIs" priority="8" operator="equal" dxfId="3">
      <formula>"Low"</formula>
    </cfRule>
  </conditionalFormatting>
  <dataValidations count="3">
    <dataValidation sqref="C3 C4 C5 C6 C7 C8 C9 C10 C11 C12 C13 C14 C15 C16 C17 C18 C19 C20 C21 C22 C23 C24 C25 C26" showDropDown="0" showInputMessage="0" showErrorMessage="0" allowBlank="1" type="list">
      <formula1>"Operational,Confidentiality,Compliance,Reputational,Third-party,Scope,Personnel,Technical"</formula1>
    </dataValidation>
    <dataValidation sqref="N3 N4 N5 N6 N7 N8 N9 N10 N11 N12 N13 N14 N15 N16 N17 N18 N19 N20 N21 N22 N23 N24 N25 N26" showDropDown="0" showInputMessage="0" showErrorMessage="0" allowBlank="1" type="list">
      <formula1>"Open,Mitigating,Accepted,Closed"</formula1>
    </dataValidation>
    <dataValidation sqref="D3 D4 D5 D6 D7 D8 D9 D10 D11 D12 D13 D14 D15 D16 D17 D18 D19 D20 D21 D22 D23 D24 D25 D26 E3 E4 E5 E6 E7 E8 E9 E10 E11 E12 E13 E14 E15 E16 E17 E18 E19 E20 E21 E22 E23 E24 E25 E26 I3 I4 I5 I6 I7 I8 I9 I10 I11 I12 I13 I14 I15 I16 I17 I18 I19 I20 I21 I22 I23 I24 I25 I26 J3 J4 J5 J6 J7 J8 J9 J10 J11 J12 J13 J14 J15 J16 J17 J18 J19 J20 J21 J22 J23 J24 J25 J26" showDropDown="0" showInputMessage="0" showErrorMessage="0" allowBlank="1" type="list">
      <formula1>"1,2,3,4,5"</formula1>
    </dataValidation>
  </dataValidations>
  <pageMargins left="0.75" right="0.75" top="1" bottom="1" header="0.5" footer="0.5"/>
  <pageSetup orientation="landscape" fitToHeight="0" fitToWidth="1"/>
  <headerFooter>
    <oddHeader>&amp;LAFINE | TLPT DORA Readiness Tracker&amp;RPage &amp;P of &amp;N</oddHeader>
    <oddFooter>&amp;CAFINE sp. z o.o. | afine.com</oddFooter>
    <evenHeader/>
    <evenFooter/>
    <firstHeader/>
    <firstFooter/>
  </headerFooter>
</worksheet>
</file>

<file path=xl/worksheets/sheet14.xml><?xml version="1.0" encoding="utf-8"?>
<worksheet xmlns="http://schemas.openxmlformats.org/spreadsheetml/2006/main">
  <sheetPr>
    <tabColor rgb="009E9E9E"/>
    <outlinePr summaryBelow="1" summaryRight="1"/>
    <pageSetUpPr fitToPage="1"/>
  </sheetPr>
  <dimension ref="A1:G34"/>
  <sheetViews>
    <sheetView workbookViewId="0">
      <pane xSplit="1" ySplit="2" topLeftCell="B3" activePane="bottomRight" state="frozen"/>
      <selection pane="topRight" activeCell="A1" sqref="A1"/>
      <selection pane="bottomLeft" activeCell="A1" sqref="A1"/>
      <selection pane="bottomRight" activeCell="A1" sqref="A1"/>
    </sheetView>
  </sheetViews>
  <sheetFormatPr baseColWidth="8" defaultRowHeight="15"/>
  <cols>
    <col width="16" customWidth="1" min="1" max="1"/>
    <col width="28" customWidth="1" min="2" max="2"/>
    <col width="20" customWidth="1" min="3" max="3"/>
    <col width="38" customWidth="1" min="4" max="4"/>
    <col width="28" customWidth="1" min="5" max="5"/>
    <col width="50" customWidth="1" min="6" max="6"/>
    <col width="45" customWidth="1" min="7" max="7"/>
  </cols>
  <sheetData>
    <row r="1">
      <c r="A1" s="36" t="inlineStr">
        <is>
          <t>TLPT/TIBER NATIONAL IMPLEMENTATION COMPARISON</t>
        </is>
      </c>
    </row>
    <row r="2">
      <c r="A2" s="37" t="inlineStr">
        <is>
          <t>Country</t>
        </is>
      </c>
      <c r="B2" s="37" t="inlineStr">
        <is>
          <t>TLPT Authority</t>
        </is>
      </c>
      <c r="C2" s="37" t="inlineStr">
        <is>
          <t>Framework</t>
        </is>
      </c>
      <c r="D2" s="37" t="inlineStr">
        <is>
          <t>Status</t>
        </is>
      </c>
      <c r="E2" s="37" t="inlineStr">
        <is>
          <t>Internal Testers?</t>
        </is>
      </c>
      <c r="F2" s="37" t="inlineStr">
        <is>
          <t>Key Differences</t>
        </is>
      </c>
      <c r="G2" s="37" t="inlineStr">
        <is>
          <t>Link</t>
        </is>
      </c>
    </row>
    <row r="3">
      <c r="A3" s="20" t="inlineStr">
        <is>
          <t>EU/ECB (SSM)</t>
        </is>
      </c>
      <c r="B3" s="40" t="inlineStr">
        <is>
          <t>ECB (TCT-SSM, within DG/OMI)</t>
        </is>
      </c>
      <c r="C3" s="40" t="inlineStr">
        <is>
          <t>TIBER-EU / SSM Implementation Guide</t>
        </is>
      </c>
      <c r="D3" s="69" t="inlineStr">
        <is>
          <t>Operational (guide published Nov 2025)</t>
        </is>
      </c>
      <c r="E3" s="69" t="inlineStr">
        <is>
          <t>No - significant institutions must use external testers only</t>
        </is>
      </c>
      <c r="F3" s="69" t="inlineStr">
        <is>
          <t>ECB is both competent authority and TLPT authority for significant institutions. Applies uniform approach across all SSM-supervised significant institutions.</t>
        </is>
      </c>
      <c r="G3" s="44" t="inlineStr">
        <is>
          <t>https://www.bankingsupervision.europa.eu/ecb/pub/pdf/ssm.supervisory_guide202511.en.pdf</t>
        </is>
      </c>
    </row>
    <row r="4">
      <c r="A4" s="70" t="inlineStr">
        <is>
          <t>Austria</t>
        </is>
      </c>
      <c r="B4" s="60" t="inlineStr">
        <is>
          <t>OeNB (TCT-AT) + FMA</t>
        </is>
      </c>
      <c r="C4" s="60" t="inlineStr">
        <is>
          <t>TIBER-AT</t>
        </is>
      </c>
      <c r="D4" s="71" t="inlineStr">
        <is>
          <t>Operational (guide updated Jul 2025)</t>
        </is>
      </c>
      <c r="E4" s="71" t="inlineStr">
        <is>
          <t>Per RTS rules; significant institutions external only</t>
        </is>
      </c>
      <c r="F4" s="71" t="inlineStr">
        <is>
          <t>OeNB/FMA joint approach. Hosts annual T-REX provider conference. Implementation guide meets all DORA requirements.</t>
        </is>
      </c>
      <c r="G4" s="72" t="inlineStr">
        <is>
          <t>https://www.oenb.at/dam/jcr:0253da77-47da-44e9-979f-965d95222df1/2025-07-21-TIBER-AT-Implementation-Guide.pdf</t>
        </is>
      </c>
    </row>
    <row r="5">
      <c r="A5" s="20" t="inlineStr">
        <is>
          <t>Belgium</t>
        </is>
      </c>
      <c r="B5" s="40" t="inlineStr">
        <is>
          <t>NBB (TIBER-BE team)</t>
        </is>
      </c>
      <c r="C5" s="40" t="inlineStr">
        <is>
          <t>TIBER-BE / DORA-TLPT-BE</t>
        </is>
      </c>
      <c r="D5" s="69" t="inlineStr">
        <is>
          <t>Operational (since 2018; guide updated 2025)</t>
        </is>
      </c>
      <c r="E5" s="69" t="inlineStr">
        <is>
          <t>Per RTS rules; recommends external red team test manager even with internal testers</t>
        </is>
      </c>
      <c r="F5" s="69" t="inlineStr">
        <is>
          <t>One of earliest implementations (2018). NBB is TLPT authority for institutions under its supervision/oversight. Updated guide for DORA alignment.</t>
        </is>
      </c>
      <c r="G5" s="44" t="inlineStr">
        <is>
          <t>https://www.nbb.be/doc/be/be6/tiber-be_national_implementation_guide-2025.pdf</t>
        </is>
      </c>
    </row>
    <row r="6">
      <c r="A6" s="70" t="inlineStr">
        <is>
          <t>Czech Republic</t>
        </is>
      </c>
      <c r="B6" s="60" t="inlineStr">
        <is>
          <t>CNB (TCT-CZ)</t>
        </is>
      </c>
      <c r="C6" s="60" t="inlineStr">
        <is>
          <t>TIBER-CZ</t>
        </is>
      </c>
      <c r="D6" s="71" t="inlineStr">
        <is>
          <t>Operational (v1.0 published Mar 2025)</t>
        </is>
      </c>
      <c r="E6" s="71" t="inlineStr">
        <is>
          <t>Per RTS rules</t>
        </is>
      </c>
      <c r="F6" s="71" t="inlineStr">
        <is>
          <t>CNB focuses on "other systemically important institutions" and entities critical to Czech financial system. No deviations from TIBER-EU.</t>
        </is>
      </c>
      <c r="G6" s="72" t="inlineStr">
        <is>
          <t>https://www.cnb.cz/export/sites/cnb/cs/dohled-financni-trh/dora-digitalni-provozni-odolnost-financniho-trhu/tiber-implemetation-guide-cz.pdf</t>
        </is>
      </c>
    </row>
    <row r="7">
      <c r="A7" s="20" t="inlineStr">
        <is>
          <t>Denmark</t>
        </is>
      </c>
      <c r="B7" s="40" t="inlineStr">
        <is>
          <t>Danish FSA + Danmarks Nationalbank</t>
        </is>
      </c>
      <c r="C7" s="40" t="inlineStr">
        <is>
          <t>TIBER-DK</t>
        </is>
      </c>
      <c r="D7" s="69" t="inlineStr">
        <is>
          <t>Operational (v4.0 published Jan 2025)</t>
        </is>
      </c>
      <c r="E7" s="69" t="inlineStr">
        <is>
          <t>Per RTS rules</t>
        </is>
      </c>
      <c r="F7" s="69" t="inlineStr">
        <is>
          <t>Updated to version 4.0 for DORA alignment. Joint FSA/central bank approach.</t>
        </is>
      </c>
      <c r="G7" s="44" t="inlineStr">
        <is>
          <t>https://www.nationalbanken.dk/media/4msee5sm/tiber-dk-implementation-document.pdf</t>
        </is>
      </c>
    </row>
    <row r="8">
      <c r="A8" s="70" t="inlineStr">
        <is>
          <t>Finland</t>
        </is>
      </c>
      <c r="B8" s="60" t="inlineStr">
        <is>
          <t>FIN-FSA + Bank of Finland</t>
        </is>
      </c>
      <c r="C8" s="60" t="inlineStr">
        <is>
          <t>TIBER-FI</t>
        </is>
      </c>
      <c r="D8" s="71" t="inlineStr">
        <is>
          <t>Operational (v2.0 published Mar 2025)</t>
        </is>
      </c>
      <c r="E8" s="71" t="inlineStr">
        <is>
          <t>Per RTS rules</t>
        </is>
      </c>
      <c r="F8" s="71" t="inlineStr">
        <is>
          <t>FIN-FSA imposes TLPT obligations; Bank of Finland provides operational support including General Threat Landscape (GTL) report. Major 2.0 release for DORA/RTS alignment.</t>
        </is>
      </c>
      <c r="G8" s="72" t="inlineStr">
        <is>
          <t>https://www.suomenpankki.fi/globalassets/bof/en/money-and-payments/the-bank-of-finland-as-catalyst-payments-council/tiber-fi/tiber-fi-2.0-procedures-and-guidelines.pdf</t>
        </is>
      </c>
    </row>
    <row r="9">
      <c r="A9" s="20" t="inlineStr">
        <is>
          <t>France</t>
        </is>
      </c>
      <c r="B9" s="40" t="inlineStr">
        <is>
          <t>Banque de France</t>
        </is>
      </c>
      <c r="C9" s="40" t="inlineStr">
        <is>
          <t>TIBER-FR</t>
        </is>
      </c>
      <c r="D9" s="69" t="inlineStr">
        <is>
          <t>Operational (guide published Mar 2025)</t>
        </is>
      </c>
      <c r="E9" s="69" t="inlineStr">
        <is>
          <t>Per RTS rules</t>
        </is>
      </c>
      <c r="F9" s="69" t="inlineStr">
        <is>
          <t>Detailed national implementation guide published March 2025, fully aligned to DORA TLPT.</t>
        </is>
      </c>
      <c r="G9" s="44" t="inlineStr">
        <is>
          <t>https://www.banque-france.fr/system/files/2025-03/Guide_TIBER_2025_V5.pdf</t>
        </is>
      </c>
    </row>
    <row r="10">
      <c r="A10" s="70" t="inlineStr">
        <is>
          <t>Germany</t>
        </is>
      </c>
      <c r="B10" s="60" t="inlineStr">
        <is>
          <t>BaFin (supervisory) + Deutsche Bundesbank (operational)</t>
        </is>
      </c>
      <c r="C10" s="60" t="inlineStr">
        <is>
          <t>TIBER-DE</t>
        </is>
      </c>
      <c r="D10" s="71" t="inlineStr">
        <is>
          <t>Operational (v4.0 published Jul 2025)</t>
        </is>
      </c>
      <c r="E10" s="71" t="inlineStr">
        <is>
          <t>Per RTS rules; significant institutions external only</t>
        </is>
      </c>
      <c r="F10" s="71" t="inlineStr">
        <is>
          <t>Split authority model: BaFin identifies entities and handles supervisory tasks; Bundesbank runs operations and monitors tests. Framework available since 2020, updated to v4.0 for DORA.</t>
        </is>
      </c>
      <c r="G10" s="72" t="inlineStr">
        <is>
          <t>https://www.bundesbank.de/resource/blob/848920/d54c662179f26da23b9b0bc3daf9bafb/472B63F073F071307366337C94F8C870/tiber-implementierung-data.pdf</t>
        </is>
      </c>
    </row>
    <row r="11">
      <c r="A11" s="20" t="inlineStr">
        <is>
          <t>Iceland</t>
        </is>
      </c>
      <c r="B11" s="40" t="inlineStr">
        <is>
          <t>Central Bank of Iceland (Sedlabanki)</t>
        </is>
      </c>
      <c r="C11" s="40" t="inlineStr">
        <is>
          <t>TIBER-IS</t>
        </is>
      </c>
      <c r="D11" s="69" t="inlineStr">
        <is>
          <t>Operational (guide published)</t>
        </is>
      </c>
      <c r="E11" s="69" t="inlineStr">
        <is>
          <t>Per RTS rules</t>
        </is>
      </c>
      <c r="F11" s="69" t="inlineStr">
        <is>
          <t>EEA member, not EU. DORA applicable via EEA Agreement. Implementation guide published. Small financial sector - limited local provider capacity.</t>
        </is>
      </c>
      <c r="G11" s="44" t="inlineStr">
        <is>
          <t>https://www.sedlabanki.is/library/Skraarsafn/Fjarmalainnvidir/TIBER-IS-Implementation-Guide.pdf</t>
        </is>
      </c>
    </row>
    <row r="12">
      <c r="A12" s="70" t="inlineStr">
        <is>
          <t>Ireland</t>
        </is>
      </c>
      <c r="B12" s="60" t="inlineStr">
        <is>
          <t>Central Bank of Ireland</t>
        </is>
      </c>
      <c r="C12" s="60" t="inlineStr">
        <is>
          <t>TIBER-IE</t>
        </is>
      </c>
      <c r="D12" s="71" t="inlineStr">
        <is>
          <t>Operational (guide since Dec 2019; DORA-aligned update in progress)</t>
        </is>
      </c>
      <c r="E12" s="71" t="inlineStr">
        <is>
          <t>Per RTS rules</t>
        </is>
      </c>
      <c r="F12" s="71" t="inlineStr">
        <is>
          <t>Originally voluntary. TIBER-IE guide from 2019. Central Bank of Ireland revised TIBER-IE to align with DORA TLPT requirements. Testing now mandatory for identified entities.</t>
        </is>
      </c>
      <c r="G12" s="72" t="inlineStr">
        <is>
          <t>https://www.centralbank.ie/docs/default-source/financial-system/tiber-ie/tiber-ie-national-guide-december-2019.pdf</t>
        </is>
      </c>
    </row>
    <row r="13">
      <c r="A13" s="20" t="inlineStr">
        <is>
          <t>Italy</t>
        </is>
      </c>
      <c r="B13" s="40" t="inlineStr">
        <is>
          <t>Banca d'Italia + CONSOB + IVASS</t>
        </is>
      </c>
      <c r="C13" s="40" t="inlineStr">
        <is>
          <t>TIBER-IT</t>
        </is>
      </c>
      <c r="D13" s="69" t="inlineStr">
        <is>
          <t>Operational (guide updated Dec 2025)</t>
        </is>
      </c>
      <c r="E13" s="69" t="inlineStr">
        <is>
          <t>Per RTS rules</t>
        </is>
      </c>
      <c r="F13" s="69" t="inlineStr">
        <is>
          <t>Three-authority model: Banca d'Italia, CONSOB (securities), IVASS (insurance) jointly updated the TIBER-IT National Guide in December 2025. Single methodological framework for both mandatory and voluntary TLPT.</t>
        </is>
      </c>
      <c r="G13" s="44" t="inlineStr">
        <is>
          <t>https://www.bancaditalia.it/compiti/sispaga-mercati/tiber-it/index.html?com.dotmarketing.htmlpage.language=1</t>
        </is>
      </c>
    </row>
    <row r="14">
      <c r="A14" s="70" t="inlineStr">
        <is>
          <t>Liechtenstein</t>
        </is>
      </c>
      <c r="B14" s="60" t="inlineStr">
        <is>
          <t>FMA Liechtenstein (ICT Supervision and Cybersecurity Unit / TCT-LI)</t>
        </is>
      </c>
      <c r="C14" s="60" t="inlineStr">
        <is>
          <t>TIBER-EU LI</t>
        </is>
      </c>
      <c r="D14" s="71" t="inlineStr">
        <is>
          <t>Operational (in force Oct 2025)</t>
        </is>
      </c>
      <c r="E14" s="71" t="inlineStr">
        <is>
          <t>Per RTS rules</t>
        </is>
      </c>
      <c r="F14" s="71" t="inlineStr">
        <is>
          <t>EEA member, not EU. FMA Communication 2025/3 adopts TIBER-EU LI. EEA-DORA-DG entered into force 1 Feb 2025. FMA acts as competent authority per DORA Article 26.</t>
        </is>
      </c>
      <c r="G14" s="72" t="inlineStr">
        <is>
          <t>https://www.fma-li.li/en/supervision-regulation/dora/tiber-eu-li</t>
        </is>
      </c>
    </row>
    <row r="15">
      <c r="A15" s="20" t="inlineStr">
        <is>
          <t>Luxembourg</t>
        </is>
      </c>
      <c r="B15" s="40" t="inlineStr">
        <is>
          <t>CSSF + BCL</t>
        </is>
      </c>
      <c r="C15" s="40" t="inlineStr">
        <is>
          <t>TIBER-LU</t>
        </is>
      </c>
      <c r="D15" s="69" t="inlineStr">
        <is>
          <t>Operational (guide updated Jun 2025)</t>
        </is>
      </c>
      <c r="E15" s="69" t="inlineStr">
        <is>
          <t>Per RTS rules</t>
        </is>
      </c>
      <c r="F15" s="69" t="inlineStr">
        <is>
          <t>CSSF is TLPT authority per DORA Article 46. BCL co-developed framework. Changed from voluntary to mandatory for selected entities under DORA.</t>
        </is>
      </c>
      <c r="G15" s="44" t="inlineStr">
        <is>
          <t>https://www.cssf.lu/wp-content/uploads/TIBER-LU_Implementation_Guide.pdf</t>
        </is>
      </c>
    </row>
    <row r="16">
      <c r="A16" s="70" t="inlineStr">
        <is>
          <t>Malta</t>
        </is>
      </c>
      <c r="B16" s="60" t="inlineStr">
        <is>
          <t>MFSA</t>
        </is>
      </c>
      <c r="C16" s="60" t="inlineStr">
        <is>
          <t>TIBER-MT / DORA TLPT-MT</t>
        </is>
      </c>
      <c r="D16" s="71" t="inlineStr">
        <is>
          <t>Operational (NID published Jul 2025)</t>
        </is>
      </c>
      <c r="E16" s="71" t="inlineStr">
        <is>
          <t>Per RTS rules</t>
        </is>
      </c>
      <c r="F16" s="71" t="inlineStr">
        <is>
          <t>Published a combined "TIBER-MT and DORA TLPT-MT National Implementation Document" in July 2025.</t>
        </is>
      </c>
      <c r="G16" s="72" t="inlineStr">
        <is>
          <t>https://www.mfsa.mt/wp-content/uploads/2025/07/TIBER-MT-and-DORA-TLPT-MT-National-Implementation-Document.pdf</t>
        </is>
      </c>
    </row>
    <row r="17">
      <c r="A17" s="20" t="inlineStr">
        <is>
          <t>Netherlands</t>
        </is>
      </c>
      <c r="B17" s="40" t="inlineStr">
        <is>
          <t>DNB</t>
        </is>
      </c>
      <c r="C17" s="40" t="inlineStr">
        <is>
          <t>TIBER-NL (+ ART)</t>
        </is>
      </c>
      <c r="D17" s="69" t="inlineStr">
        <is>
          <t>Operational (most mature; since 2016)</t>
        </is>
      </c>
      <c r="E17" s="69" t="inlineStr">
        <is>
          <t>Per RTS rules</t>
        </is>
      </c>
      <c r="F17" s="69" t="inlineStr">
        <is>
          <t>Pioneer of TIBER - DNB introduced TIBER-NL in 2016, which became the basis for TIBER-EU. Now operates three frameworks: (1) TLPT (mandatory under DORA), (2) TIBER (voluntary, same methodology), (3) ART - Advanced Red-Teaming (launched 2024, broader scope). Also extended to Dutch government and water sector.</t>
        </is>
      </c>
      <c r="G17" s="44" t="inlineStr">
        <is>
          <t>https://www.dnb.nl/en/sector-information/cash-and-payment-systems/dnb-oversees-cyber-resilience-tests/threat-intelligence-based-ethical-red-teaming-tiber/</t>
        </is>
      </c>
    </row>
    <row r="18">
      <c r="A18" s="70" t="inlineStr">
        <is>
          <t>Norway</t>
        </is>
      </c>
      <c r="B18" s="60" t="inlineStr">
        <is>
          <t>Norges Bank + Finanstilsynet</t>
        </is>
      </c>
      <c r="C18" s="60" t="inlineStr">
        <is>
          <t>TIBER-NO</t>
        </is>
      </c>
      <c r="D18" s="71" t="inlineStr">
        <is>
          <t>Operational (v2.1 published Oct 2025)</t>
        </is>
      </c>
      <c r="E18" s="71" t="inlineStr">
        <is>
          <t>Per RTS rules</t>
        </is>
      </c>
      <c r="F18" s="71" t="inlineStr">
        <is>
          <t>EEA member, not EU. DORA transposed into Norwegian law. Joint central bank/FSA model. Active version management with regular updates (v1.3 Jun 2024, v2.0 Aug 2025, v2.1 Oct 2025).</t>
        </is>
      </c>
      <c r="G18" s="72" t="inlineStr">
        <is>
          <t>https://www.norges-bank.no/contentassets/73b28fbbae604487a3c7b6864f360254/tiber-no-operational-guide-2.1.pdf</t>
        </is>
      </c>
    </row>
    <row r="19">
      <c r="A19" s="20" t="inlineStr">
        <is>
          <t>Portugal</t>
        </is>
      </c>
      <c r="B19" s="40" t="inlineStr">
        <is>
          <t>Banco de Portugal</t>
        </is>
      </c>
      <c r="C19" s="40" t="inlineStr">
        <is>
          <t>TIBER-PT</t>
        </is>
      </c>
      <c r="D19" s="69" t="inlineStr">
        <is>
          <t>Operational (guide published)</t>
        </is>
      </c>
      <c r="E19" s="69" t="inlineStr">
        <is>
          <t>Per RTS rules</t>
        </is>
      </c>
      <c r="F19" s="69" t="inlineStr">
        <is>
          <t>Targets credit institutions, financial holding companies, payment institutions, e-money institutions under BdP supervision.</t>
        </is>
      </c>
      <c r="G19" s="44" t="inlineStr">
        <is>
          <t>https://www.bportugal.pt/sites/default/files/documents/2024-05/TIBER-PT_Guide.pdf</t>
        </is>
      </c>
    </row>
    <row r="20">
      <c r="A20" s="70" t="inlineStr">
        <is>
          <t>Romania</t>
        </is>
      </c>
      <c r="B20" s="60" t="inlineStr">
        <is>
          <t>National Bank of Romania (BNR)</t>
        </is>
      </c>
      <c r="C20" s="60" t="inlineStr">
        <is>
          <t>TIBER-RO</t>
        </is>
      </c>
      <c r="D20" s="71" t="inlineStr">
        <is>
          <t>Operational (regulation since 2022)</t>
        </is>
      </c>
      <c r="E20" s="71" t="inlineStr">
        <is>
          <t>Per RTS rules</t>
        </is>
      </c>
      <c r="F20" s="71" t="inlineStr">
        <is>
          <t>BNR Regulation no. 6/2022 established TIBER-RO. Published in Official Gazette May 2022. Now aligned with DORA TLPT requirements.</t>
        </is>
      </c>
      <c r="G20" s="72" t="inlineStr">
        <is>
          <t>https://www.bnr.ro/DocumentInformation.aspx?idDocument=40092&amp;directLink=1</t>
        </is>
      </c>
    </row>
    <row r="21">
      <c r="A21" s="20" t="inlineStr">
        <is>
          <t>Slovakia</t>
        </is>
      </c>
      <c r="B21" s="40" t="inlineStr">
        <is>
          <t>NBS (Narodna banka Slovenska / TCT-SK)</t>
        </is>
      </c>
      <c r="C21" s="40" t="inlineStr">
        <is>
          <t>TIBER-SK</t>
        </is>
      </c>
      <c r="D21" s="69" t="inlineStr">
        <is>
          <t>Operational (published Jun 2025)</t>
        </is>
      </c>
      <c r="E21" s="69" t="inlineStr">
        <is>
          <t>Per RTS rules; voluntary tests also accepted</t>
        </is>
      </c>
      <c r="F21" s="69" t="inlineStr">
        <is>
          <t>NBS published TIBER-SK framework June 2025. Held TLPT provider workshop June 2025. Explicitly states no deviations from TIBER-EU. Entities not in mandatory scope may request voluntary tests.</t>
        </is>
      </c>
      <c r="G21" s="44" t="inlineStr">
        <is>
          <t>https://nbs.sk/dokument/83839b35-f139-485f-8db8-73db88a51e23/stiahnut?force=false</t>
        </is>
      </c>
    </row>
    <row r="22">
      <c r="A22" s="70" t="inlineStr">
        <is>
          <t>Spain</t>
        </is>
      </c>
      <c r="B22" s="60" t="inlineStr">
        <is>
          <t>Banco de Espana + CNMV + DGSFP</t>
        </is>
      </c>
      <c r="C22" s="60" t="inlineStr">
        <is>
          <t>TIBER-ES</t>
        </is>
      </c>
      <c r="D22" s="71" t="inlineStr">
        <is>
          <t>Operational (guide published)</t>
        </is>
      </c>
      <c r="E22" s="71" t="inlineStr">
        <is>
          <t>Per RTS rules</t>
        </is>
      </c>
      <c r="F22" s="71" t="inlineStr">
        <is>
          <t>Three-authority model: Banco de Espana, CNMV (securities), DGSFP (insurance/pensions). Prioritizing DORA TLPT compliance for most critical financial institutions first.</t>
        </is>
      </c>
      <c r="G22" s="72" t="inlineStr">
        <is>
          <t>https://www.bde.es/f/webbde/INF/MenuHorizontal/Servicios/TIBER-ES/Guia_de_Implementacion_TIBER-ES_Ing.pdf</t>
        </is>
      </c>
    </row>
    <row r="23">
      <c r="A23" s="20" t="inlineStr">
        <is>
          <t>Sweden</t>
        </is>
      </c>
      <c r="B23" s="40" t="inlineStr">
        <is>
          <t>Sveriges Riksbank</t>
        </is>
      </c>
      <c r="C23" s="40" t="inlineStr">
        <is>
          <t>TIBER-SE</t>
        </is>
      </c>
      <c r="D23" s="69" t="inlineStr">
        <is>
          <t>Operational (guide being updated)</t>
        </is>
      </c>
      <c r="E23" s="69" t="inlineStr">
        <is>
          <t>Per RTS rules</t>
        </is>
      </c>
      <c r="F23" s="69" t="inlineStr">
        <is>
          <t>Riksbank Executive Board has formal ownership. Framework currently being updated for DORA/RTS alignment. TIBER-SE used to implement DORA TLPT in Sweden.</t>
        </is>
      </c>
      <c r="G23" s="44" t="inlineStr">
        <is>
          <t>https://www.riksbank.se/en-gb/financial-stability/the-riksbanks-responsibility-with-regard-to-financial-stability/preventing-financial-crises/the-riksbanks-work-on-cyber-risks/tiber-se/</t>
        </is>
      </c>
    </row>
    <row r="24">
      <c r="A24" s="70" t="inlineStr">
        <is>
          <t>Bulgaria</t>
        </is>
      </c>
      <c r="B24" s="60" t="inlineStr">
        <is>
          <t>Bulgarian National Bank (BNB)</t>
        </is>
      </c>
      <c r="C24" s="60" t="inlineStr">
        <is>
          <t>No national TIBER framework published</t>
        </is>
      </c>
      <c r="D24" s="71" t="inlineStr">
        <is>
          <t>DORA applies directly; no national implementation document</t>
        </is>
      </c>
      <c r="E24" s="71" t="inlineStr">
        <is>
          <t>Per RTS rules (no national variation)</t>
        </is>
      </c>
      <c r="F24" s="71" t="inlineStr">
        <is>
          <t>DORA directly applicable since Jan 2025. BNB has audited banking sector DORA preparedness. No significant institutions under SSM. No national TIBER document published.</t>
        </is>
      </c>
      <c r="G24" s="72" t="inlineStr">
        <is>
          <t>https://www.bnb.bg/</t>
        </is>
      </c>
    </row>
    <row r="25">
      <c r="A25" s="20" t="inlineStr">
        <is>
          <t>Croatia</t>
        </is>
      </c>
      <c r="B25" s="40" t="inlineStr">
        <is>
          <t>Croatian National Bank (HNB) + HANFA</t>
        </is>
      </c>
      <c r="C25" s="40" t="inlineStr">
        <is>
          <t>No national TIBER framework published</t>
        </is>
      </c>
      <c r="D25" s="69" t="inlineStr">
        <is>
          <t>DORA applies directly; no national implementation document</t>
        </is>
      </c>
      <c r="E25" s="69" t="inlineStr">
        <is>
          <t>Per RTS rules (no national variation)</t>
        </is>
      </c>
      <c r="F25" s="69" t="inlineStr">
        <is>
          <t>Joined eurozone 2023 and SSM. Unified supervisory structure led by HNB/HANFA. Local TLPT capacity is limited - most entities will rely on external EU providers.</t>
        </is>
      </c>
      <c r="G25" s="44" t="inlineStr">
        <is>
          <t>https://www.hnb.hr/</t>
        </is>
      </c>
    </row>
    <row r="26">
      <c r="A26" s="70" t="inlineStr">
        <is>
          <t>Cyprus</t>
        </is>
      </c>
      <c r="B26" s="60" t="inlineStr">
        <is>
          <t>Central Bank of Cyprus (CBC) + CySEC</t>
        </is>
      </c>
      <c r="C26" s="60" t="inlineStr">
        <is>
          <t>No national TIBER framework published</t>
        </is>
      </c>
      <c r="D26" s="71" t="inlineStr">
        <is>
          <t>DORA applies directly; no national implementation document</t>
        </is>
      </c>
      <c r="E26" s="71" t="inlineStr">
        <is>
          <t>Per RTS rules (no national variation)</t>
        </is>
      </c>
      <c r="F26" s="71" t="inlineStr">
        <is>
          <t>SSM member. Significant institutions fall under ECB's SSM guide. CBC and CySEC share competency. National implementation document expected.</t>
        </is>
      </c>
      <c r="G26" s="72" t="inlineStr">
        <is>
          <t>https://www.centralbank.cy/</t>
        </is>
      </c>
    </row>
    <row r="27">
      <c r="A27" s="20" t="inlineStr">
        <is>
          <t>Estonia</t>
        </is>
      </c>
      <c r="B27" s="40" t="inlineStr">
        <is>
          <t>Finantsinspektsioon (EFSA) + Eesti Pank</t>
        </is>
      </c>
      <c r="C27" s="40" t="inlineStr">
        <is>
          <t>No national TIBER framework published</t>
        </is>
      </c>
      <c r="D27" s="69" t="inlineStr">
        <is>
          <t>DORA applies directly; EFSA held DORA information seminars</t>
        </is>
      </c>
      <c r="E27" s="69" t="inlineStr">
        <is>
          <t>Per RTS rules (no national variation)</t>
        </is>
      </c>
      <c r="F27" s="69" t="inlineStr">
        <is>
          <t>Finantsinspektsioon is primary supervisor. DORA compliance data submission to EFSA/Eesti Pank from Jan 2026. Relatively small financial sector.</t>
        </is>
      </c>
      <c r="G27" s="44" t="inlineStr">
        <is>
          <t>https://www.fi.ee/en/news/finantsinspektsioon-holding-information-seminar-application-dora</t>
        </is>
      </c>
    </row>
    <row r="28">
      <c r="A28" s="70" t="inlineStr">
        <is>
          <t>Greece</t>
        </is>
      </c>
      <c r="B28" s="60" t="inlineStr">
        <is>
          <t>Bank of Greece (BoG)</t>
        </is>
      </c>
      <c r="C28" s="60" t="inlineStr">
        <is>
          <t>No national TIBER framework published</t>
        </is>
      </c>
      <c r="D28" s="71" t="inlineStr">
        <is>
          <t>DORA applies directly; BoG coordinating TLPT/TIBER-EU</t>
        </is>
      </c>
      <c r="E28" s="71" t="inlineStr">
        <is>
          <t>Per RTS rules (no national variation)</t>
        </is>
      </c>
      <c r="F28" s="71" t="inlineStr">
        <is>
          <t>SSM member. BoG implementing DORA (2025-2026) with TLPT/TIBER-EU coordination. Target: 30% faster resolution of severe incidents. Significant institutions under ECB's SSM guide.</t>
        </is>
      </c>
      <c r="G28" s="72" t="inlineStr">
        <is>
          <t>https://www.bankofgreece.gr/en/main-tasks/supervision/dora-digital-operational-resilience-act-for-the-financial-sector</t>
        </is>
      </c>
    </row>
    <row r="29">
      <c r="A29" s="20" t="inlineStr">
        <is>
          <t>Hungary</t>
        </is>
      </c>
      <c r="B29" s="40" t="inlineStr">
        <is>
          <t>Magyar Nemzeti Bank (MNB)</t>
        </is>
      </c>
      <c r="C29" s="40" t="inlineStr">
        <is>
          <t>No national TIBER framework published</t>
        </is>
      </c>
      <c r="D29" s="69" t="inlineStr">
        <is>
          <t>DORA applies directly; MNB actively implementing DORA</t>
        </is>
      </c>
      <c r="E29" s="69" t="inlineStr">
        <is>
          <t>Per RTS rules (no national variation)</t>
        </is>
      </c>
      <c r="F29" s="69" t="inlineStr">
        <is>
          <t>MNB modified IT recommendations for DORA. Created DORA incident reporting and service provider registry platforms. Not in SSM. National TIBER document not yet published.</t>
        </is>
      </c>
      <c r="G29" s="44" t="inlineStr">
        <is>
          <t>https://www.mnb.hu/felugyelet/felugyeleti-keretrendszer/felugyeleti-hirek/hirek-ujdonsagok/megjelent-a-dora-rendelet-fenyegetes-alapu-behatolasi-teszteles-tlpt-elvegzesenek-szabalyait-tartalmazo-vegleges-rts-e-az-eu-hivatalos-lapjaban</t>
        </is>
      </c>
    </row>
    <row r="30">
      <c r="A30" s="70" t="inlineStr">
        <is>
          <t>Latvia</t>
        </is>
      </c>
      <c r="B30" s="60" t="inlineStr">
        <is>
          <t>Latvijas Banka (includes former FKTK)</t>
        </is>
      </c>
      <c r="C30" s="60" t="inlineStr">
        <is>
          <t>No national TIBER framework published</t>
        </is>
      </c>
      <c r="D30" s="71" t="inlineStr">
        <is>
          <t>DORA applies directly; national DORA law in force Oct 2025</t>
        </is>
      </c>
      <c r="E30" s="71" t="inlineStr">
        <is>
          <t>Per RTS rules (no national variation)</t>
        </is>
      </c>
      <c r="F30" s="71" t="inlineStr">
        <is>
          <t>Latvia enacted its own national legislation ("Law on the Resilience of Digital Operations in the Financial Market and AI Use"), effective 1 Oct 2025. Goes beyond DORA with AI compliance mandates. Latvijas Banka absorbed FKTK. Not in SSM.</t>
        </is>
      </c>
      <c r="G30" s="72" t="inlineStr">
        <is>
          <t>https://www.bank.lv/en/operational-areas/supervision/ict-security-and-cyber-risks/dora-implementation-and-subjects</t>
        </is>
      </c>
    </row>
    <row r="31">
      <c r="A31" s="20" t="inlineStr">
        <is>
          <t>Lithuania</t>
        </is>
      </c>
      <c r="B31" s="40" t="inlineStr">
        <is>
          <t>Lietuvos bankas (Bank of Lithuania)</t>
        </is>
      </c>
      <c r="C31" s="40" t="inlineStr">
        <is>
          <t>No national TIBER framework published</t>
        </is>
      </c>
      <c r="D31" s="69" t="inlineStr">
        <is>
          <t>DORA applies directly; Bank of Lithuania is integrated supervisor</t>
        </is>
      </c>
      <c r="E31" s="69" t="inlineStr">
        <is>
          <t>Per RTS rules (no national variation)</t>
        </is>
      </c>
      <c r="F31" s="69" t="inlineStr">
        <is>
          <t>Bank of Lithuania serves as both central bank and financial supervisor. Supports DORA compliance with REGATA reporting platform. Not in SSM. National TIBER implementation expected.</t>
        </is>
      </c>
      <c r="G31" s="44" t="inlineStr">
        <is>
          <t>https://vendorica.com/supervisory/national-authorities/bank-of-lithuania/</t>
        </is>
      </c>
    </row>
    <row r="32">
      <c r="A32" s="70" t="inlineStr">
        <is>
          <t>Poland</t>
        </is>
      </c>
      <c r="B32" s="60" t="inlineStr">
        <is>
          <t>KNF (supervisory) + NBP (operational, expected)</t>
        </is>
      </c>
      <c r="C32" s="60" t="inlineStr">
        <is>
          <t>TIBER-PL (planned, not yet published)</t>
        </is>
      </c>
      <c r="D32" s="71" t="inlineStr">
        <is>
          <t>In development; no national implementation document published as of March 2026</t>
        </is>
      </c>
      <c r="E32" s="71" t="inlineStr">
        <is>
          <t>Per RTS rules (no national variation expected)</t>
        </is>
      </c>
      <c r="F32" s="71" t="inlineStr">
        <is>
          <t>Not in SSM (not in eurozone). KNF published communications on DORA/TIBER-EU. TIBER-PL was expected H1 2025 but remains unpublished. Large financial sector with significant external provider demand. DORA applies directly.</t>
        </is>
      </c>
      <c r="G32" s="72" t="inlineStr">
        <is>
          <t>https://www.knf.gov.pl/?articleId=91971&amp;p_id=18</t>
        </is>
      </c>
    </row>
    <row r="33">
      <c r="A33" s="20" t="inlineStr">
        <is>
          <t>Slovenia</t>
        </is>
      </c>
      <c r="B33" s="40" t="inlineStr">
        <is>
          <t>Banka Slovenije + ATVP + AZN</t>
        </is>
      </c>
      <c r="C33" s="40" t="inlineStr">
        <is>
          <t>No national TIBER framework published</t>
        </is>
      </c>
      <c r="D33" s="69" t="inlineStr">
        <is>
          <t>DORA transposition delayed; infringement procedure opened Mar 2025</t>
        </is>
      </c>
      <c r="E33" s="69" t="inlineStr">
        <is>
          <t>Per RTS rules (no national variation)</t>
        </is>
      </c>
      <c r="F33" s="69" t="inlineStr">
        <is>
          <t>One of 13 member states facing EU infringement procedure for incomplete DORA transposition (Mar 2025). Proposed national implementing regulation published Apr 2025. SSM member. Supervisory responsibilities split between three agencies.</t>
        </is>
      </c>
      <c r="G33" s="44" t="inlineStr">
        <is>
          <t>https://www.dlapiper.com/en/insights/publications/2025/02/application-of-the-digital-operational-resilience-act---dora</t>
        </is>
      </c>
    </row>
    <row r="34">
      <c r="A34" s="70" t="inlineStr">
        <is>
          <t>United Kingdom</t>
        </is>
      </c>
      <c r="B34" s="60" t="inlineStr">
        <is>
          <t>Bank of England (BoE) / PRA / FCA</t>
        </is>
      </c>
      <c r="C34" s="60" t="inlineStr">
        <is>
          <t>CBEST + STAR-FS</t>
        </is>
      </c>
      <c r="D34" s="71" t="inlineStr">
        <is>
          <t>Operational (CBEST since 2014; STAR-FS since 2024)</t>
        </is>
      </c>
      <c r="E34" s="71" t="inlineStr">
        <is>
          <t>Framework-specific; not bound by DORA rules</t>
        </is>
      </c>
      <c r="F34" s="71" t="inlineStr">
        <is>
          <t>UK is NOT subject to DORA. Runs its own independent framework. **CBEST**: for systemically critical institutions, high regulatory oversight, full BoE engagement. **STAR-FS** (2024): extends TLPT to wider range of firms (banks, building societies, insurers, FCA-regulated), lower regulatory oversight, can be self-initiated. Both use 4-phase model. BoE published 2025 CBEST thematic with cross-sector findings. Regulators consulting on ICT/cyber resilience expectations in H2 2025.</t>
        </is>
      </c>
      <c r="G34" s="72" t="inlineStr">
        <is>
          <t>https://www.bankofengland.co.uk/financial-stability/operational-resilience-of-the-financial-sector/cbest-threat-intelligence-led-assessments-implementation-guide</t>
        </is>
      </c>
    </row>
  </sheetData>
  <sheetProtection selectLockedCells="0" selectUnlockedCells="0" sheet="1" objects="0" insertRows="1" insertHyperlinks="1" autoFilter="0" scenarios="0" formatColumns="0" deleteColumns="1" insertColumns="1" pivotTables="1" deleteRows="1" formatCells="1" formatRows="0" sort="0" password="CE4B"/>
  <mergeCells count="1">
    <mergeCell ref="A1:G1"/>
  </mergeCells>
  <conditionalFormatting sqref="D3:D34">
    <cfRule type="expression" priority="1" dxfId="0">
      <formula>ISNUMBER(SEARCH("Operational",D3))</formula>
    </cfRule>
    <cfRule type="expression" priority="2" dxfId="12">
      <formula>ISNUMBER(SEARCH("Published",D3))</formula>
    </cfRule>
    <cfRule type="expression" priority="3" dxfId="13">
      <formula>ISNUMBER(SEARCH("development",D3))</formula>
    </cfRule>
  </conditionalFormatting>
  <pageMargins left="0.75" right="0.75" top="1" bottom="1" header="0.5" footer="0.5"/>
  <pageSetup orientation="landscape" fitToHeight="0" fitToWidth="1"/>
  <headerFooter>
    <oddHeader>&amp;LAFINE | TLPT DORA Readiness Tracker&amp;RPage &amp;P of &amp;N</oddHeader>
    <oddFooter>&amp;CAFINE sp. z o.o. | afine.com</oddFooter>
    <evenHeader/>
    <evenFooter/>
    <firstHeader/>
    <firstFooter/>
  </headerFooter>
</worksheet>
</file>

<file path=xl/worksheets/sheet2.xml><?xml version="1.0" encoding="utf-8"?>
<worksheet xmlns="http://schemas.openxmlformats.org/spreadsheetml/2006/main">
  <sheetPr>
    <tabColor rgb="00333333"/>
    <outlinePr summaryBelow="1" summaryRight="1"/>
    <pageSetUpPr fitToPage="1"/>
  </sheetPr>
  <dimension ref="A1:H31"/>
  <sheetViews>
    <sheetView workbookViewId="0">
      <selection activeCell="A1" sqref="A1"/>
    </sheetView>
  </sheetViews>
  <sheetFormatPr baseColWidth="8" defaultRowHeight="15"/>
  <cols>
    <col width="28" customWidth="1" min="1" max="1"/>
    <col width="22" customWidth="1" min="2" max="2"/>
    <col width="14" customWidth="1" min="3" max="3"/>
    <col width="14" customWidth="1" min="4" max="4"/>
    <col width="16" customWidth="1" min="5" max="5"/>
    <col width="16" customWidth="1" min="6" max="6"/>
    <col width="18" customWidth="1" min="7" max="7"/>
    <col width="16" customWidth="1" min="8" max="8"/>
  </cols>
  <sheetData>
    <row r="1">
      <c r="A1" s="14" t="inlineStr">
        <is>
          <t>TLPT DORA READINESS TRACKER</t>
        </is>
      </c>
    </row>
    <row r="2">
      <c r="A2" s="16" t="inlineStr">
        <is>
          <t>Based on DORA RTS 2025/1190 | TIBER-EU 2025 Framework</t>
        </is>
      </c>
    </row>
    <row r="4">
      <c r="A4" s="17" t="inlineStr">
        <is>
          <t>Overall Progress</t>
        </is>
      </c>
      <c r="C4" s="1">
        <f>COUNTIF('M1-Scope'!C4:C7,"Complete")+COUNTIF('M2-Governance'!C5:C42,"Complete")+COUNTIF('M3-Providers'!C5:C49,"Complete")+COUNTIF('M4-Preparation'!C5:C55,"Complete")+COUNTIF('M5-ThreatIntel'!C5:C44,"Complete")+COUNTIF('M6-RedTeam'!C5:C37,"Complete")+COUNTIF('M7-Closure'!C5:C58,"Complete")+COUNTIF('M8-Remediation'!C5:C30,"Complete")&amp;" / 261 items complete ("&amp;ROUND(IF(261=0,0,(COUNTIF('M1-Scope'!C4:C7,"Complete")+COUNTIF('M2-Governance'!C5:C42,"Complete")+COUNTIF('M3-Providers'!C5:C49,"Complete")+COUNTIF('M4-Preparation'!C5:C55,"Complete")+COUNTIF('M5-ThreatIntel'!C5:C44,"Complete")+COUNTIF('M6-RedTeam'!C5:C37,"Complete")+COUNTIF('M7-Closure'!C5:C58,"Complete")+COUNTIF('M8-Remediation'!C5:C30,"Complete"))/261*100),0)&amp;"%)"</f>
        <v/>
      </c>
    </row>
    <row r="6">
      <c r="A6" s="18" t="inlineStr">
        <is>
          <t>Phase Status</t>
        </is>
      </c>
    </row>
    <row r="7">
      <c r="A7" s="19" t="inlineStr">
        <is>
          <t>Module</t>
        </is>
      </c>
      <c r="B7" s="19" t="inlineStr">
        <is>
          <t>Items</t>
        </is>
      </c>
      <c r="C7" s="19" t="inlineStr">
        <is>
          <t>Complete</t>
        </is>
      </c>
      <c r="D7" s="19" t="inlineStr">
        <is>
          <t>%</t>
        </is>
      </c>
      <c r="E7" s="19" t="inlineStr">
        <is>
          <t>Status Bar</t>
        </is>
      </c>
      <c r="F7" s="19" t="inlineStr">
        <is>
          <t>Critical Left</t>
        </is>
      </c>
      <c r="G7" s="19" t="inlineStr">
        <is>
          <t>Next Deadline</t>
        </is>
      </c>
      <c r="H7" s="19" t="inlineStr"/>
    </row>
    <row r="8">
      <c r="A8" s="20" t="inlineStr">
        <is>
          <t>M1: AM I IN SCOPE?</t>
        </is>
      </c>
      <c r="B8" s="21" t="n">
        <v>4</v>
      </c>
      <c r="C8" s="21">
        <f>COUNTIF('M1-Scope'!C4:C7,"Complete")</f>
        <v/>
      </c>
      <c r="D8" s="73">
        <f>IF(4=0,0,ROUND(C8/4*100,0))</f>
        <v/>
      </c>
      <c r="E8" s="23">
        <f>IF(4=0,0,C8/4)</f>
        <v/>
      </c>
      <c r="F8" s="24">
        <f>COUNTIFS('M1-Scope'!C4:C7,"&lt;&gt;Complete",'M1-Scope'!D4:D7,"CRITICAL")-COUNTIFS('M1-Scope'!C4:C7,"N/A",'M1-Scope'!D4:D7,"CRITICAL")</f>
        <v/>
      </c>
      <c r="G8" s="74" t="n"/>
      <c r="H8" s="26" t="n"/>
    </row>
    <row r="9">
      <c r="A9" s="20" t="inlineStr">
        <is>
          <t>M2: GOVERNANCE SETUP</t>
        </is>
      </c>
      <c r="B9" s="21" t="n">
        <v>34</v>
      </c>
      <c r="C9" s="21">
        <f>COUNTIF('M2-Governance'!C5:C42,"Complete")</f>
        <v/>
      </c>
      <c r="D9" s="73">
        <f>IF(34=0,0,ROUND(C9/34*100,0))</f>
        <v/>
      </c>
      <c r="E9" s="23">
        <f>IF(34=0,0,C9/34)</f>
        <v/>
      </c>
      <c r="F9" s="24">
        <f>COUNTIFS('M2-Governance'!C5:C42,"&lt;&gt;Complete",'M2-Governance'!D5:D42,"CRITICAL")-COUNTIFS('M2-Governance'!C5:C42,"N/A",'M2-Governance'!D5:D42,"CRITICAL")</f>
        <v/>
      </c>
      <c r="G9" s="74" t="n"/>
      <c r="H9" s="26" t="n"/>
    </row>
    <row r="10">
      <c r="A10" s="20" t="inlineStr">
        <is>
          <t>M3: PROVIDER SELECTION</t>
        </is>
      </c>
      <c r="B10" s="21" t="n">
        <v>42</v>
      </c>
      <c r="C10" s="21">
        <f>COUNTIF('M3-Providers'!C5:C49,"Complete")</f>
        <v/>
      </c>
      <c r="D10" s="73">
        <f>IF(42=0,0,ROUND(C10/42*100,0))</f>
        <v/>
      </c>
      <c r="E10" s="23">
        <f>IF(42=0,0,C10/42)</f>
        <v/>
      </c>
      <c r="F10" s="24">
        <f>COUNTIFS('M3-Providers'!C5:C49,"&lt;&gt;Complete",'M3-Providers'!D5:D49,"CRITICAL")-COUNTIFS('M3-Providers'!C5:C49,"N/A",'M3-Providers'!D5:D49,"CRITICAL")</f>
        <v/>
      </c>
      <c r="G10" s="74" t="n"/>
      <c r="H10" s="26" t="n"/>
    </row>
    <row r="11">
      <c r="A11" s="20" t="inlineStr">
        <is>
          <t>M4: PREPARATION PHASE</t>
        </is>
      </c>
      <c r="B11" s="21" t="n">
        <v>45</v>
      </c>
      <c r="C11" s="21">
        <f>COUNTIF('M4-Preparation'!C5:C55,"Complete")</f>
        <v/>
      </c>
      <c r="D11" s="73">
        <f>IF(45=0,0,ROUND(C11/45*100,0))</f>
        <v/>
      </c>
      <c r="E11" s="23">
        <f>IF(45=0,0,C11/45)</f>
        <v/>
      </c>
      <c r="F11" s="24">
        <f>COUNTIFS('M4-Preparation'!C5:C55,"&lt;&gt;Complete",'M4-Preparation'!D5:D55,"CRITICAL")-COUNTIFS('M4-Preparation'!C5:C55,"N/A",'M4-Preparation'!D5:D55,"CRITICAL")</f>
        <v/>
      </c>
      <c r="G11" s="74" t="n"/>
      <c r="H11" s="26" t="n"/>
    </row>
    <row r="12">
      <c r="A12" s="20" t="inlineStr">
        <is>
          <t>M5: THREAT INTELLIGENCE</t>
        </is>
      </c>
      <c r="B12" s="21" t="n">
        <v>36</v>
      </c>
      <c r="C12" s="21">
        <f>COUNTIF('M5-ThreatIntel'!C5:C44,"Complete")</f>
        <v/>
      </c>
      <c r="D12" s="73">
        <f>IF(36=0,0,ROUND(C12/36*100,0))</f>
        <v/>
      </c>
      <c r="E12" s="23">
        <f>IF(36=0,0,C12/36)</f>
        <v/>
      </c>
      <c r="F12" s="24">
        <f>COUNTIFS('M5-ThreatIntel'!C5:C44,"&lt;&gt;Complete",'M5-ThreatIntel'!D5:D44,"CRITICAL")-COUNTIFS('M5-ThreatIntel'!C5:C44,"N/A",'M5-ThreatIntel'!D5:D44,"CRITICAL")</f>
        <v/>
      </c>
      <c r="G12" s="74" t="n"/>
      <c r="H12" s="26" t="n"/>
    </row>
    <row r="13">
      <c r="A13" s="20" t="inlineStr">
        <is>
          <t>M6: RED TEAM TESTING</t>
        </is>
      </c>
      <c r="B13" s="21" t="n">
        <v>29</v>
      </c>
      <c r="C13" s="21">
        <f>COUNTIF('M6-RedTeam'!C5:C37,"Complete")</f>
        <v/>
      </c>
      <c r="D13" s="73">
        <f>IF(29=0,0,ROUND(C13/29*100,0))</f>
        <v/>
      </c>
      <c r="E13" s="23">
        <f>IF(29=0,0,C13/29)</f>
        <v/>
      </c>
      <c r="F13" s="24">
        <f>COUNTIFS('M6-RedTeam'!C5:C37,"&lt;&gt;Complete",'M6-RedTeam'!D5:D37,"CRITICAL")-COUNTIFS('M6-RedTeam'!C5:C37,"N/A",'M6-RedTeam'!D5:D37,"CRITICAL")</f>
        <v/>
      </c>
      <c r="G13" s="74" t="n"/>
      <c r="H13" s="26" t="n"/>
    </row>
    <row r="14">
      <c r="A14" s="20" t="inlineStr">
        <is>
          <t>M7: CLOSURE PHASE</t>
        </is>
      </c>
      <c r="B14" s="21" t="n">
        <v>48</v>
      </c>
      <c r="C14" s="21">
        <f>COUNTIF('M7-Closure'!C5:C58,"Complete")</f>
        <v/>
      </c>
      <c r="D14" s="73">
        <f>IF(48=0,0,ROUND(C14/48*100,0))</f>
        <v/>
      </c>
      <c r="E14" s="23">
        <f>IF(48=0,0,C14/48)</f>
        <v/>
      </c>
      <c r="F14" s="24">
        <f>COUNTIFS('M7-Closure'!C5:C58,"&lt;&gt;Complete",'M7-Closure'!D5:D58,"CRITICAL")-COUNTIFS('M7-Closure'!C5:C58,"N/A",'M7-Closure'!D5:D58,"CRITICAL")</f>
        <v/>
      </c>
      <c r="G14" s="74" t="n"/>
      <c r="H14" s="26" t="n"/>
    </row>
    <row r="15">
      <c r="A15" s="20" t="inlineStr">
        <is>
          <t>M8: REMEDIATION &amp; ATTESTATION</t>
        </is>
      </c>
      <c r="B15" s="21" t="n">
        <v>23</v>
      </c>
      <c r="C15" s="21">
        <f>COUNTIF('M8-Remediation'!C5:C30,"Complete")</f>
        <v/>
      </c>
      <c r="D15" s="73">
        <f>IF(23=0,0,ROUND(C15/23*100,0))</f>
        <v/>
      </c>
      <c r="E15" s="23">
        <f>IF(23=0,0,C15/23)</f>
        <v/>
      </c>
      <c r="F15" s="24">
        <f>COUNTIFS('M8-Remediation'!C5:C30,"&lt;&gt;Complete",'M8-Remediation'!D5:D30,"CRITICAL")-COUNTIFS('M8-Remediation'!C5:C30,"N/A",'M8-Remediation'!D5:D30,"CRITICAL")</f>
        <v/>
      </c>
      <c r="G15" s="74" t="n"/>
      <c r="H15" s="26" t="n"/>
    </row>
    <row r="16">
      <c r="A16" s="27" t="inlineStr">
        <is>
          <t>Configuration</t>
        </is>
      </c>
      <c r="E16" s="15" t="n"/>
      <c r="F16" s="15" t="n"/>
      <c r="G16" s="15" t="n"/>
      <c r="H16" s="15" t="n"/>
    </row>
    <row r="17">
      <c r="A17" s="28" t="inlineStr">
        <is>
          <t>Notification Date:</t>
        </is>
      </c>
      <c r="B17" s="75" t="n"/>
      <c r="C17" s="26" t="n"/>
      <c r="D17" s="26" t="n"/>
      <c r="E17" s="26" t="n"/>
      <c r="F17" s="26" t="n"/>
      <c r="G17" s="26" t="n"/>
      <c r="H17" s="26" t="n"/>
    </row>
    <row r="18">
      <c r="A18" s="30" t="inlineStr">
        <is>
          <t>Enter the date your entity received the TLPT notification from the competent authority.</t>
        </is>
      </c>
      <c r="B18" s="76" t="n"/>
      <c r="C18" s="76" t="n"/>
      <c r="D18" s="76" t="n"/>
      <c r="E18" s="76" t="n"/>
      <c r="F18" s="76" t="n"/>
      <c r="G18" s="76" t="n"/>
      <c r="H18" s="77" t="n"/>
    </row>
    <row r="19">
      <c r="A19" s="27" t="inlineStr">
        <is>
          <t>Key Deadlines</t>
        </is>
      </c>
    </row>
    <row r="20">
      <c r="A20" s="19" t="inlineStr">
        <is>
          <t>Milestone</t>
        </is>
      </c>
      <c r="B20" s="19" t="inlineStr">
        <is>
          <t>Deadline</t>
        </is>
      </c>
      <c r="C20" s="19" t="inlineStr">
        <is>
          <t>Days Remaining</t>
        </is>
      </c>
      <c r="D20" s="19" t="inlineStr">
        <is>
          <t>Status</t>
        </is>
      </c>
      <c r="E20" s="31" t="n"/>
      <c r="F20" s="31" t="n"/>
      <c r="G20" s="31" t="n"/>
      <c r="H20" s="31" t="n"/>
    </row>
    <row r="21">
      <c r="A21" s="32" t="inlineStr">
        <is>
          <t>M1: Project Charter</t>
        </is>
      </c>
      <c r="B21" s="78">
        <f>IF(NotificationDate="","",NotificationDate+90)</f>
        <v/>
      </c>
      <c r="C21" s="21">
        <f>IF(B21="","",B21-TODAY())</f>
        <v/>
      </c>
      <c r="D21" s="21">
        <f>IF(C21="","",IF(C21&lt;0,"OVERDUE",IF(C21&lt;14,"IMMINENT","On Track")))</f>
        <v/>
      </c>
      <c r="E21" s="26" t="n"/>
      <c r="F21" s="26" t="n"/>
      <c r="G21" s="26" t="n"/>
      <c r="H21" s="26" t="n"/>
    </row>
    <row r="22">
      <c r="A22" s="32" t="inlineStr">
        <is>
          <t>M3: Scope Specification</t>
        </is>
      </c>
      <c r="B22" s="78">
        <f>IF(NotificationDate="","",NotificationDate+180)</f>
        <v/>
      </c>
      <c r="C22" s="21">
        <f>IF(B22="","",B22-TODAY())</f>
        <v/>
      </c>
      <c r="D22" s="21">
        <f>IF(C22="","",IF(C22&lt;0,"OVERDUE",IF(C22&lt;14,"IMMINENT","On Track")))</f>
        <v/>
      </c>
      <c r="E22" s="26" t="n"/>
      <c r="F22" s="26" t="n"/>
      <c r="G22" s="26" t="n"/>
      <c r="H22" s="26" t="n"/>
    </row>
    <row r="23">
      <c r="A23" s="32" t="inlineStr">
        <is>
          <t>M7: TTIR Submitted</t>
        </is>
      </c>
      <c r="B23" s="78">
        <f>IF(NotificationDate="","",NotificationDate+225)</f>
        <v/>
      </c>
      <c r="C23" s="21">
        <f>IF(B23="","",B23-TODAY())</f>
        <v/>
      </c>
      <c r="D23" s="21">
        <f>IF(C23="","",IF(C23&lt;0,"OVERDUE",IF(C23&lt;14,"IMMINENT","On Track")))</f>
        <v/>
      </c>
      <c r="E23" s="26" t="n"/>
      <c r="F23" s="26" t="n"/>
      <c r="G23" s="26" t="n"/>
      <c r="H23" s="26" t="n"/>
    </row>
    <row r="24">
      <c r="A24" s="32" t="inlineStr">
        <is>
          <t>M8: Red Team Test Plan</t>
        </is>
      </c>
      <c r="B24" s="78">
        <f>IF(NotificationDate="","",NotificationDate+255)</f>
        <v/>
      </c>
      <c r="C24" s="21">
        <f>IF(B24="","",B24-TODAY())</f>
        <v/>
      </c>
      <c r="D24" s="21">
        <f>IF(C24="","",IF(C24&lt;0,"OVERDUE",IF(C24&lt;14,"IMMINENT","On Track")))</f>
        <v/>
      </c>
      <c r="E24" s="26" t="n"/>
      <c r="F24" s="26" t="n"/>
      <c r="G24" s="26" t="n"/>
      <c r="H24" s="26" t="n"/>
    </row>
    <row r="25">
      <c r="A25" s="32" t="inlineStr">
        <is>
          <t>M11: Active Testing Ends</t>
        </is>
      </c>
      <c r="B25" s="78">
        <f>IF(NotificationDate="","",NotificationDate+339)</f>
        <v/>
      </c>
      <c r="C25" s="21">
        <f>IF(B25="","",B25-TODAY())</f>
        <v/>
      </c>
      <c r="D25" s="21">
        <f>IF(C25="","",IF(C25&lt;0,"OVERDUE",IF(C25&lt;14,"IMMINENT","On Track")))</f>
        <v/>
      </c>
      <c r="E25" s="26" t="n"/>
      <c r="F25" s="26" t="n"/>
      <c r="G25" s="26" t="n"/>
      <c r="H25" s="26" t="n"/>
    </row>
    <row r="26">
      <c r="A26" s="32" t="inlineStr">
        <is>
          <t>M13: Red Team Report</t>
        </is>
      </c>
      <c r="B26" s="78">
        <f>IF(NotificationDate="","",NotificationDate+367)</f>
        <v/>
      </c>
      <c r="C26" s="21">
        <f>IF(B26="","",B26-TODAY())</f>
        <v/>
      </c>
      <c r="D26" s="21">
        <f>IF(C26="","",IF(C26&lt;0,"OVERDUE",IF(C26&lt;14,"IMMINENT","On Track")))</f>
        <v/>
      </c>
      <c r="E26" s="26" t="n"/>
      <c r="F26" s="26" t="n"/>
      <c r="G26" s="26" t="n"/>
      <c r="H26" s="26" t="n"/>
    </row>
    <row r="27">
      <c r="A27" s="32" t="inlineStr">
        <is>
          <t>M18: Test Summary Report</t>
        </is>
      </c>
      <c r="B27" s="78">
        <f>IF(NotificationDate="","",NotificationDate+481)</f>
        <v/>
      </c>
      <c r="C27" s="21">
        <f>IF(B27="","",B27-TODAY())</f>
        <v/>
      </c>
      <c r="D27" s="21">
        <f>IF(C27="","",IF(C27&lt;0,"OVERDUE",IF(C27&lt;14,"IMMINENT","On Track")))</f>
        <v/>
      </c>
      <c r="E27" s="26" t="n"/>
      <c r="F27" s="26" t="n"/>
      <c r="G27" s="26" t="n"/>
      <c r="H27" s="26" t="n"/>
    </row>
    <row r="29">
      <c r="A29" s="27" t="inlineStr">
        <is>
          <t>Provider Status</t>
        </is>
      </c>
      <c r="E29" s="15" t="n"/>
      <c r="F29" s="15" t="n"/>
      <c r="G29" s="15" t="n"/>
      <c r="H29" s="15" t="n"/>
    </row>
    <row r="30">
      <c r="A30" s="34" t="inlineStr">
        <is>
          <t>TI Provider:</t>
        </is>
      </c>
      <c r="B30" s="35" t="inlineStr">
        <is>
          <t>Not Started</t>
        </is>
      </c>
      <c r="C30" s="26" t="n"/>
      <c r="D30" s="26" t="n"/>
      <c r="E30" s="26" t="n"/>
      <c r="F30" s="26" t="n"/>
      <c r="G30" s="26" t="n"/>
      <c r="H30" s="26" t="n"/>
    </row>
    <row r="31">
      <c r="A31" s="34" t="inlineStr">
        <is>
          <t>RT Provider:</t>
        </is>
      </c>
      <c r="B31" s="35" t="inlineStr">
        <is>
          <t>Not Started</t>
        </is>
      </c>
      <c r="C31" s="26" t="n"/>
      <c r="D31" s="26" t="n"/>
      <c r="E31" s="26" t="n"/>
      <c r="F31" s="26" t="n"/>
      <c r="G31" s="26" t="n"/>
      <c r="H31" s="26" t="n"/>
    </row>
  </sheetData>
  <sheetProtection selectLockedCells="0" selectUnlockedCells="0" sheet="1" objects="0" insertRows="1" insertHyperlinks="1" autoFilter="0" scenarios="0" formatColumns="0" deleteColumns="1" insertColumns="1" pivotTables="1" deleteRows="1" formatCells="1" formatRows="0" sort="0" password="CE4B"/>
  <mergeCells count="9">
    <mergeCell ref="A4:B4"/>
    <mergeCell ref="A18:H18"/>
    <mergeCell ref="A2:H2"/>
    <mergeCell ref="A29:D29"/>
    <mergeCell ref="A19:H19"/>
    <mergeCell ref="C4:H4"/>
    <mergeCell ref="A16:D16"/>
    <mergeCell ref="A1:H1"/>
    <mergeCell ref="A6:H6"/>
  </mergeCells>
  <conditionalFormatting sqref="E8:E15">
    <cfRule type="dataBar" priority="1">
      <dataBar>
        <cfvo type="num" val="0"/>
        <cfvo type="num" val="1"/>
        <color rgb="0027AE60"/>
      </dataBar>
    </cfRule>
  </conditionalFormatting>
  <conditionalFormatting sqref="F8:F15">
    <cfRule type="expression" priority="2" dxfId="0">
      <formula>F8=0</formula>
    </cfRule>
    <cfRule type="expression" priority="3" dxfId="1">
      <formula>F8&gt;0</formula>
    </cfRule>
  </conditionalFormatting>
  <conditionalFormatting sqref="D21:D27">
    <cfRule type="cellIs" priority="4" operator="equal" dxfId="1">
      <formula>"OVERDUE"</formula>
    </cfRule>
    <cfRule type="cellIs" priority="5" operator="equal" dxfId="2">
      <formula>"IMMINENT"</formula>
    </cfRule>
    <cfRule type="cellIs" priority="6" operator="equal" dxfId="3">
      <formula>"On Track"</formula>
    </cfRule>
  </conditionalFormatting>
  <dataValidations count="3">
    <dataValidation sqref="B17" showDropDown="0" showInputMessage="0" showErrorMessage="1" allowBlank="1" errorTitle="Invalid Date" error="Please enter a valid date" type="date" operator="greaterThan">
      <formula1>2020-01-01</formula1>
    </dataValidation>
    <dataValidation sqref="G8:G15" showDropDown="0" showInputMessage="0" showErrorMessage="1" allowBlank="1" errorTitle="Invalid Date" error="Please enter a valid date" type="date" operator="greaterThan">
      <formula1>2020-01-01</formula1>
    </dataValidation>
    <dataValidation sqref="B30 B31" showDropDown="0" showInputMessage="0" showErrorMessage="0" allowBlank="1" type="list">
      <formula1>"Not Started,Evaluating,Selected"</formula1>
    </dataValidation>
  </dataValidations>
  <pageMargins left="0.75" right="0.75" top="1" bottom="1" header="0.5" footer="0.5"/>
  <pageSetup orientation="portrait" fitToHeight="0" fitToWidth="1"/>
  <headerFooter>
    <oddHeader>&amp;LAFINE | TLPT DORA Readiness Tracker&amp;RPage &amp;P of &amp;N</oddHeader>
    <oddFooter>&amp;CAFINE sp. z o.o. | afine.com</oddFooter>
    <evenHeader/>
    <evenFooter/>
    <firstHeader/>
    <firstFooter/>
  </headerFooter>
</worksheet>
</file>

<file path=xl/worksheets/sheet3.xml><?xml version="1.0" encoding="utf-8"?>
<worksheet xmlns="http://schemas.openxmlformats.org/spreadsheetml/2006/main">
  <sheetPr>
    <tabColor rgb="0027AE60"/>
    <outlinePr summaryBelow="1" summaryRight="1"/>
    <pageSetUpPr fitToPage="1"/>
  </sheetPr>
  <dimension ref="A1:J9"/>
  <sheetViews>
    <sheetView workbookViewId="0">
      <pane xSplit="2" ySplit="3" topLeftCell="C4" activePane="bottomRight" state="frozen"/>
      <selection pane="topRight" activeCell="A1" sqref="A1"/>
      <selection pane="bottomLeft" activeCell="A1" sqref="A1"/>
      <selection pane="bottomRight" activeCell="A1" sqref="A1"/>
    </sheetView>
  </sheetViews>
  <sheetFormatPr baseColWidth="8" defaultRowHeight="15"/>
  <cols>
    <col width="5" customWidth="1" min="1" max="1"/>
    <col width="55" customWidth="1" min="2" max="2"/>
    <col width="14" customWidth="1" min="3" max="3"/>
    <col width="12" customWidth="1" min="4" max="4"/>
    <col width="15" customWidth="1" min="5" max="5"/>
    <col width="12" customWidth="1" min="6" max="6"/>
    <col width="12" customWidth="1" min="7" max="7"/>
    <col width="18" customWidth="1" min="8" max="8"/>
    <col width="35" customWidth="1" min="9" max="9"/>
    <col width="12" customWidth="1" min="10" max="10"/>
  </cols>
  <sheetData>
    <row r="1">
      <c r="A1" s="36" t="inlineStr">
        <is>
          <t>Module 1: AM I IN SCOPE?</t>
        </is>
      </c>
    </row>
    <row r="2">
      <c r="A2" s="37" t="inlineStr">
        <is>
          <t>#</t>
        </is>
      </c>
      <c r="B2" s="37" t="inlineStr">
        <is>
          <t>Checklist Item</t>
        </is>
      </c>
      <c r="C2" s="37" t="inlineStr">
        <is>
          <t>Status</t>
        </is>
      </c>
      <c r="D2" s="37" t="inlineStr">
        <is>
          <t>Priority</t>
        </is>
      </c>
      <c r="E2" s="37" t="inlineStr">
        <is>
          <t>Owner</t>
        </is>
      </c>
      <c r="F2" s="37" t="inlineStr">
        <is>
          <t>Due Date</t>
        </is>
      </c>
      <c r="G2" s="37" t="inlineStr">
        <is>
          <t>Done Date</t>
        </is>
      </c>
      <c r="H2" s="37" t="inlineStr">
        <is>
          <t>RTS Reference</t>
        </is>
      </c>
      <c r="I2" s="37" t="inlineStr">
        <is>
          <t>Evidence/Notes</t>
        </is>
      </c>
      <c r="J2" s="37" t="inlineStr">
        <is>
          <t>Risk if Missed</t>
        </is>
      </c>
    </row>
    <row r="3">
      <c r="A3" s="38">
        <f>"Progress: "&amp;COUNTIF(C4:C7,"Complete")&amp;" / 4 complete ("&amp;IF(4=0,0,ROUND(COUNTIF(C4:C7,"Complete")/4*100,0))&amp;"%)"</f>
        <v/>
      </c>
      <c r="B3" s="76" t="n"/>
      <c r="C3" s="76" t="n"/>
      <c r="D3" s="76" t="n"/>
      <c r="E3" s="76" t="n"/>
      <c r="F3" s="76" t="n"/>
      <c r="G3" s="76" t="n"/>
      <c r="H3" s="76" t="n"/>
      <c r="I3" s="76" t="n"/>
      <c r="J3" s="77" t="n"/>
    </row>
    <row r="4">
      <c r="A4" s="39" t="inlineStr">
        <is>
          <t>1.1</t>
        </is>
      </c>
      <c r="B4" s="40" t="inlineStr">
        <is>
          <t>Determine entity type - Are you one of the 20 types of financial entities under DORA Article 2?</t>
        </is>
      </c>
      <c r="C4" s="35" t="inlineStr">
        <is>
          <t>Not Started</t>
        </is>
      </c>
      <c r="D4" s="41" t="inlineStr">
        <is>
          <t>CRITICAL</t>
        </is>
      </c>
      <c r="E4" s="42" t="n"/>
      <c r="F4" s="79" t="n"/>
      <c r="G4" s="79" t="n"/>
      <c r="H4" s="44" t="inlineStr">
        <is>
          <t>DORA Art. 2(1)</t>
        </is>
      </c>
      <c r="I4" s="45" t="n"/>
      <c r="J4" s="35" t="n"/>
    </row>
    <row r="5">
      <c r="A5" s="39" t="inlineStr">
        <is>
          <t>1.2</t>
        </is>
      </c>
      <c r="B5" s="40" t="inlineStr">
        <is>
          <t>Check mandatory thresholds (RTS Article 2):</t>
        </is>
      </c>
      <c r="C5" s="35" t="inlineStr">
        <is>
          <t>Not Started</t>
        </is>
      </c>
      <c r="D5" s="41" t="inlineStr">
        <is>
          <t>CRITICAL</t>
        </is>
      </c>
      <c r="E5" s="42" t="n"/>
      <c r="F5" s="79" t="n"/>
      <c r="G5" s="79" t="n"/>
      <c r="H5" s="44" t="inlineStr">
        <is>
          <t>RTS Art. 2</t>
        </is>
      </c>
      <c r="I5" s="45" t="n"/>
      <c r="J5" s="35" t="n"/>
    </row>
    <row r="6">
      <c r="A6" s="39" t="inlineStr">
        <is>
          <t>1.3</t>
        </is>
      </c>
      <c r="B6" s="40" t="inlineStr">
        <is>
          <t>Check discretionary inclusion - Even if below thresholds, your national competent authority may designate you based on:</t>
        </is>
      </c>
      <c r="C6" s="35" t="inlineStr">
        <is>
          <t>Not Started</t>
        </is>
      </c>
      <c r="D6" s="46" t="inlineStr">
        <is>
          <t>HIGH</t>
        </is>
      </c>
      <c r="E6" s="42" t="n"/>
      <c r="F6" s="79" t="n"/>
      <c r="G6" s="79" t="n"/>
      <c r="H6" s="44" t="inlineStr">
        <is>
          <t>RTS Art. 2; DORA Art. 26(8)</t>
        </is>
      </c>
      <c r="I6" s="45" t="n"/>
      <c r="J6" s="35" t="n"/>
    </row>
    <row r="7">
      <c r="A7" s="39" t="inlineStr">
        <is>
          <t>1.4</t>
        </is>
      </c>
      <c r="B7" s="40" t="inlineStr">
        <is>
          <t>Check exemption possibility - Competent authorities may exempt entities with "low ICT risk profile" even if technically in scope</t>
        </is>
      </c>
      <c r="C7" s="35" t="inlineStr">
        <is>
          <t>Not Started</t>
        </is>
      </c>
      <c r="D7" s="46" t="inlineStr">
        <is>
          <t>HIGH</t>
        </is>
      </c>
      <c r="E7" s="42" t="n"/>
      <c r="F7" s="79" t="n"/>
      <c r="G7" s="79" t="n"/>
      <c r="H7" s="44" t="inlineStr">
        <is>
          <t>DORA Art. 26(8)</t>
        </is>
      </c>
      <c r="I7" s="45" t="n"/>
      <c r="J7" s="35" t="n"/>
    </row>
    <row r="8">
      <c r="A8" s="26" t="n"/>
      <c r="B8" s="47" t="inlineStr">
        <is>
          <t>TIP: Entities often assume they're exempt because they fall below one threshold, only to get designated on discretionary grounds three months later. If your national authority has signaled interest in your ICT risk profile - or if peers in your sector have been designated - treat that as your starting gun. Scrambling after formal notification is how institutions end up requesting deadline extensions in week two.</t>
        </is>
      </c>
      <c r="C8" s="26" t="n"/>
      <c r="D8" s="26" t="n"/>
      <c r="E8" s="26" t="n"/>
      <c r="F8" s="26" t="n"/>
      <c r="G8" s="26" t="n"/>
      <c r="H8" s="26" t="n"/>
      <c r="I8" s="26" t="n"/>
      <c r="J8" s="26" t="n"/>
    </row>
    <row r="9">
      <c r="A9" s="26" t="n"/>
      <c r="B9" s="47" t="inlineStr">
        <is>
          <t>TIP: Don't wait for formal notification. If you're close to the thresholds, start preparation now. The 3-month initiation deadline starts the day you're notified - and scoping without preparation work burns through that window fast.</t>
        </is>
      </c>
      <c r="C9" s="26" t="n"/>
      <c r="D9" s="26" t="n"/>
      <c r="E9" s="26" t="n"/>
      <c r="F9" s="26" t="n"/>
      <c r="G9" s="26" t="n"/>
      <c r="H9" s="26" t="n"/>
      <c r="I9" s="26" t="n"/>
      <c r="J9" s="26" t="n"/>
    </row>
  </sheetData>
  <sheetProtection selectLockedCells="0" selectUnlockedCells="0" sheet="1" objects="0" insertRows="1" insertHyperlinks="1" autoFilter="0" scenarios="0" formatColumns="0" deleteColumns="1" insertColumns="1" pivotTables="1" deleteRows="1" formatCells="1" formatRows="0" sort="0" password="CE4B"/>
  <mergeCells count="2">
    <mergeCell ref="A1:J1"/>
    <mergeCell ref="A3:J3"/>
  </mergeCells>
  <conditionalFormatting sqref="A4:J7">
    <cfRule type="expression" priority="1" dxfId="4" stopIfTrue="1">
      <formula>$C4="N/A"</formula>
    </cfRule>
    <cfRule type="expression" priority="2" dxfId="5" stopIfTrue="1">
      <formula>AND($C4&lt;&gt;"Complete",$C4&lt;&gt;"N/A",$C4&lt;&gt;"",$F4&lt;&gt;"",$F4&lt;TODAY())</formula>
    </cfRule>
    <cfRule type="expression" priority="3" dxfId="0" stopIfTrue="1">
      <formula>$C4="Complete"</formula>
    </cfRule>
  </conditionalFormatting>
  <dataValidations count="4">
    <dataValidation sqref="C4:C7" showDropDown="0" showInputMessage="0" showErrorMessage="0" allowBlank="1" errorTitle="Invalid Status" error="Select: Not Started, In Progress, Complete, N/A" type="list">
      <formula1>"Not Started,In Progress,Complete,N/A"</formula1>
    </dataValidation>
    <dataValidation sqref="J4:J7" showDropDown="0" showInputMessage="0" showErrorMessage="0" allowBlank="1" errorTitle="Invalid Risk" error="Select: High, Medium, Low" type="list">
      <formula1>"High,Medium,Low"</formula1>
    </dataValidation>
    <dataValidation sqref="F4:F7" showDropDown="0" showInputMessage="0" showErrorMessage="1" allowBlank="1" errorTitle="Invalid Date" error="Please enter a valid date" type="date" operator="greaterThan">
      <formula1>2020-01-01</formula1>
    </dataValidation>
    <dataValidation sqref="G4:G7" showDropDown="0" showInputMessage="0" showErrorMessage="1" allowBlank="1" errorTitle="Invalid Date" error="Please enter a valid date" type="date" operator="greaterThan">
      <formula1>2020-01-01</formula1>
    </dataValidation>
  </dataValidations>
  <hyperlinks>
    <hyperlink xmlns:r="http://schemas.openxmlformats.org/officeDocument/2006/relationships" ref="H4" r:id="rId1"/>
    <hyperlink xmlns:r="http://schemas.openxmlformats.org/officeDocument/2006/relationships" ref="H5" r:id="rId2"/>
    <hyperlink xmlns:r="http://schemas.openxmlformats.org/officeDocument/2006/relationships" ref="H6" r:id="rId3"/>
    <hyperlink xmlns:r="http://schemas.openxmlformats.org/officeDocument/2006/relationships" ref="H7" r:id="rId4"/>
  </hyperlinks>
  <pageMargins left="0.75" right="0.75" top="1" bottom="1" header="0.5" footer="0.5"/>
  <pageSetup orientation="landscape" fitToHeight="0" fitToWidth="1"/>
  <headerFooter>
    <oddHeader>&amp;LAFINE | TLPT DORA Readiness Tracker&amp;RPage &amp;P of &amp;N</oddHeader>
    <oddFooter>&amp;CAFINE sp. z o.o. | afine.com</oddFooter>
    <evenHeader/>
    <evenFooter/>
    <firstHeader/>
    <firstFooter/>
  </headerFooter>
</worksheet>
</file>

<file path=xl/worksheets/sheet4.xml><?xml version="1.0" encoding="utf-8"?>
<worksheet xmlns="http://schemas.openxmlformats.org/spreadsheetml/2006/main">
  <sheetPr>
    <tabColor rgb="0027AE60"/>
    <outlinePr summaryBelow="1" summaryRight="1"/>
    <pageSetUpPr fitToPage="1"/>
  </sheetPr>
  <dimension ref="A1:J43"/>
  <sheetViews>
    <sheetView workbookViewId="0">
      <pane xSplit="2" ySplit="3" topLeftCell="C4" activePane="bottomRight" state="frozen"/>
      <selection pane="topRight" activeCell="A1" sqref="A1"/>
      <selection pane="bottomLeft" activeCell="A1" sqref="A1"/>
      <selection pane="bottomRight" activeCell="A1" sqref="A1"/>
    </sheetView>
  </sheetViews>
  <sheetFormatPr baseColWidth="8" defaultRowHeight="15"/>
  <cols>
    <col width="5" customWidth="1" min="1" max="1"/>
    <col width="55" customWidth="1" min="2" max="2"/>
    <col width="14" customWidth="1" min="3" max="3"/>
    <col width="12" customWidth="1" min="4" max="4"/>
    <col width="15" customWidth="1" min="5" max="5"/>
    <col width="12" customWidth="1" min="6" max="6"/>
    <col width="12" customWidth="1" min="7" max="7"/>
    <col width="18" customWidth="1" min="8" max="8"/>
    <col width="35" customWidth="1" min="9" max="9"/>
    <col width="12" customWidth="1" min="10" max="10"/>
  </cols>
  <sheetData>
    <row r="1">
      <c r="A1" s="36" t="inlineStr">
        <is>
          <t>Module 2: GOVERNANCE SETUP</t>
        </is>
      </c>
    </row>
    <row r="2">
      <c r="A2" s="37" t="inlineStr">
        <is>
          <t>#</t>
        </is>
      </c>
      <c r="B2" s="37" t="inlineStr">
        <is>
          <t>Checklist Item</t>
        </is>
      </c>
      <c r="C2" s="37" t="inlineStr">
        <is>
          <t>Status</t>
        </is>
      </c>
      <c r="D2" s="37" t="inlineStr">
        <is>
          <t>Priority</t>
        </is>
      </c>
      <c r="E2" s="37" t="inlineStr">
        <is>
          <t>Owner</t>
        </is>
      </c>
      <c r="F2" s="37" t="inlineStr">
        <is>
          <t>Due Date</t>
        </is>
      </c>
      <c r="G2" s="37" t="inlineStr">
        <is>
          <t>Done Date</t>
        </is>
      </c>
      <c r="H2" s="37" t="inlineStr">
        <is>
          <t>RTS Reference</t>
        </is>
      </c>
      <c r="I2" s="37" t="inlineStr">
        <is>
          <t>Evidence/Notes</t>
        </is>
      </c>
      <c r="J2" s="37" t="inlineStr">
        <is>
          <t>Risk if Missed</t>
        </is>
      </c>
    </row>
    <row r="3">
      <c r="A3" s="38">
        <f>"Progress: "&amp;COUNTIF(C5:C42,"Complete")&amp;" / 34 complete ("&amp;IF(34=0,0,ROUND(COUNTIF(C5:C42,"Complete")/34*100,0))&amp;"%)"</f>
        <v/>
      </c>
      <c r="B3" s="76" t="n"/>
      <c r="C3" s="76" t="n"/>
      <c r="D3" s="76" t="n"/>
      <c r="E3" s="76" t="n"/>
      <c r="F3" s="76" t="n"/>
      <c r="G3" s="76" t="n"/>
      <c r="H3" s="76" t="n"/>
      <c r="I3" s="76" t="n"/>
      <c r="J3" s="77" t="n"/>
    </row>
    <row r="4">
      <c r="A4" s="48" t="inlineStr">
        <is>
          <t>2A: Management Body Preparation</t>
        </is>
      </c>
      <c r="B4" s="76" t="n"/>
      <c r="C4" s="76" t="n"/>
      <c r="D4" s="76" t="n"/>
      <c r="E4" s="76" t="n"/>
      <c r="F4" s="76" t="n"/>
      <c r="G4" s="76" t="n"/>
      <c r="H4" s="76" t="n"/>
      <c r="I4" s="76" t="n"/>
      <c r="J4" s="77" t="n"/>
    </row>
    <row r="5">
      <c r="A5" s="39" t="inlineStr">
        <is>
          <t>2.1</t>
        </is>
      </c>
      <c r="B5" s="40" t="inlineStr">
        <is>
          <t>Brief board/senior leadership on TLPT obligations and timeline (12-18 months)</t>
        </is>
      </c>
      <c r="C5" s="35" t="inlineStr">
        <is>
          <t>Not Started</t>
        </is>
      </c>
      <c r="D5" s="46" t="inlineStr">
        <is>
          <t>HIGH</t>
        </is>
      </c>
      <c r="E5" s="42" t="n"/>
      <c r="F5" s="79" t="n"/>
      <c r="G5" s="79" t="n"/>
      <c r="H5" s="44" t="inlineStr">
        <is>
          <t>DORA Art. 26(1); RTS Art. 9(6)</t>
        </is>
      </c>
      <c r="I5" s="45" t="n"/>
      <c r="J5" s="35" t="n"/>
    </row>
    <row r="6">
      <c r="A6" s="39" t="inlineStr">
        <is>
          <t>2.2</t>
        </is>
      </c>
      <c r="B6" s="40" t="inlineStr">
        <is>
          <t>Confirm management body will be available to formally approve scope specification (required by RTS Article 9(6))</t>
        </is>
      </c>
      <c r="C6" s="35" t="inlineStr">
        <is>
          <t>Not Started</t>
        </is>
      </c>
      <c r="D6" s="41" t="inlineStr">
        <is>
          <t>CRITICAL</t>
        </is>
      </c>
      <c r="E6" s="42" t="n"/>
      <c r="F6" s="79" t="n"/>
      <c r="G6" s="79" t="n"/>
      <c r="H6" s="44" t="inlineStr">
        <is>
          <t>RTS Art. 9(6)</t>
        </is>
      </c>
      <c r="I6" s="45" t="n"/>
      <c r="J6" s="35" t="n"/>
    </row>
    <row r="7">
      <c r="A7" s="39" t="inlineStr">
        <is>
          <t>2.3</t>
        </is>
      </c>
      <c r="B7" s="40" t="inlineStr">
        <is>
          <t>Designate budget authority - typical TLPT costs EUR 150K-500K for TI + red team alone</t>
        </is>
      </c>
      <c r="C7" s="35" t="inlineStr">
        <is>
          <t>Not Started</t>
        </is>
      </c>
      <c r="D7" s="46" t="inlineStr">
        <is>
          <t>HIGH</t>
        </is>
      </c>
      <c r="E7" s="42" t="n"/>
      <c r="F7" s="79" t="n"/>
      <c r="G7" s="79" t="n"/>
      <c r="H7" s="50" t="inlineStr">
        <is>
          <t>Best Practice</t>
        </is>
      </c>
      <c r="I7" s="45" t="n"/>
      <c r="J7" s="35" t="n"/>
    </row>
    <row r="8">
      <c r="A8" s="39" t="inlineStr">
        <is>
          <t>2.4</t>
        </is>
      </c>
      <c r="B8" s="40" t="inlineStr">
        <is>
          <t>Establish board-level reporting cadence for TLPT progress</t>
        </is>
      </c>
      <c r="C8" s="35" t="inlineStr">
        <is>
          <t>Not Started</t>
        </is>
      </c>
      <c r="D8" s="51" t="inlineStr">
        <is>
          <t>MEDIUM</t>
        </is>
      </c>
      <c r="E8" s="42" t="n"/>
      <c r="F8" s="79" t="n"/>
      <c r="G8" s="79" t="n"/>
      <c r="H8" s="44" t="inlineStr">
        <is>
          <t>RTS Art. 4; RTS Art. 9(4)</t>
        </is>
      </c>
      <c r="I8" s="45" t="n"/>
      <c r="J8" s="35" t="n"/>
    </row>
    <row r="9">
      <c r="A9" s="48" t="inlineStr">
        <is>
          <t>2B: Control Team Formation</t>
        </is>
      </c>
      <c r="B9" s="76" t="n"/>
      <c r="C9" s="76" t="n"/>
      <c r="D9" s="76" t="n"/>
      <c r="E9" s="76" t="n"/>
      <c r="F9" s="76" t="n"/>
      <c r="G9" s="76" t="n"/>
      <c r="H9" s="76" t="n"/>
      <c r="I9" s="76" t="n"/>
      <c r="J9" s="77" t="n"/>
    </row>
    <row r="10">
      <c r="A10" s="39" t="inlineStr">
        <is>
          <t>2.5</t>
        </is>
      </c>
      <c r="B10" s="40" t="inlineStr">
        <is>
          <t>Appoint Control Team Lead (CTL) with:</t>
        </is>
      </c>
      <c r="C10" s="35" t="inlineStr">
        <is>
          <t>Not Started</t>
        </is>
      </c>
      <c r="D10" s="41" t="inlineStr">
        <is>
          <t>CRITICAL</t>
        </is>
      </c>
      <c r="E10" s="42" t="n"/>
      <c r="F10" s="79" t="n"/>
      <c r="G10" s="79" t="n"/>
      <c r="H10" s="44" t="inlineStr">
        <is>
          <t>RTS Art. 4; RTS Art. 9(4)</t>
        </is>
      </c>
      <c r="I10" s="45" t="n"/>
      <c r="J10" s="35" t="n"/>
    </row>
    <row r="11">
      <c r="A11" s="39" t="inlineStr">
        <is>
          <t>2.6</t>
        </is>
      </c>
      <c r="B11" s="40" t="inlineStr">
        <is>
          <t>Senior organizational standing with direct management access</t>
        </is>
      </c>
      <c r="C11" s="35" t="inlineStr">
        <is>
          <t>Not Started</t>
        </is>
      </c>
      <c r="D11" s="41" t="inlineStr">
        <is>
          <t>CRITICAL</t>
        </is>
      </c>
      <c r="E11" s="42" t="n"/>
      <c r="F11" s="79" t="n"/>
      <c r="G11" s="79" t="n"/>
      <c r="H11" s="44" t="inlineStr">
        <is>
          <t>RTS Art. 4</t>
        </is>
      </c>
      <c r="I11" s="45" t="n"/>
      <c r="J11" s="35" t="n"/>
    </row>
    <row r="12">
      <c r="A12" s="39" t="inlineStr">
        <is>
          <t>2.7</t>
        </is>
      </c>
      <c r="B12" s="40" t="inlineStr">
        <is>
          <t>Authority to make binding decisions without disclosure to other teams</t>
        </is>
      </c>
      <c r="C12" s="35" t="inlineStr">
        <is>
          <t>Not Started</t>
        </is>
      </c>
      <c r="D12" s="41" t="inlineStr">
        <is>
          <t>CRITICAL</t>
        </is>
      </c>
      <c r="E12" s="42" t="n"/>
      <c r="F12" s="79" t="n"/>
      <c r="G12" s="79" t="n"/>
      <c r="H12" s="44" t="inlineStr">
        <is>
          <t>RTS Art. 4</t>
        </is>
      </c>
      <c r="I12" s="45" t="n"/>
      <c r="J12" s="35" t="n"/>
    </row>
    <row r="13">
      <c r="A13" s="39" t="inlineStr">
        <is>
          <t>2.8</t>
        </is>
      </c>
      <c r="B13" s="40" t="inlineStr">
        <is>
          <t>Availability to dedicate significant time for 12-18 months</t>
        </is>
      </c>
      <c r="C13" s="35" t="inlineStr">
        <is>
          <t>Not Started</t>
        </is>
      </c>
      <c r="D13" s="46" t="inlineStr">
        <is>
          <t>HIGH</t>
        </is>
      </c>
      <c r="E13" s="42" t="n"/>
      <c r="F13" s="79" t="n"/>
      <c r="G13" s="79" t="n"/>
      <c r="H13" s="50" t="inlineStr">
        <is>
          <t>Best Practice</t>
        </is>
      </c>
      <c r="I13" s="45" t="n"/>
      <c r="J13" s="35" t="n"/>
    </row>
    <row r="14">
      <c r="A14" s="26" t="n"/>
      <c r="B14" s="47" t="inlineStr">
        <is>
          <t>TIP: The control team lead role is a full-time job disguised as a side responsibility. In TLPTs where the CTL was also running BAU security operations, scheduling problems surface by month three. If your CTL cannot block 60-70% of their calendar for the duration, appoint someone who can.</t>
        </is>
      </c>
      <c r="C14" s="26" t="n"/>
      <c r="D14" s="26" t="n"/>
      <c r="E14" s="26" t="n"/>
      <c r="F14" s="26" t="n"/>
      <c r="G14" s="26" t="n"/>
      <c r="H14" s="26" t="n"/>
      <c r="I14" s="26" t="n"/>
      <c r="J14" s="26" t="n"/>
    </row>
    <row r="15">
      <c r="A15" s="39" t="inlineStr">
        <is>
          <t>2.9</t>
        </is>
      </c>
      <c r="B15" s="40" t="inlineStr">
        <is>
          <t>Understanding of both business operations and ICT systems</t>
        </is>
      </c>
      <c r="C15" s="35" t="inlineStr">
        <is>
          <t>Not Started</t>
        </is>
      </c>
      <c r="D15" s="46" t="inlineStr">
        <is>
          <t>HIGH</t>
        </is>
      </c>
      <c r="E15" s="42" t="n"/>
      <c r="F15" s="79" t="n"/>
      <c r="G15" s="79" t="n"/>
      <c r="H15" s="44" t="inlineStr">
        <is>
          <t>RTS Art. 9(4)</t>
        </is>
      </c>
      <c r="I15" s="45" t="n"/>
      <c r="J15" s="35" t="n"/>
    </row>
    <row r="16">
      <c r="A16" s="39" t="inlineStr">
        <is>
          <t>2.10</t>
        </is>
      </c>
      <c r="B16" s="40" t="inlineStr">
        <is>
          <t>Build control team (recommended 3-5 members):</t>
        </is>
      </c>
      <c r="C16" s="35" t="inlineStr">
        <is>
          <t>Not Started</t>
        </is>
      </c>
      <c r="D16" s="46" t="inlineStr">
        <is>
          <t>HIGH</t>
        </is>
      </c>
      <c r="E16" s="42" t="n"/>
      <c r="F16" s="79" t="n"/>
      <c r="G16" s="79" t="n"/>
      <c r="H16" s="44" t="inlineStr">
        <is>
          <t>RTS Art. 9(4)</t>
        </is>
      </c>
      <c r="I16" s="45" t="n"/>
      <c r="J16" s="35" t="n"/>
    </row>
    <row r="17">
      <c r="A17" s="39" t="inlineStr">
        <is>
          <t>2.11</t>
        </is>
      </c>
      <c r="B17" s="40" t="inlineStr">
        <is>
          <t>CTL (mandatory)</t>
        </is>
      </c>
      <c r="C17" s="35" t="inlineStr">
        <is>
          <t>Not Started</t>
        </is>
      </c>
      <c r="D17" s="41" t="inlineStr">
        <is>
          <t>CRITICAL</t>
        </is>
      </c>
      <c r="E17" s="42" t="n"/>
      <c r="F17" s="79" t="n"/>
      <c r="G17" s="79" t="n"/>
      <c r="H17" s="44" t="inlineStr">
        <is>
          <t>RTS Art. 4</t>
        </is>
      </c>
      <c r="I17" s="45" t="n"/>
      <c r="J17" s="35" t="n"/>
    </row>
    <row r="18">
      <c r="A18" s="39" t="inlineStr">
        <is>
          <t>2.12</t>
        </is>
      </c>
      <c r="B18" s="40" t="inlineStr">
        <is>
          <t>Risk/compliance representative</t>
        </is>
      </c>
      <c r="C18" s="35" t="inlineStr">
        <is>
          <t>Not Started</t>
        </is>
      </c>
      <c r="D18" s="46" t="inlineStr">
        <is>
          <t>HIGH</t>
        </is>
      </c>
      <c r="E18" s="42" t="n"/>
      <c r="F18" s="79" t="n"/>
      <c r="G18" s="79" t="n"/>
      <c r="H18" s="44" t="inlineStr">
        <is>
          <t>RTS Art. 9(4)</t>
        </is>
      </c>
      <c r="I18" s="45" t="n"/>
      <c r="J18" s="35" t="n"/>
    </row>
    <row r="19">
      <c r="A19" s="39" t="inlineStr">
        <is>
          <t>2.13</t>
        </is>
      </c>
      <c r="B19" s="40" t="inlineStr">
        <is>
          <t>ICT/infrastructure representative</t>
        </is>
      </c>
      <c r="C19" s="35" t="inlineStr">
        <is>
          <t>Not Started</t>
        </is>
      </c>
      <c r="D19" s="46" t="inlineStr">
        <is>
          <t>HIGH</t>
        </is>
      </c>
      <c r="E19" s="42" t="n"/>
      <c r="F19" s="79" t="n"/>
      <c r="G19" s="79" t="n"/>
      <c r="H19" s="44" t="inlineStr">
        <is>
          <t>RTS Art. 9(4)</t>
        </is>
      </c>
      <c r="I19" s="45" t="n"/>
      <c r="J19" s="35" t="n"/>
    </row>
    <row r="20">
      <c r="A20" s="39" t="inlineStr">
        <is>
          <t>2.14</t>
        </is>
      </c>
      <c r="B20" s="40" t="inlineStr">
        <is>
          <t>Business operations representative</t>
        </is>
      </c>
      <c r="C20" s="35" t="inlineStr">
        <is>
          <t>Not Started</t>
        </is>
      </c>
      <c r="D20" s="46" t="inlineStr">
        <is>
          <t>HIGH</t>
        </is>
      </c>
      <c r="E20" s="42" t="n"/>
      <c r="F20" s="79" t="n"/>
      <c r="G20" s="79" t="n"/>
      <c r="H20" s="44" t="inlineStr">
        <is>
          <t>RTS Art. 9(4)</t>
        </is>
      </c>
      <c r="I20" s="45" t="n"/>
      <c r="J20" s="35" t="n"/>
    </row>
    <row r="21">
      <c r="A21" s="39" t="inlineStr">
        <is>
          <t>2.15</t>
        </is>
      </c>
      <c r="B21" s="40" t="inlineStr">
        <is>
          <t>Legal/procurement representative (optional)</t>
        </is>
      </c>
      <c r="C21" s="35" t="inlineStr">
        <is>
          <t>Not Started</t>
        </is>
      </c>
      <c r="D21" s="51" t="inlineStr">
        <is>
          <t>MEDIUM</t>
        </is>
      </c>
      <c r="E21" s="42" t="n"/>
      <c r="F21" s="79" t="n"/>
      <c r="G21" s="79" t="n"/>
      <c r="H21" s="50" t="inlineStr">
        <is>
          <t>Best Practice</t>
        </is>
      </c>
      <c r="I21" s="45" t="n"/>
      <c r="J21" s="35" t="n"/>
    </row>
    <row r="22">
      <c r="A22" s="39" t="inlineStr">
        <is>
          <t>2.16</t>
        </is>
      </c>
      <c r="B22" s="40" t="inlineStr">
        <is>
          <t>Establish secrecy protocols:</t>
        </is>
      </c>
      <c r="C22" s="35" t="inlineStr">
        <is>
          <t>Not Started</t>
        </is>
      </c>
      <c r="D22" s="46" t="inlineStr">
        <is>
          <t>HIGH</t>
        </is>
      </c>
      <c r="E22" s="42" t="n"/>
      <c r="F22" s="79" t="n"/>
      <c r="G22" s="79" t="n"/>
      <c r="H22" s="44" t="inlineStr">
        <is>
          <t>RTS Art. 4</t>
        </is>
      </c>
      <c r="I22" s="45" t="n"/>
      <c r="J22" s="35" t="n"/>
    </row>
    <row r="23">
      <c r="A23" s="39" t="inlineStr">
        <is>
          <t>2.17</t>
        </is>
      </c>
      <c r="B23" s="40" t="inlineStr">
        <is>
          <t>Encrypted communication channels (separate from corporate email)</t>
        </is>
      </c>
      <c r="C23" s="35" t="inlineStr">
        <is>
          <t>Not Started</t>
        </is>
      </c>
      <c r="D23" s="46" t="inlineStr">
        <is>
          <t>HIGH</t>
        </is>
      </c>
      <c r="E23" s="42" t="n"/>
      <c r="F23" s="79" t="n"/>
      <c r="G23" s="79" t="n"/>
      <c r="H23" s="44" t="inlineStr">
        <is>
          <t>RTS Art. 4; RTS Art. 9(2)</t>
        </is>
      </c>
      <c r="I23" s="45" t="n"/>
      <c r="J23" s="35" t="n"/>
    </row>
    <row r="24">
      <c r="A24" s="39" t="inlineStr">
        <is>
          <t>2.18</t>
        </is>
      </c>
      <c r="B24" s="40" t="inlineStr">
        <is>
          <t>Secure data room for TLPT documents</t>
        </is>
      </c>
      <c r="C24" s="35" t="inlineStr">
        <is>
          <t>Not Started</t>
        </is>
      </c>
      <c r="D24" s="46" t="inlineStr">
        <is>
          <t>HIGH</t>
        </is>
      </c>
      <c r="E24" s="42" t="n"/>
      <c r="F24" s="79" t="n"/>
      <c r="G24" s="79" t="n"/>
      <c r="H24" s="44" t="inlineStr">
        <is>
          <t>RTS Art. 4; RTS Art. 9(2)</t>
        </is>
      </c>
      <c r="I24" s="45" t="n"/>
      <c r="J24" s="35" t="n"/>
    </row>
    <row r="25">
      <c r="A25" s="39" t="inlineStr">
        <is>
          <t>2.19</t>
        </is>
      </c>
      <c r="B25" s="40" t="inlineStr">
        <is>
          <t>Code name for the exercise</t>
        </is>
      </c>
      <c r="C25" s="35" t="inlineStr">
        <is>
          <t>Not Started</t>
        </is>
      </c>
      <c r="D25" s="51" t="inlineStr">
        <is>
          <t>MEDIUM</t>
        </is>
      </c>
      <c r="E25" s="42" t="n"/>
      <c r="F25" s="79" t="n"/>
      <c r="G25" s="79" t="n"/>
      <c r="H25" s="44" t="inlineStr">
        <is>
          <t>RTS Art. 4; RTS Art. 9(2)</t>
        </is>
      </c>
      <c r="I25" s="45" t="n"/>
      <c r="J25" s="35" t="n"/>
    </row>
    <row r="26">
      <c r="A26" s="39" t="inlineStr">
        <is>
          <t>2.20</t>
        </is>
      </c>
      <c r="B26" s="40" t="inlineStr">
        <is>
          <t>Cover stories for control team meetings</t>
        </is>
      </c>
      <c r="C26" s="35" t="inlineStr">
        <is>
          <t>Not Started</t>
        </is>
      </c>
      <c r="D26" s="51" t="inlineStr">
        <is>
          <t>MEDIUM</t>
        </is>
      </c>
      <c r="E26" s="42" t="n"/>
      <c r="F26" s="79" t="n"/>
      <c r="G26" s="79" t="n"/>
      <c r="H26" s="44" t="inlineStr">
        <is>
          <t>RTS Art. 4</t>
        </is>
      </c>
      <c r="I26" s="45" t="n"/>
      <c r="J26" s="35" t="n"/>
    </row>
    <row r="27">
      <c r="A27" s="26" t="n"/>
      <c r="B27" s="47" t="inlineStr">
        <is>
          <t>TIP: Your cover story will be tested. When the blue team detects suspicious activity and escalates to incident response, the control team has roughly 30 minutes to contain the situation without blowing the exercise. Control teams freeze when they never rehearsed this scenario. Script your cover stories in advance and pressure-test them: what does the CTL say when the SOC calls at 2 AM asking why there's lateral movement from a compromised host?</t>
        </is>
      </c>
      <c r="C27" s="26" t="n"/>
      <c r="D27" s="26" t="n"/>
      <c r="E27" s="26" t="n"/>
      <c r="F27" s="26" t="n"/>
      <c r="G27" s="26" t="n"/>
      <c r="H27" s="26" t="n"/>
      <c r="I27" s="26" t="n"/>
      <c r="J27" s="26" t="n"/>
    </row>
    <row r="28">
      <c r="A28" s="39" t="inlineStr">
        <is>
          <t>2.21</t>
        </is>
      </c>
      <c r="B28" s="40" t="inlineStr">
        <is>
          <t>Incident containment protocol if blue team detects red team activity</t>
        </is>
      </c>
      <c r="C28" s="35" t="inlineStr">
        <is>
          <t>Not Started</t>
        </is>
      </c>
      <c r="D28" s="46" t="inlineStr">
        <is>
          <t>HIGH</t>
        </is>
      </c>
      <c r="E28" s="42" t="n"/>
      <c r="F28" s="79" t="n"/>
      <c r="G28" s="79" t="n"/>
      <c r="H28" s="44" t="inlineStr">
        <is>
          <t>RTS Art. 4; RTS Art. 11(9)</t>
        </is>
      </c>
      <c r="I28" s="45" t="n"/>
      <c r="J28" s="35" t="n"/>
    </row>
    <row r="29">
      <c r="A29" s="48" t="inlineStr">
        <is>
          <t>2C: Critical Function Mapping (Start Early)</t>
        </is>
      </c>
      <c r="B29" s="76" t="n"/>
      <c r="C29" s="76" t="n"/>
      <c r="D29" s="76" t="n"/>
      <c r="E29" s="76" t="n"/>
      <c r="F29" s="76" t="n"/>
      <c r="G29" s="76" t="n"/>
      <c r="H29" s="76" t="n"/>
      <c r="I29" s="76" t="n"/>
      <c r="J29" s="77" t="n"/>
    </row>
    <row r="30">
      <c r="A30" s="39" t="inlineStr">
        <is>
          <t>2.22</t>
        </is>
      </c>
      <c r="B30" s="40" t="inlineStr">
        <is>
          <t>Identify ALL critical or important functions (CIFs) per DORA Article 3(22)</t>
        </is>
      </c>
      <c r="C30" s="35" t="inlineStr">
        <is>
          <t>Not Started</t>
        </is>
      </c>
      <c r="D30" s="41" t="inlineStr">
        <is>
          <t>CRITICAL</t>
        </is>
      </c>
      <c r="E30" s="42" t="n"/>
      <c r="F30" s="79" t="n"/>
      <c r="G30" s="79" t="n"/>
      <c r="H30" s="44" t="inlineStr">
        <is>
          <t>DORA Art. 3(22); DORA Art. 26(2)</t>
        </is>
      </c>
      <c r="I30" s="45" t="n"/>
      <c r="J30" s="35" t="n"/>
    </row>
    <row r="31">
      <c r="A31" s="39" t="inlineStr">
        <is>
          <t>2.23</t>
        </is>
      </c>
      <c r="B31" s="40" t="inlineStr">
        <is>
          <t>For each CIF, map:</t>
        </is>
      </c>
      <c r="C31" s="35" t="inlineStr">
        <is>
          <t>Not Started</t>
        </is>
      </c>
      <c r="D31" s="41" t="inlineStr">
        <is>
          <t>CRITICAL</t>
        </is>
      </c>
      <c r="E31" s="42" t="n"/>
      <c r="F31" s="79" t="n"/>
      <c r="G31" s="79" t="n"/>
      <c r="H31" s="44" t="inlineStr">
        <is>
          <t>RTS Art. 9(6); RTS Annex II</t>
        </is>
      </c>
      <c r="I31" s="45" t="n"/>
      <c r="J31" s="35" t="n"/>
    </row>
    <row r="32">
      <c r="A32" s="39" t="inlineStr">
        <is>
          <t>2.24</t>
        </is>
      </c>
      <c r="B32" s="40" t="inlineStr">
        <is>
          <t>Supporting ICT systems, processes, and technologies</t>
        </is>
      </c>
      <c r="C32" s="35" t="inlineStr">
        <is>
          <t>Not Started</t>
        </is>
      </c>
      <c r="D32" s="41" t="inlineStr">
        <is>
          <t>CRITICAL</t>
        </is>
      </c>
      <c r="E32" s="42" t="n"/>
      <c r="F32" s="79" t="n"/>
      <c r="G32" s="79" t="n"/>
      <c r="H32" s="44" t="inlineStr">
        <is>
          <t>RTS Annex II</t>
        </is>
      </c>
      <c r="I32" s="45" t="n"/>
      <c r="J32" s="35" t="n"/>
    </row>
    <row r="33">
      <c r="A33" s="39" t="inlineStr">
        <is>
          <t>2.25</t>
        </is>
      </c>
      <c r="B33" s="40" t="inlineStr">
        <is>
          <t>Outsourcing status (in-house vs. third-party provider)</t>
        </is>
      </c>
      <c r="C33" s="35" t="inlineStr">
        <is>
          <t>Not Started</t>
        </is>
      </c>
      <c r="D33" s="41" t="inlineStr">
        <is>
          <t>CRITICAL</t>
        </is>
      </c>
      <c r="E33" s="42" t="n"/>
      <c r="F33" s="79" t="n"/>
      <c r="G33" s="79" t="n"/>
      <c r="H33" s="44" t="inlineStr">
        <is>
          <t>RTS Annex II</t>
        </is>
      </c>
      <c r="I33" s="45" t="n"/>
      <c r="J33" s="35" t="n"/>
    </row>
    <row r="34">
      <c r="A34" s="39" t="inlineStr">
        <is>
          <t>2.26</t>
        </is>
      </c>
      <c r="B34" s="40" t="inlineStr">
        <is>
          <t>Provider name and contract reference (if outsourced)</t>
        </is>
      </c>
      <c r="C34" s="35" t="inlineStr">
        <is>
          <t>Not Started</t>
        </is>
      </c>
      <c r="D34" s="46" t="inlineStr">
        <is>
          <t>HIGH</t>
        </is>
      </c>
      <c r="E34" s="42" t="n"/>
      <c r="F34" s="79" t="n"/>
      <c r="G34" s="79" t="n"/>
      <c r="H34" s="44" t="inlineStr">
        <is>
          <t>RTS Annex II</t>
        </is>
      </c>
      <c r="I34" s="45" t="n"/>
      <c r="J34" s="35" t="n"/>
    </row>
    <row r="35">
      <c r="A35" s="39" t="inlineStr">
        <is>
          <t>2.27</t>
        </is>
      </c>
      <c r="B35" s="40" t="inlineStr">
        <is>
          <t>Jurisdictions where the function operates</t>
        </is>
      </c>
      <c r="C35" s="35" t="inlineStr">
        <is>
          <t>Not Started</t>
        </is>
      </c>
      <c r="D35" s="46" t="inlineStr">
        <is>
          <t>HIGH</t>
        </is>
      </c>
      <c r="E35" s="42" t="n"/>
      <c r="F35" s="79" t="n"/>
      <c r="G35" s="79" t="n"/>
      <c r="H35" s="44" t="inlineStr">
        <is>
          <t>RTS Annex II</t>
        </is>
      </c>
      <c r="I35" s="45" t="n"/>
      <c r="J35" s="35" t="n"/>
    </row>
    <row r="36">
      <c r="A36" s="39" t="inlineStr">
        <is>
          <t>2.28</t>
        </is>
      </c>
      <c r="B36" s="40" t="inlineStr">
        <is>
          <t>Interconnections with other functions/entities</t>
        </is>
      </c>
      <c r="C36" s="35" t="inlineStr">
        <is>
          <t>Not Started</t>
        </is>
      </c>
      <c r="D36" s="46" t="inlineStr">
        <is>
          <t>HIGH</t>
        </is>
      </c>
      <c r="E36" s="42" t="n"/>
      <c r="F36" s="79" t="n"/>
      <c r="G36" s="79" t="n"/>
      <c r="H36" s="44" t="inlineStr">
        <is>
          <t>RTS Art. 9(7)</t>
        </is>
      </c>
      <c r="I36" s="45" t="n"/>
      <c r="J36" s="35" t="n"/>
    </row>
    <row r="37">
      <c r="A37" s="39" t="inlineStr">
        <is>
          <t>2.29</t>
        </is>
      </c>
      <c r="B37" s="40" t="inlineStr">
        <is>
          <t>Use the 7 criteria from RTS Article 9(7) to rank CIFs for inclusion:
  - Criticality/importance and impact on financial sector
  - Day-to-day business relevance
  - Substitutability
  - Interconnectedness
  - Geographical location
  - Sectoral dependence
  - Available threat intelligence</t>
        </is>
      </c>
      <c r="C37" s="35" t="inlineStr">
        <is>
          <t>Not Started</t>
        </is>
      </c>
      <c r="D37" s="41" t="inlineStr">
        <is>
          <t>CRITICAL</t>
        </is>
      </c>
      <c r="E37" s="42" t="n"/>
      <c r="F37" s="79" t="n"/>
      <c r="G37" s="79" t="n"/>
      <c r="H37" s="44" t="inlineStr">
        <is>
          <t>RTS Art. 9(7)</t>
        </is>
      </c>
      <c r="I37" s="45" t="n"/>
      <c r="J37" s="35" t="n"/>
    </row>
    <row r="38">
      <c r="A38" s="39" t="inlineStr">
        <is>
          <t>2.30</t>
        </is>
      </c>
      <c r="B38" s="40" t="inlineStr">
        <is>
          <t>Prepare justification for any CIF excluded from TLPT scope</t>
        </is>
      </c>
      <c r="C38" s="35" t="inlineStr">
        <is>
          <t>Not Started</t>
        </is>
      </c>
      <c r="D38" s="41" t="inlineStr">
        <is>
          <t>CRITICAL</t>
        </is>
      </c>
      <c r="E38" s="42" t="n"/>
      <c r="F38" s="79" t="n"/>
      <c r="G38" s="79" t="n"/>
      <c r="H38" s="44" t="inlineStr">
        <is>
          <t>RTS Art. 9(6); RTS Annex II</t>
        </is>
      </c>
      <c r="I38" s="45" t="n"/>
      <c r="J38" s="35" t="n"/>
    </row>
    <row r="39">
      <c r="A39" s="39" t="inlineStr">
        <is>
          <t>2.31</t>
        </is>
      </c>
      <c r="B39" s="40" t="inlineStr">
        <is>
          <t>Define preliminary "flags" for each in-scope CIF:</t>
        </is>
      </c>
      <c r="C39" s="35" t="inlineStr">
        <is>
          <t>Not Started</t>
        </is>
      </c>
      <c r="D39" s="46" t="inlineStr">
        <is>
          <t>HIGH</t>
        </is>
      </c>
      <c r="E39" s="42" t="n"/>
      <c r="F39" s="79" t="n"/>
      <c r="G39" s="79" t="n"/>
      <c r="H39" s="44" t="inlineStr">
        <is>
          <t>RTS Annex II</t>
        </is>
      </c>
      <c r="I39" s="45" t="n"/>
      <c r="J39" s="35" t="n"/>
    </row>
    <row r="40">
      <c r="A40" s="39" t="inlineStr">
        <is>
          <t>2.32</t>
        </is>
      </c>
      <c r="B40" s="40" t="inlineStr">
        <is>
          <t>At least one targeting confidentiality</t>
        </is>
      </c>
      <c r="C40" s="35" t="inlineStr">
        <is>
          <t>Not Started</t>
        </is>
      </c>
      <c r="D40" s="46" t="inlineStr">
        <is>
          <t>HIGH</t>
        </is>
      </c>
      <c r="E40" s="42" t="n"/>
      <c r="F40" s="79" t="n"/>
      <c r="G40" s="79" t="n"/>
      <c r="H40" s="44" t="inlineStr">
        <is>
          <t>RTS Annex II; RTS Annex III</t>
        </is>
      </c>
      <c r="I40" s="45" t="n"/>
      <c r="J40" s="35" t="n"/>
    </row>
    <row r="41">
      <c r="A41" s="39" t="inlineStr">
        <is>
          <t>2.33</t>
        </is>
      </c>
      <c r="B41" s="40" t="inlineStr">
        <is>
          <t>At least one targeting integrity</t>
        </is>
      </c>
      <c r="C41" s="35" t="inlineStr">
        <is>
          <t>Not Started</t>
        </is>
      </c>
      <c r="D41" s="46" t="inlineStr">
        <is>
          <t>HIGH</t>
        </is>
      </c>
      <c r="E41" s="42" t="n"/>
      <c r="F41" s="79" t="n"/>
      <c r="G41" s="79" t="n"/>
      <c r="H41" s="44" t="inlineStr">
        <is>
          <t>RTS Annex II; RTS Annex III</t>
        </is>
      </c>
      <c r="I41" s="45" t="n"/>
      <c r="J41" s="35" t="n"/>
    </row>
    <row r="42">
      <c r="A42" s="39" t="inlineStr">
        <is>
          <t>2.34</t>
        </is>
      </c>
      <c r="B42" s="40" t="inlineStr">
        <is>
          <t>At least one targeting availability</t>
        </is>
      </c>
      <c r="C42" s="35" t="inlineStr">
        <is>
          <t>Not Started</t>
        </is>
      </c>
      <c r="D42" s="46" t="inlineStr">
        <is>
          <t>HIGH</t>
        </is>
      </c>
      <c r="E42" s="42" t="n"/>
      <c r="F42" s="79" t="n"/>
      <c r="G42" s="79" t="n"/>
      <c r="H42" s="44" t="inlineStr">
        <is>
          <t>RTS Annex II; RTS Annex III</t>
        </is>
      </c>
      <c r="I42" s="45" t="n"/>
      <c r="J42" s="35" t="n"/>
    </row>
    <row r="43">
      <c r="A43" s="26" t="n"/>
      <c r="B43" s="47" t="inlineStr">
        <is>
          <t>TIP: This is the hardest part. Most banks don't have a clean mapping between business processes and ICT systems. Start this 6+ months before expected notification. Institutions regularly burn through their entire 6-month scoping window because they had to build this mapping from scratch.</t>
        </is>
      </c>
      <c r="C43" s="26" t="n"/>
      <c r="D43" s="26" t="n"/>
      <c r="E43" s="26" t="n"/>
      <c r="F43" s="26" t="n"/>
      <c r="G43" s="26" t="n"/>
      <c r="H43" s="26" t="n"/>
      <c r="I43" s="26" t="n"/>
      <c r="J43" s="26" t="n"/>
    </row>
  </sheetData>
  <sheetProtection selectLockedCells="0" selectUnlockedCells="0" sheet="1" objects="0" insertRows="1" insertHyperlinks="1" autoFilter="0" scenarios="0" formatColumns="0" deleteColumns="1" insertColumns="1" pivotTables="1" deleteRows="1" formatCells="1" formatRows="0" sort="0" password="CE4B"/>
  <mergeCells count="5">
    <mergeCell ref="A1:J1"/>
    <mergeCell ref="A9:J9"/>
    <mergeCell ref="A3:J3"/>
    <mergeCell ref="A29:J29"/>
    <mergeCell ref="A4:J4"/>
  </mergeCells>
  <conditionalFormatting sqref="A5:J42">
    <cfRule type="expression" priority="1" dxfId="4" stopIfTrue="1">
      <formula>$C5="N/A"</formula>
    </cfRule>
    <cfRule type="expression" priority="2" dxfId="5" stopIfTrue="1">
      <formula>AND($C5&lt;&gt;"Complete",$C5&lt;&gt;"N/A",$C5&lt;&gt;"",$F5&lt;&gt;"",$F5&lt;TODAY())</formula>
    </cfRule>
    <cfRule type="expression" priority="3" dxfId="0" stopIfTrue="1">
      <formula>$C5="Complete"</formula>
    </cfRule>
  </conditionalFormatting>
  <dataValidations count="4">
    <dataValidation sqref="C5:C42" showDropDown="0" showInputMessage="0" showErrorMessage="0" allowBlank="1" errorTitle="Invalid Status" error="Select: Not Started, In Progress, Complete, N/A" type="list">
      <formula1>"Not Started,In Progress,Complete,N/A"</formula1>
    </dataValidation>
    <dataValidation sqref="J5:J42" showDropDown="0" showInputMessage="0" showErrorMessage="0" allowBlank="1" errorTitle="Invalid Risk" error="Select: High, Medium, Low" type="list">
      <formula1>"High,Medium,Low"</formula1>
    </dataValidation>
    <dataValidation sqref="F5:F42" showDropDown="0" showInputMessage="0" showErrorMessage="1" allowBlank="1" errorTitle="Invalid Date" error="Please enter a valid date" type="date" operator="greaterThan">
      <formula1>2020-01-01</formula1>
    </dataValidation>
    <dataValidation sqref="G5:G42" showDropDown="0" showInputMessage="0" showErrorMessage="1" allowBlank="1" errorTitle="Invalid Date" error="Please enter a valid date" type="date" operator="greaterThan">
      <formula1>2020-01-01</formula1>
    </dataValidation>
  </dataValidations>
  <hyperlinks>
    <hyperlink xmlns:r="http://schemas.openxmlformats.org/officeDocument/2006/relationships" ref="H5" r:id="rId1"/>
    <hyperlink xmlns:r="http://schemas.openxmlformats.org/officeDocument/2006/relationships" ref="H6" r:id="rId2"/>
    <hyperlink xmlns:r="http://schemas.openxmlformats.org/officeDocument/2006/relationships" ref="H8" r:id="rId3"/>
    <hyperlink xmlns:r="http://schemas.openxmlformats.org/officeDocument/2006/relationships" ref="H10" r:id="rId4"/>
    <hyperlink xmlns:r="http://schemas.openxmlformats.org/officeDocument/2006/relationships" ref="H11" r:id="rId5"/>
    <hyperlink xmlns:r="http://schemas.openxmlformats.org/officeDocument/2006/relationships" ref="H12" r:id="rId6"/>
    <hyperlink xmlns:r="http://schemas.openxmlformats.org/officeDocument/2006/relationships" ref="H15" r:id="rId7"/>
    <hyperlink xmlns:r="http://schemas.openxmlformats.org/officeDocument/2006/relationships" ref="H16" r:id="rId8"/>
    <hyperlink xmlns:r="http://schemas.openxmlformats.org/officeDocument/2006/relationships" ref="H17" r:id="rId9"/>
    <hyperlink xmlns:r="http://schemas.openxmlformats.org/officeDocument/2006/relationships" ref="H18" r:id="rId10"/>
    <hyperlink xmlns:r="http://schemas.openxmlformats.org/officeDocument/2006/relationships" ref="H19" r:id="rId11"/>
    <hyperlink xmlns:r="http://schemas.openxmlformats.org/officeDocument/2006/relationships" ref="H20" r:id="rId12"/>
    <hyperlink xmlns:r="http://schemas.openxmlformats.org/officeDocument/2006/relationships" ref="H22" r:id="rId13"/>
    <hyperlink xmlns:r="http://schemas.openxmlformats.org/officeDocument/2006/relationships" ref="H23" r:id="rId14"/>
    <hyperlink xmlns:r="http://schemas.openxmlformats.org/officeDocument/2006/relationships" ref="H24" r:id="rId15"/>
    <hyperlink xmlns:r="http://schemas.openxmlformats.org/officeDocument/2006/relationships" ref="H25" r:id="rId16"/>
    <hyperlink xmlns:r="http://schemas.openxmlformats.org/officeDocument/2006/relationships" ref="H26" r:id="rId17"/>
    <hyperlink xmlns:r="http://schemas.openxmlformats.org/officeDocument/2006/relationships" ref="H28" r:id="rId18"/>
    <hyperlink xmlns:r="http://schemas.openxmlformats.org/officeDocument/2006/relationships" ref="H30" r:id="rId19"/>
    <hyperlink xmlns:r="http://schemas.openxmlformats.org/officeDocument/2006/relationships" ref="H31" r:id="rId20"/>
    <hyperlink xmlns:r="http://schemas.openxmlformats.org/officeDocument/2006/relationships" ref="H32" r:id="rId21"/>
    <hyperlink xmlns:r="http://schemas.openxmlformats.org/officeDocument/2006/relationships" ref="H33" r:id="rId22"/>
    <hyperlink xmlns:r="http://schemas.openxmlformats.org/officeDocument/2006/relationships" ref="H34" r:id="rId23"/>
    <hyperlink xmlns:r="http://schemas.openxmlformats.org/officeDocument/2006/relationships" ref="H35" r:id="rId24"/>
    <hyperlink xmlns:r="http://schemas.openxmlformats.org/officeDocument/2006/relationships" ref="H36" r:id="rId25"/>
    <hyperlink xmlns:r="http://schemas.openxmlformats.org/officeDocument/2006/relationships" ref="H37" r:id="rId26"/>
    <hyperlink xmlns:r="http://schemas.openxmlformats.org/officeDocument/2006/relationships" ref="H38" r:id="rId27"/>
    <hyperlink xmlns:r="http://schemas.openxmlformats.org/officeDocument/2006/relationships" ref="H39" r:id="rId28"/>
    <hyperlink xmlns:r="http://schemas.openxmlformats.org/officeDocument/2006/relationships" ref="H40" r:id="rId29"/>
    <hyperlink xmlns:r="http://schemas.openxmlformats.org/officeDocument/2006/relationships" ref="H41" r:id="rId30"/>
    <hyperlink xmlns:r="http://schemas.openxmlformats.org/officeDocument/2006/relationships" ref="H42" r:id="rId31"/>
  </hyperlinks>
  <pageMargins left="0.75" right="0.75" top="1" bottom="1" header="0.5" footer="0.5"/>
  <pageSetup orientation="landscape" fitToHeight="0" fitToWidth="1"/>
  <headerFooter>
    <oddHeader>&amp;LAFINE | TLPT DORA Readiness Tracker&amp;RPage &amp;P of &amp;N</oddHeader>
    <oddFooter>&amp;CAFINE sp. z o.o. | afine.com</oddFooter>
    <evenHeader/>
    <evenFooter/>
    <firstHeader/>
    <firstFooter/>
  </headerFooter>
</worksheet>
</file>

<file path=xl/worksheets/sheet5.xml><?xml version="1.0" encoding="utf-8"?>
<worksheet xmlns="http://schemas.openxmlformats.org/spreadsheetml/2006/main">
  <sheetPr>
    <tabColor rgb="0027AE60"/>
    <outlinePr summaryBelow="1" summaryRight="1"/>
    <pageSetUpPr fitToPage="1"/>
  </sheetPr>
  <dimension ref="A1:J50"/>
  <sheetViews>
    <sheetView workbookViewId="0">
      <pane xSplit="2" ySplit="3" topLeftCell="C4" activePane="bottomRight" state="frozen"/>
      <selection pane="topRight" activeCell="A1" sqref="A1"/>
      <selection pane="bottomLeft" activeCell="A1" sqref="A1"/>
      <selection pane="bottomRight" activeCell="A1" sqref="A1"/>
    </sheetView>
  </sheetViews>
  <sheetFormatPr baseColWidth="8" defaultRowHeight="15"/>
  <cols>
    <col width="5" customWidth="1" min="1" max="1"/>
    <col width="55" customWidth="1" min="2" max="2"/>
    <col width="14" customWidth="1" min="3" max="3"/>
    <col width="12" customWidth="1" min="4" max="4"/>
    <col width="15" customWidth="1" min="5" max="5"/>
    <col width="12" customWidth="1" min="6" max="6"/>
    <col width="12" customWidth="1" min="7" max="7"/>
    <col width="18" customWidth="1" min="8" max="8"/>
    <col width="35" customWidth="1" min="9" max="9"/>
    <col width="12" customWidth="1" min="10" max="10"/>
  </cols>
  <sheetData>
    <row r="1">
      <c r="A1" s="36" t="inlineStr">
        <is>
          <t>Module 3: PROVIDER SELECTION</t>
        </is>
      </c>
    </row>
    <row r="2">
      <c r="A2" s="37" t="inlineStr">
        <is>
          <t>#</t>
        </is>
      </c>
      <c r="B2" s="37" t="inlineStr">
        <is>
          <t>Checklist Item</t>
        </is>
      </c>
      <c r="C2" s="37" t="inlineStr">
        <is>
          <t>Status</t>
        </is>
      </c>
      <c r="D2" s="37" t="inlineStr">
        <is>
          <t>Priority</t>
        </is>
      </c>
      <c r="E2" s="37" t="inlineStr">
        <is>
          <t>Owner</t>
        </is>
      </c>
      <c r="F2" s="37" t="inlineStr">
        <is>
          <t>Due Date</t>
        </is>
      </c>
      <c r="G2" s="37" t="inlineStr">
        <is>
          <t>Done Date</t>
        </is>
      </c>
      <c r="H2" s="37" t="inlineStr">
        <is>
          <t>RTS Reference</t>
        </is>
      </c>
      <c r="I2" s="37" t="inlineStr">
        <is>
          <t>Evidence/Notes</t>
        </is>
      </c>
      <c r="J2" s="37" t="inlineStr">
        <is>
          <t>Risk if Missed</t>
        </is>
      </c>
    </row>
    <row r="3">
      <c r="A3" s="38">
        <f>"Progress: "&amp;COUNTIF(C5:C49,"Complete")&amp;" / 42 complete ("&amp;IF(42=0,0,ROUND(COUNTIF(C5:C49,"Complete")/42*100,0))&amp;"%)"</f>
        <v/>
      </c>
      <c r="B3" s="76" t="n"/>
      <c r="C3" s="76" t="n"/>
      <c r="D3" s="76" t="n"/>
      <c r="E3" s="76" t="n"/>
      <c r="F3" s="76" t="n"/>
      <c r="G3" s="76" t="n"/>
      <c r="H3" s="76" t="n"/>
      <c r="I3" s="76" t="n"/>
      <c r="J3" s="77" t="n"/>
    </row>
    <row r="4">
      <c r="A4" s="48" t="inlineStr">
        <is>
          <t>3A: Threat Intelligence Provider Evaluation</t>
        </is>
      </c>
      <c r="B4" s="76" t="n"/>
      <c r="C4" s="76" t="n"/>
      <c r="D4" s="76" t="n"/>
      <c r="E4" s="76" t="n"/>
      <c r="F4" s="76" t="n"/>
      <c r="G4" s="76" t="n"/>
      <c r="H4" s="76" t="n"/>
      <c r="I4" s="76" t="n"/>
      <c r="J4" s="77" t="n"/>
    </row>
    <row r="5">
      <c r="A5" s="39" t="inlineStr">
        <is>
          <t>3.1</t>
        </is>
      </c>
      <c r="B5" s="40" t="inlineStr">
        <is>
          <t>External to financial entity (mandatory - no internal TI for TLPT)</t>
        </is>
      </c>
      <c r="C5" s="35" t="inlineStr">
        <is>
          <t>Not Started</t>
        </is>
      </c>
      <c r="D5" s="41" t="inlineStr">
        <is>
          <t>CRITICAL</t>
        </is>
      </c>
      <c r="E5" s="42" t="n"/>
      <c r="F5" s="79" t="n"/>
      <c r="G5" s="79" t="n"/>
      <c r="H5" s="44" t="inlineStr">
        <is>
          <t>DORA Art. 27(2); RTS Art. 1</t>
        </is>
      </c>
      <c r="I5" s="45" t="n"/>
      <c r="J5" s="35" t="n"/>
    </row>
    <row r="6">
      <c r="A6" s="39" t="inlineStr">
        <is>
          <t>3.2</t>
        </is>
      </c>
      <c r="B6" s="40" t="inlineStr">
        <is>
          <t>Manager with minimum 5 years threat intelligence experience</t>
        </is>
      </c>
      <c r="C6" s="35" t="inlineStr">
        <is>
          <t>Not Started</t>
        </is>
      </c>
      <c r="D6" s="41" t="inlineStr">
        <is>
          <t>CRITICAL</t>
        </is>
      </c>
      <c r="E6" s="42" t="n"/>
      <c r="F6" s="79" t="n"/>
      <c r="G6" s="79" t="n"/>
      <c r="H6" s="44" t="inlineStr">
        <is>
          <t>RTS Art. 7(1); TIBER-EU Procurement Guidance</t>
        </is>
      </c>
      <c r="I6" s="45" t="n"/>
      <c r="J6" s="35" t="n"/>
    </row>
    <row r="7">
      <c r="A7" s="39" t="inlineStr">
        <is>
          <t>3.3</t>
        </is>
      </c>
      <c r="B7" s="40" t="inlineStr">
        <is>
          <t>Additional team member(s) with minimum 2 years experience</t>
        </is>
      </c>
      <c r="C7" s="35" t="inlineStr">
        <is>
          <t>Not Started</t>
        </is>
      </c>
      <c r="D7" s="41" t="inlineStr">
        <is>
          <t>CRITICAL</t>
        </is>
      </c>
      <c r="E7" s="42" t="n"/>
      <c r="F7" s="79" t="n"/>
      <c r="G7" s="79" t="n"/>
      <c r="H7" s="44" t="inlineStr">
        <is>
          <t>RTS Art. 7(1); TIBER-EU Procurement Guidance</t>
        </is>
      </c>
      <c r="I7" s="45" t="n"/>
      <c r="J7" s="35" t="n"/>
    </row>
    <row r="8">
      <c r="A8" s="39" t="inlineStr">
        <is>
          <t>3.4</t>
        </is>
      </c>
      <c r="B8" s="40" t="inlineStr">
        <is>
          <t>Minimum 3 client references from previous TI assignments for pentest/red team</t>
        </is>
      </c>
      <c r="C8" s="35" t="inlineStr">
        <is>
          <t>Not Started</t>
        </is>
      </c>
      <c r="D8" s="41" t="inlineStr">
        <is>
          <t>CRITICAL</t>
        </is>
      </c>
      <c r="E8" s="42" t="n"/>
      <c r="F8" s="79" t="n"/>
      <c r="G8" s="79" t="n"/>
      <c r="H8" s="44" t="inlineStr">
        <is>
          <t>TIBER-EU Procurement Guidance</t>
        </is>
      </c>
      <c r="I8" s="45" t="n"/>
      <c r="J8" s="35" t="n"/>
    </row>
    <row r="9">
      <c r="A9" s="39" t="inlineStr">
        <is>
          <t>3.5</t>
        </is>
      </c>
      <c r="B9" s="40" t="inlineStr">
        <is>
          <t>Professional indemnity insurance covering misconduct and negligence</t>
        </is>
      </c>
      <c r="C9" s="35" t="inlineStr">
        <is>
          <t>Not Started</t>
        </is>
      </c>
      <c r="D9" s="41" t="inlineStr">
        <is>
          <t>CRITICAL</t>
        </is>
      </c>
      <c r="E9" s="42" t="n"/>
      <c r="F9" s="79" t="n"/>
      <c r="G9" s="79" t="n"/>
      <c r="H9" s="44" t="inlineStr">
        <is>
          <t>DORA Art. 27(1)(e); RTS Art. 7(1)</t>
        </is>
      </c>
      <c r="I9" s="45" t="n"/>
      <c r="J9" s="35" t="n"/>
    </row>
    <row r="10">
      <c r="A10" s="39" t="inlineStr">
        <is>
          <t>3.6</t>
        </is>
      </c>
      <c r="B10" s="40" t="inlineStr">
        <is>
          <t>Certifications per recognized market standards</t>
        </is>
      </c>
      <c r="C10" s="35" t="inlineStr">
        <is>
          <t>Not Started</t>
        </is>
      </c>
      <c r="D10" s="46" t="inlineStr">
        <is>
          <t>HIGH</t>
        </is>
      </c>
      <c r="E10" s="42" t="n"/>
      <c r="F10" s="79" t="n"/>
      <c r="G10" s="79" t="n"/>
      <c r="H10" s="44" t="inlineStr">
        <is>
          <t>DORA Art. 27(1)(c); RTS Art. 7(1)</t>
        </is>
      </c>
      <c r="I10" s="45" t="n"/>
      <c r="J10" s="35" t="n"/>
    </row>
    <row r="11">
      <c r="A11" s="39" t="inlineStr">
        <is>
          <t>3.7</t>
        </is>
      </c>
      <c r="B11" s="40" t="inlineStr">
        <is>
          <t>No conflict of interest with entity or involved ICT providers</t>
        </is>
      </c>
      <c r="C11" s="35" t="inlineStr">
        <is>
          <t>Not Started</t>
        </is>
      </c>
      <c r="D11" s="41" t="inlineStr">
        <is>
          <t>CRITICAL</t>
        </is>
      </c>
      <c r="E11" s="42" t="n"/>
      <c r="F11" s="79" t="n"/>
      <c r="G11" s="79" t="n"/>
      <c r="H11" s="44" t="inlineStr">
        <is>
          <t>RTS Art. 7(1)</t>
        </is>
      </c>
      <c r="I11" s="45" t="n"/>
      <c r="J11" s="35" t="n"/>
    </row>
    <row r="12">
      <c r="A12" s="39" t="inlineStr">
        <is>
          <t>3.8</t>
        </is>
      </c>
      <c r="B12" s="40" t="inlineStr">
        <is>
          <t>Not simultaneously performing blue team tasks for the entity</t>
        </is>
      </c>
      <c r="C12" s="35" t="inlineStr">
        <is>
          <t>Not Started</t>
        </is>
      </c>
      <c r="D12" s="41" t="inlineStr">
        <is>
          <t>CRITICAL</t>
        </is>
      </c>
      <c r="E12" s="42" t="n"/>
      <c r="F12" s="79" t="n"/>
      <c r="G12" s="79" t="n"/>
      <c r="H12" s="44" t="inlineStr">
        <is>
          <t>RTS Art. 7(1); TIBER-EU Procurement Guidance</t>
        </is>
      </c>
      <c r="I12" s="45" t="n"/>
      <c r="J12" s="35" t="n"/>
    </row>
    <row r="13">
      <c r="A13" s="39" t="inlineStr">
        <is>
          <t>3.9</t>
        </is>
      </c>
      <c r="B13" s="40" t="inlineStr">
        <is>
          <t>Separated from red team staff (if same company provides both)</t>
        </is>
      </c>
      <c r="C13" s="35" t="inlineStr">
        <is>
          <t>Not Started</t>
        </is>
      </c>
      <c r="D13" s="41" t="inlineStr">
        <is>
          <t>CRITICAL</t>
        </is>
      </c>
      <c r="E13" s="42" t="n"/>
      <c r="F13" s="79" t="n"/>
      <c r="G13" s="79" t="n"/>
      <c r="H13" s="44" t="inlineStr">
        <is>
          <t>RTS Art. 7(1); TIBER-EU Procurement Guidance</t>
        </is>
      </c>
      <c r="I13" s="45" t="n"/>
      <c r="J13" s="35" t="n"/>
    </row>
    <row r="14">
      <c r="A14" s="48" t="inlineStr">
        <is>
          <t>3B: Red Team Provider Evaluation</t>
        </is>
      </c>
      <c r="B14" s="76" t="n"/>
      <c r="C14" s="76" t="n"/>
      <c r="D14" s="76" t="n"/>
      <c r="E14" s="76" t="n"/>
      <c r="F14" s="76" t="n"/>
      <c r="G14" s="76" t="n"/>
      <c r="H14" s="76" t="n"/>
      <c r="I14" s="76" t="n"/>
      <c r="J14" s="77" t="n"/>
    </row>
    <row r="15">
      <c r="A15" s="39" t="inlineStr">
        <is>
          <t>3.10</t>
        </is>
      </c>
      <c r="B15" s="40" t="inlineStr">
        <is>
          <t>Test lead with minimum 5 years penetration testing and red team experience</t>
        </is>
      </c>
      <c r="C15" s="35" t="inlineStr">
        <is>
          <t>Not Started</t>
        </is>
      </c>
      <c r="D15" s="41" t="inlineStr">
        <is>
          <t>CRITICAL</t>
        </is>
      </c>
      <c r="E15" s="42" t="n"/>
      <c r="F15" s="79" t="n"/>
      <c r="G15" s="79" t="n"/>
      <c r="H15" s="44" t="inlineStr">
        <is>
          <t>RTS Art. 7(1); TIBER-EU Procurement Guidance</t>
        </is>
      </c>
      <c r="I15" s="45" t="n"/>
      <c r="J15" s="35" t="n"/>
    </row>
    <row r="16">
      <c r="A16" s="39" t="inlineStr">
        <is>
          <t>3.11</t>
        </is>
      </c>
      <c r="B16" s="40" t="inlineStr">
        <is>
          <t>At least 2 additional team members with minimum 2 years experience each</t>
        </is>
      </c>
      <c r="C16" s="35" t="inlineStr">
        <is>
          <t>Not Started</t>
        </is>
      </c>
      <c r="D16" s="41" t="inlineStr">
        <is>
          <t>CRITICAL</t>
        </is>
      </c>
      <c r="E16" s="42" t="n"/>
      <c r="F16" s="79" t="n"/>
      <c r="G16" s="79" t="n"/>
      <c r="H16" s="44" t="inlineStr">
        <is>
          <t>RTS Art. 7(1); TIBER-EU Procurement Guidance</t>
        </is>
      </c>
      <c r="I16" s="45" t="n"/>
      <c r="J16" s="35" t="n"/>
    </row>
    <row r="17">
      <c r="A17" s="39" t="inlineStr">
        <is>
          <t>3.12</t>
        </is>
      </c>
      <c r="B17" s="40" t="inlineStr">
        <is>
          <t>Minimum team size: 3 persons with adequate replacement capacity</t>
        </is>
      </c>
      <c r="C17" s="35" t="inlineStr">
        <is>
          <t>Not Started</t>
        </is>
      </c>
      <c r="D17" s="41" t="inlineStr">
        <is>
          <t>CRITICAL</t>
        </is>
      </c>
      <c r="E17" s="42" t="n"/>
      <c r="F17" s="79" t="n"/>
      <c r="G17" s="79" t="n"/>
      <c r="H17" s="44" t="inlineStr">
        <is>
          <t>RTS Art. 7(1); TIBER-EU Procurement Guidance</t>
        </is>
      </c>
      <c r="I17" s="45" t="n"/>
      <c r="J17" s="35" t="n"/>
    </row>
    <row r="18">
      <c r="A18" s="39" t="inlineStr">
        <is>
          <t>3.13</t>
        </is>
      </c>
      <c r="B18" s="40" t="inlineStr">
        <is>
          <t>Minimum 5 client references from previous pentest/red team assignments</t>
        </is>
      </c>
      <c r="C18" s="35" t="inlineStr">
        <is>
          <t>Not Started</t>
        </is>
      </c>
      <c r="D18" s="41" t="inlineStr">
        <is>
          <t>CRITICAL</t>
        </is>
      </c>
      <c r="E18" s="42" t="n"/>
      <c r="F18" s="79" t="n"/>
      <c r="G18" s="79" t="n"/>
      <c r="H18" s="44" t="inlineStr">
        <is>
          <t>TIBER-EU Procurement Guidance</t>
        </is>
      </c>
      <c r="I18" s="45" t="n"/>
      <c r="J18" s="35" t="n"/>
    </row>
    <row r="19">
      <c r="A19" s="39" t="inlineStr">
        <is>
          <t>3.14</t>
        </is>
      </c>
      <c r="B19" s="40" t="inlineStr">
        <is>
          <t>Professional indemnity insurance covering misconduct and negligence</t>
        </is>
      </c>
      <c r="C19" s="35" t="inlineStr">
        <is>
          <t>Not Started</t>
        </is>
      </c>
      <c r="D19" s="41" t="inlineStr">
        <is>
          <t>CRITICAL</t>
        </is>
      </c>
      <c r="E19" s="42" t="n"/>
      <c r="F19" s="79" t="n"/>
      <c r="G19" s="79" t="n"/>
      <c r="H19" s="44" t="inlineStr">
        <is>
          <t>DORA Art. 27(1)(e); RTS Art. 7(1)</t>
        </is>
      </c>
      <c r="I19" s="45" t="n"/>
      <c r="J19" s="35" t="n"/>
    </row>
    <row r="20">
      <c r="A20" s="39" t="inlineStr">
        <is>
          <t>3.15</t>
        </is>
      </c>
      <c r="B20" s="40" t="inlineStr">
        <is>
          <t>Certifications per recognized market standards</t>
        </is>
      </c>
      <c r="C20" s="35" t="inlineStr">
        <is>
          <t>Not Started</t>
        </is>
      </c>
      <c r="D20" s="46" t="inlineStr">
        <is>
          <t>HIGH</t>
        </is>
      </c>
      <c r="E20" s="42" t="n"/>
      <c r="F20" s="79" t="n"/>
      <c r="G20" s="79" t="n"/>
      <c r="H20" s="44" t="inlineStr">
        <is>
          <t>DORA Art. 27(1)(c); RTS Art. 7(1)</t>
        </is>
      </c>
      <c r="I20" s="45" t="n"/>
      <c r="J20" s="35" t="n"/>
    </row>
    <row r="21">
      <c r="A21" s="39" t="inlineStr">
        <is>
          <t>3.16</t>
        </is>
      </c>
      <c r="B21" s="40" t="inlineStr">
        <is>
          <t>No conflict of interest with entity or involved ICT providers</t>
        </is>
      </c>
      <c r="C21" s="35" t="inlineStr">
        <is>
          <t>Not Started</t>
        </is>
      </c>
      <c r="D21" s="41" t="inlineStr">
        <is>
          <t>CRITICAL</t>
        </is>
      </c>
      <c r="E21" s="42" t="n"/>
      <c r="F21" s="79" t="n"/>
      <c r="G21" s="79" t="n"/>
      <c r="H21" s="44" t="inlineStr">
        <is>
          <t>RTS Art. 7(1)</t>
        </is>
      </c>
      <c r="I21" s="45" t="n"/>
      <c r="J21" s="35" t="n"/>
    </row>
    <row r="22">
      <c r="A22" s="39" t="inlineStr">
        <is>
          <t>3.17</t>
        </is>
      </c>
      <c r="B22" s="40" t="inlineStr">
        <is>
          <t>Not simultaneously performing blue team tasks for the entity</t>
        </is>
      </c>
      <c r="C22" s="35" t="inlineStr">
        <is>
          <t>Not Started</t>
        </is>
      </c>
      <c r="D22" s="41" t="inlineStr">
        <is>
          <t>CRITICAL</t>
        </is>
      </c>
      <c r="E22" s="42" t="n"/>
      <c r="F22" s="79" t="n"/>
      <c r="G22" s="79" t="n"/>
      <c r="H22" s="44" t="inlineStr">
        <is>
          <t>RTS Art. 7(1); TIBER-EU Procurement Guidance</t>
        </is>
      </c>
      <c r="I22" s="45" t="n"/>
      <c r="J22" s="35" t="n"/>
    </row>
    <row r="23">
      <c r="A23" s="39" t="inlineStr">
        <is>
          <t>3.18</t>
        </is>
      </c>
      <c r="B23" s="40" t="inlineStr">
        <is>
          <t>Open source intelligence gathering</t>
        </is>
      </c>
      <c r="C23" s="35" t="inlineStr">
        <is>
          <t>Not Started</t>
        </is>
      </c>
      <c r="D23" s="46" t="inlineStr">
        <is>
          <t>HIGH</t>
        </is>
      </c>
      <c r="E23" s="42" t="n"/>
      <c r="F23" s="79" t="n"/>
      <c r="G23" s="79" t="n"/>
      <c r="H23" s="44" t="inlineStr">
        <is>
          <t>TIBER-EU Procurement Guidance</t>
        </is>
      </c>
      <c r="I23" s="45" t="n"/>
      <c r="J23" s="35" t="n"/>
    </row>
    <row r="24">
      <c r="A24" s="39" t="inlineStr">
        <is>
          <t>3.19</t>
        </is>
      </c>
      <c r="B24" s="40" t="inlineStr">
        <is>
          <t>Exploit development</t>
        </is>
      </c>
      <c r="C24" s="35" t="inlineStr">
        <is>
          <t>Not Started</t>
        </is>
      </c>
      <c r="D24" s="46" t="inlineStr">
        <is>
          <t>HIGH</t>
        </is>
      </c>
      <c r="E24" s="42" t="n"/>
      <c r="F24" s="79" t="n"/>
      <c r="G24" s="79" t="n"/>
      <c r="H24" s="44" t="inlineStr">
        <is>
          <t>TIBER-EU Procurement Guidance</t>
        </is>
      </c>
      <c r="I24" s="45" t="n"/>
      <c r="J24" s="35" t="n"/>
    </row>
    <row r="25">
      <c r="A25" s="39" t="inlineStr">
        <is>
          <t>3.20</t>
        </is>
      </c>
      <c r="B25" s="40" t="inlineStr">
        <is>
          <t>Custom malware development</t>
        </is>
      </c>
      <c r="C25" s="35" t="inlineStr">
        <is>
          <t>Not Started</t>
        </is>
      </c>
      <c r="D25" s="46" t="inlineStr">
        <is>
          <t>HIGH</t>
        </is>
      </c>
      <c r="E25" s="42" t="n"/>
      <c r="F25" s="79" t="n"/>
      <c r="G25" s="79" t="n"/>
      <c r="H25" s="44" t="inlineStr">
        <is>
          <t>TIBER-EU Procurement Guidance</t>
        </is>
      </c>
      <c r="I25" s="45" t="n"/>
      <c r="J25" s="35" t="n"/>
    </row>
    <row r="26">
      <c r="A26" s="39" t="inlineStr">
        <is>
          <t>3.21</t>
        </is>
      </c>
      <c r="B26" s="40" t="inlineStr">
        <is>
          <t>Active Directory based exploitation</t>
        </is>
      </c>
      <c r="C26" s="35" t="inlineStr">
        <is>
          <t>Not Started</t>
        </is>
      </c>
      <c r="D26" s="46" t="inlineStr">
        <is>
          <t>HIGH</t>
        </is>
      </c>
      <c r="E26" s="42" t="n"/>
      <c r="F26" s="79" t="n"/>
      <c r="G26" s="79" t="n"/>
      <c r="H26" s="44" t="inlineStr">
        <is>
          <t>TIBER-EU Procurement Guidance</t>
        </is>
      </c>
      <c r="I26" s="45" t="n"/>
      <c r="J26" s="35" t="n"/>
    </row>
    <row r="27">
      <c r="A27" s="39" t="inlineStr">
        <is>
          <t>3.22</t>
        </is>
      </c>
      <c r="B27" s="40" t="inlineStr">
        <is>
          <t>Physical security testing</t>
        </is>
      </c>
      <c r="C27" s="35" t="inlineStr">
        <is>
          <t>Not Started</t>
        </is>
      </c>
      <c r="D27" s="51" t="inlineStr">
        <is>
          <t>MEDIUM</t>
        </is>
      </c>
      <c r="E27" s="42" t="n"/>
      <c r="F27" s="79" t="n"/>
      <c r="G27" s="79" t="n"/>
      <c r="H27" s="44" t="inlineStr">
        <is>
          <t>TIBER-EU Procurement Guidance</t>
        </is>
      </c>
      <c r="I27" s="45" t="n"/>
      <c r="J27" s="35" t="n"/>
    </row>
    <row r="28">
      <c r="A28" s="39" t="inlineStr">
        <is>
          <t>3.23</t>
        </is>
      </c>
      <c r="B28" s="40" t="inlineStr">
        <is>
          <t>HID-based attacks</t>
        </is>
      </c>
      <c r="C28" s="35" t="inlineStr">
        <is>
          <t>Not Started</t>
        </is>
      </c>
      <c r="D28" s="51" t="inlineStr">
        <is>
          <t>MEDIUM</t>
        </is>
      </c>
      <c r="E28" s="42" t="n"/>
      <c r="F28" s="79" t="n"/>
      <c r="G28" s="79" t="n"/>
      <c r="H28" s="44" t="inlineStr">
        <is>
          <t>TIBER-EU Procurement Guidance</t>
        </is>
      </c>
      <c r="I28" s="45" t="n"/>
      <c r="J28" s="35" t="n"/>
    </row>
    <row r="29">
      <c r="A29" s="39" t="inlineStr">
        <is>
          <t>3.24</t>
        </is>
      </c>
      <c r="B29" s="40" t="inlineStr">
        <is>
          <t>AV/EDR/NDR/XDR bypass</t>
        </is>
      </c>
      <c r="C29" s="35" t="inlineStr">
        <is>
          <t>Not Started</t>
        </is>
      </c>
      <c r="D29" s="46" t="inlineStr">
        <is>
          <t>HIGH</t>
        </is>
      </c>
      <c r="E29" s="42" t="n"/>
      <c r="F29" s="79" t="n"/>
      <c r="G29" s="79" t="n"/>
      <c r="H29" s="44" t="inlineStr">
        <is>
          <t>TIBER-EU Procurement Guidance</t>
        </is>
      </c>
      <c r="I29" s="45" t="n"/>
      <c r="J29" s="35" t="n"/>
    </row>
    <row r="30">
      <c r="A30" s="39" t="inlineStr">
        <is>
          <t>3.25</t>
        </is>
      </c>
      <c r="B30" s="40" t="inlineStr">
        <is>
          <t>Email security solutions bypass</t>
        </is>
      </c>
      <c r="C30" s="35" t="inlineStr">
        <is>
          <t>Not Started</t>
        </is>
      </c>
      <c r="D30" s="46" t="inlineStr">
        <is>
          <t>HIGH</t>
        </is>
      </c>
      <c r="E30" s="42" t="n"/>
      <c r="F30" s="79" t="n"/>
      <c r="G30" s="79" t="n"/>
      <c r="H30" s="44" t="inlineStr">
        <is>
          <t>TIBER-EU Procurement Guidance</t>
        </is>
      </c>
      <c r="I30" s="45" t="n"/>
      <c r="J30" s="35" t="n"/>
    </row>
    <row r="31">
      <c r="A31" s="39" t="inlineStr">
        <is>
          <t>3.26</t>
        </is>
      </c>
      <c r="B31" s="40" t="inlineStr">
        <is>
          <t>Secure web gateway bypass</t>
        </is>
      </c>
      <c r="C31" s="35" t="inlineStr">
        <is>
          <t>Not Started</t>
        </is>
      </c>
      <c r="D31" s="51" t="inlineStr">
        <is>
          <t>MEDIUM</t>
        </is>
      </c>
      <c r="E31" s="42" t="n"/>
      <c r="F31" s="79" t="n"/>
      <c r="G31" s="79" t="n"/>
      <c r="H31" s="44" t="inlineStr">
        <is>
          <t>TIBER-EU Procurement Guidance</t>
        </is>
      </c>
      <c r="I31" s="45" t="n"/>
      <c r="J31" s="35" t="n"/>
    </row>
    <row r="32">
      <c r="A32" s="39" t="inlineStr">
        <is>
          <t>3.27</t>
        </is>
      </c>
      <c r="B32" s="40" t="inlineStr">
        <is>
          <t>Anti-phishing solutions bypass</t>
        </is>
      </c>
      <c r="C32" s="35" t="inlineStr">
        <is>
          <t>Not Started</t>
        </is>
      </c>
      <c r="D32" s="51" t="inlineStr">
        <is>
          <t>MEDIUM</t>
        </is>
      </c>
      <c r="E32" s="42" t="n"/>
      <c r="F32" s="79" t="n"/>
      <c r="G32" s="79" t="n"/>
      <c r="H32" s="44" t="inlineStr">
        <is>
          <t>TIBER-EU Procurement Guidance</t>
        </is>
      </c>
      <c r="I32" s="45" t="n"/>
      <c r="J32" s="35" t="n"/>
    </row>
    <row r="33">
      <c r="A33" s="39" t="inlineStr">
        <is>
          <t>3.28</t>
        </is>
      </c>
      <c r="B33" s="40" t="inlineStr">
        <is>
          <t>Web/API/Mobile penetration testing</t>
        </is>
      </c>
      <c r="C33" s="35" t="inlineStr">
        <is>
          <t>Not Started</t>
        </is>
      </c>
      <c r="D33" s="46" t="inlineStr">
        <is>
          <t>HIGH</t>
        </is>
      </c>
      <c r="E33" s="42" t="n"/>
      <c r="F33" s="79" t="n"/>
      <c r="G33" s="79" t="n"/>
      <c r="H33" s="44" t="inlineStr">
        <is>
          <t>TIBER-EU Procurement Guidance</t>
        </is>
      </c>
      <c r="I33" s="45" t="n"/>
      <c r="J33" s="35" t="n"/>
    </row>
    <row r="34">
      <c r="A34" s="39" t="inlineStr">
        <is>
          <t>3.29</t>
        </is>
      </c>
      <c r="B34" s="40" t="inlineStr">
        <is>
          <t>Mainframe testing (if applicable)</t>
        </is>
      </c>
      <c r="C34" s="35" t="inlineStr">
        <is>
          <t>Not Started</t>
        </is>
      </c>
      <c r="D34" s="51" t="inlineStr">
        <is>
          <t>MEDIUM</t>
        </is>
      </c>
      <c r="E34" s="42" t="n"/>
      <c r="F34" s="79" t="n"/>
      <c r="G34" s="79" t="n"/>
      <c r="H34" s="44" t="inlineStr">
        <is>
          <t>TIBER-EU Procurement Guidance</t>
        </is>
      </c>
      <c r="I34" s="45" t="n"/>
      <c r="J34" s="35" t="n"/>
    </row>
    <row r="35">
      <c r="A35" s="39" t="inlineStr">
        <is>
          <t>3.30</t>
        </is>
      </c>
      <c r="B35" s="40" t="inlineStr">
        <is>
          <t>Wi-Fi penetration testing</t>
        </is>
      </c>
      <c r="C35" s="35" t="inlineStr">
        <is>
          <t>Not Started</t>
        </is>
      </c>
      <c r="D35" s="51" t="inlineStr">
        <is>
          <t>MEDIUM</t>
        </is>
      </c>
      <c r="E35" s="42" t="n"/>
      <c r="F35" s="79" t="n"/>
      <c r="G35" s="79" t="n"/>
      <c r="H35" s="44" t="inlineStr">
        <is>
          <t>TIBER-EU Procurement Guidance</t>
        </is>
      </c>
      <c r="I35" s="45" t="n"/>
      <c r="J35" s="35" t="n"/>
    </row>
    <row r="36">
      <c r="A36" s="39" t="inlineStr">
        <is>
          <t>3.31</t>
        </is>
      </c>
      <c r="B36" s="40" t="inlineStr">
        <is>
          <t>Social engineering</t>
        </is>
      </c>
      <c r="C36" s="35" t="inlineStr">
        <is>
          <t>Not Started</t>
        </is>
      </c>
      <c r="D36" s="46" t="inlineStr">
        <is>
          <t>HIGH</t>
        </is>
      </c>
      <c r="E36" s="42" t="n"/>
      <c r="F36" s="79" t="n"/>
      <c r="G36" s="79" t="n"/>
      <c r="H36" s="44" t="inlineStr">
        <is>
          <t>TIBER-EU Procurement Guidance</t>
        </is>
      </c>
      <c r="I36" s="45" t="n"/>
      <c r="J36" s="35" t="n"/>
    </row>
    <row r="37">
      <c r="A37" s="39" t="inlineStr">
        <is>
          <t>3.32</t>
        </is>
      </c>
      <c r="B37" s="40" t="inlineStr">
        <is>
          <t>Incident response knowledge</t>
        </is>
      </c>
      <c r="C37" s="35" t="inlineStr">
        <is>
          <t>Not Started</t>
        </is>
      </c>
      <c r="D37" s="51" t="inlineStr">
        <is>
          <t>MEDIUM</t>
        </is>
      </c>
      <c r="E37" s="42" t="n"/>
      <c r="F37" s="79" t="n"/>
      <c r="G37" s="79" t="n"/>
      <c r="H37" s="44" t="inlineStr">
        <is>
          <t>TIBER-EU Procurement Guidance</t>
        </is>
      </c>
      <c r="I37" s="45" t="n"/>
      <c r="J37" s="35" t="n"/>
    </row>
    <row r="38">
      <c r="A38" s="39" t="inlineStr">
        <is>
          <t>3.33</t>
        </is>
      </c>
      <c r="B38" s="40" t="inlineStr">
        <is>
          <t>Offensive security tool development</t>
        </is>
      </c>
      <c r="C38" s="35" t="inlineStr">
        <is>
          <t>Not Started</t>
        </is>
      </c>
      <c r="D38" s="51" t="inlineStr">
        <is>
          <t>MEDIUM</t>
        </is>
      </c>
      <c r="E38" s="42" t="n"/>
      <c r="F38" s="79" t="n"/>
      <c r="G38" s="79" t="n"/>
      <c r="H38" s="44" t="inlineStr">
        <is>
          <t>TIBER-EU Procurement Guidance</t>
        </is>
      </c>
      <c r="I38" s="45" t="n"/>
      <c r="J38" s="35" t="n"/>
    </row>
    <row r="39">
      <c r="A39" s="26" t="n"/>
      <c r="B39" s="47" t="inlineStr">
        <is>
          <t>TIP: When evaluating red team providers, certifications tell part of the story. OSCE, OSED, OSEP, OSWE, and CRTO indicate the team can operate beyond standard penetration testing - custom exploit development, EDR bypass, full red team operations. CVE publications tell the rest: a provider that finds and responsibly discloses vulnerabilities in enterprise software (SAP, CyberArk, IBM, F5) demonstrates research depth that translates directly to TLPT quality.</t>
        </is>
      </c>
      <c r="C39" s="26" t="n"/>
      <c r="D39" s="26" t="n"/>
      <c r="E39" s="26" t="n"/>
      <c r="F39" s="26" t="n"/>
      <c r="G39" s="26" t="n"/>
      <c r="H39" s="26" t="n"/>
      <c r="I39" s="26" t="n"/>
      <c r="J39" s="26" t="n"/>
    </row>
    <row r="40">
      <c r="A40" s="48" t="inlineStr">
        <is>
          <t>3C: Contracting Essentials</t>
        </is>
      </c>
      <c r="B40" s="76" t="n"/>
      <c r="C40" s="76" t="n"/>
      <c r="D40" s="76" t="n"/>
      <c r="E40" s="76" t="n"/>
      <c r="F40" s="76" t="n"/>
      <c r="G40" s="76" t="n"/>
      <c r="H40" s="76" t="n"/>
      <c r="I40" s="76" t="n"/>
      <c r="J40" s="77" t="n"/>
    </row>
    <row r="41">
      <c r="A41" s="39" t="inlineStr">
        <is>
          <t>3.34</t>
        </is>
      </c>
      <c r="B41" s="40" t="inlineStr">
        <is>
          <t>Define kill switch conditions and escalation path</t>
        </is>
      </c>
      <c r="C41" s="35" t="inlineStr">
        <is>
          <t>Not Started</t>
        </is>
      </c>
      <c r="D41" s="41" t="inlineStr">
        <is>
          <t>CRITICAL</t>
        </is>
      </c>
      <c r="E41" s="42" t="n"/>
      <c r="F41" s="79" t="n"/>
      <c r="G41" s="79" t="n"/>
      <c r="H41" s="44" t="inlineStr">
        <is>
          <t>RTS Art. 11(10); RTS Art. 5</t>
        </is>
      </c>
      <c r="I41" s="45" t="n"/>
      <c r="J41" s="35" t="n"/>
    </row>
    <row r="42">
      <c r="A42" s="39" t="inlineStr">
        <is>
          <t>3.35</t>
        </is>
      </c>
      <c r="B42" s="40" t="inlineStr">
        <is>
          <t>Specify data handling: generation, storage, aggregation, reporting, destruction</t>
        </is>
      </c>
      <c r="C42" s="35" t="inlineStr">
        <is>
          <t>Not Started</t>
        </is>
      </c>
      <c r="D42" s="41" t="inlineStr">
        <is>
          <t>CRITICAL</t>
        </is>
      </c>
      <c r="E42" s="42" t="n"/>
      <c r="F42" s="79" t="n"/>
      <c r="G42" s="79" t="n"/>
      <c r="H42" s="44" t="inlineStr">
        <is>
          <t>DORA Art. 27(3); TIBER-EU Procurement Guidance</t>
        </is>
      </c>
      <c r="I42" s="45" t="n"/>
      <c r="J42" s="35" t="n"/>
    </row>
    <row r="43">
      <c r="A43" s="39" t="inlineStr">
        <is>
          <t>3.36</t>
        </is>
      </c>
      <c r="B43" s="40" t="inlineStr">
        <is>
          <t>Define scope boundaries: what is permitted vs. prohibited</t>
        </is>
      </c>
      <c r="C43" s="35" t="inlineStr">
        <is>
          <t>Not Started</t>
        </is>
      </c>
      <c r="D43" s="41" t="inlineStr">
        <is>
          <t>CRITICAL</t>
        </is>
      </c>
      <c r="E43" s="42" t="n"/>
      <c r="F43" s="79" t="n"/>
      <c r="G43" s="79" t="n"/>
      <c r="H43" s="44" t="inlineStr">
        <is>
          <t>RTS Art. 11(1); RTS Annex IV</t>
        </is>
      </c>
      <c r="I43" s="45" t="n"/>
      <c r="J43" s="35" t="n"/>
    </row>
    <row r="44">
      <c r="A44" s="39" t="inlineStr">
        <is>
          <t>3.37</t>
        </is>
      </c>
      <c r="B44" s="40" t="inlineStr">
        <is>
          <t>Include professional indemnity insurance requirements</t>
        </is>
      </c>
      <c r="C44" s="35" t="inlineStr">
        <is>
          <t>Not Started</t>
        </is>
      </c>
      <c r="D44" s="41" t="inlineStr">
        <is>
          <t>CRITICAL</t>
        </is>
      </c>
      <c r="E44" s="42" t="n"/>
      <c r="F44" s="79" t="n"/>
      <c r="G44" s="79" t="n"/>
      <c r="H44" s="44" t="inlineStr">
        <is>
          <t>DORA Art. 27(1)(e)</t>
        </is>
      </c>
      <c r="I44" s="45" t="n"/>
      <c r="J44" s="35" t="n"/>
    </row>
    <row r="45">
      <c r="A45" s="39" t="inlineStr">
        <is>
          <t>3.38</t>
        </is>
      </c>
      <c r="B45" s="40" t="inlineStr">
        <is>
          <t>Specify weekly reporting cadence and format</t>
        </is>
      </c>
      <c r="C45" s="35" t="inlineStr">
        <is>
          <t>Not Started</t>
        </is>
      </c>
      <c r="D45" s="46" t="inlineStr">
        <is>
          <t>HIGH</t>
        </is>
      </c>
      <c r="E45" s="42" t="n"/>
      <c r="F45" s="79" t="n"/>
      <c r="G45" s="79" t="n"/>
      <c r="H45" s="44" t="inlineStr">
        <is>
          <t>RTS Art. 11(7)</t>
        </is>
      </c>
      <c r="I45" s="45" t="n"/>
      <c r="J45" s="35" t="n"/>
    </row>
    <row r="46">
      <c r="A46" s="39" t="inlineStr">
        <is>
          <t>3.39</t>
        </is>
      </c>
      <c r="B46" s="40" t="inlineStr">
        <is>
          <t>Define leg-up process and approval chain</t>
        </is>
      </c>
      <c r="C46" s="35" t="inlineStr">
        <is>
          <t>Not Started</t>
        </is>
      </c>
      <c r="D46" s="46" t="inlineStr">
        <is>
          <t>HIGH</t>
        </is>
      </c>
      <c r="E46" s="42" t="n"/>
      <c r="F46" s="79" t="n"/>
      <c r="G46" s="79" t="n"/>
      <c r="H46" s="44" t="inlineStr">
        <is>
          <t>RTS Art. 11(8)</t>
        </is>
      </c>
      <c r="I46" s="45" t="n"/>
      <c r="J46" s="35" t="n"/>
    </row>
    <row r="47">
      <c r="A47" s="39" t="inlineStr">
        <is>
          <t>3.40</t>
        </is>
      </c>
      <c r="B47" s="40" t="inlineStr">
        <is>
          <t>Address intellectual property and confidentiality</t>
        </is>
      </c>
      <c r="C47" s="35" t="inlineStr">
        <is>
          <t>Not Started</t>
        </is>
      </c>
      <c r="D47" s="46" t="inlineStr">
        <is>
          <t>HIGH</t>
        </is>
      </c>
      <c r="E47" s="42" t="n"/>
      <c r="F47" s="79" t="n"/>
      <c r="G47" s="79" t="n"/>
      <c r="H47" s="44" t="inlineStr">
        <is>
          <t>DORA Art. 27(3)</t>
        </is>
      </c>
      <c r="I47" s="45" t="n"/>
      <c r="J47" s="35" t="n"/>
    </row>
    <row r="48">
      <c r="A48" s="39" t="inlineStr">
        <is>
          <t>3.41</t>
        </is>
      </c>
      <c r="B48" s="40" t="inlineStr">
        <is>
          <t>Include regulatory access provisions (TM may request reports)</t>
        </is>
      </c>
      <c r="C48" s="35" t="inlineStr">
        <is>
          <t>Not Started</t>
        </is>
      </c>
      <c r="D48" s="41" t="inlineStr">
        <is>
          <t>CRITICAL</t>
        </is>
      </c>
      <c r="E48" s="42" t="n"/>
      <c r="F48" s="79" t="n"/>
      <c r="G48" s="79" t="n"/>
      <c r="H48" s="44" t="inlineStr">
        <is>
          <t>RTS Art. 12(3)</t>
        </is>
      </c>
      <c r="I48" s="45" t="n"/>
      <c r="J48" s="35" t="n"/>
    </row>
    <row r="49">
      <c r="A49" s="39" t="inlineStr">
        <is>
          <t>3.42</t>
        </is>
      </c>
      <c r="B49" s="40" t="inlineStr">
        <is>
          <t>If same company provides TI and RT: contractual separation of teams</t>
        </is>
      </c>
      <c r="C49" s="35" t="inlineStr">
        <is>
          <t>Not Started</t>
        </is>
      </c>
      <c r="D49" s="41" t="inlineStr">
        <is>
          <t>CRITICAL</t>
        </is>
      </c>
      <c r="E49" s="42" t="n"/>
      <c r="F49" s="79" t="n"/>
      <c r="G49" s="79" t="n"/>
      <c r="H49" s="44" t="inlineStr">
        <is>
          <t>RTS Art. 7(1); TIBER-EU Procurement Guidance</t>
        </is>
      </c>
      <c r="I49" s="45" t="n"/>
      <c r="J49" s="35" t="n"/>
    </row>
    <row r="50">
      <c r="A50" s="26" t="n"/>
      <c r="B50" s="47" t="inlineStr">
        <is>
          <t>TIP: Misalignment between the TI provider and the red team is one of the most common quality problems in TLPTs. The TTIR describes threat actors and scenarios in abstract terms; the red team needs concrete attack paths. If the TI provider writes 'APT group X targets SWIFT infrastructure via spear-phishing' without specifying which roles to target, which pretexts map to your organization, and what infrastructure is exposed - the red team wastes weeks translating intelligence into operations. Demand a joint working session between TI and red team before the TTIR is finalized.</t>
        </is>
      </c>
      <c r="C50" s="26" t="n"/>
      <c r="D50" s="26" t="n"/>
      <c r="E50" s="26" t="n"/>
      <c r="F50" s="26" t="n"/>
      <c r="G50" s="26" t="n"/>
      <c r="H50" s="26" t="n"/>
      <c r="I50" s="26" t="n"/>
      <c r="J50" s="26" t="n"/>
    </row>
  </sheetData>
  <sheetProtection selectLockedCells="0" selectUnlockedCells="0" sheet="1" objects="0" insertRows="1" insertHyperlinks="1" autoFilter="0" scenarios="0" formatColumns="0" deleteColumns="1" insertColumns="1" pivotTables="1" deleteRows="1" formatCells="1" formatRows="0" sort="0" password="CE4B"/>
  <mergeCells count="5">
    <mergeCell ref="A1:J1"/>
    <mergeCell ref="A14:J14"/>
    <mergeCell ref="A40:J40"/>
    <mergeCell ref="A3:J3"/>
    <mergeCell ref="A4:J4"/>
  </mergeCells>
  <conditionalFormatting sqref="A5:J49">
    <cfRule type="expression" priority="1" dxfId="4" stopIfTrue="1">
      <formula>$C5="N/A"</formula>
    </cfRule>
    <cfRule type="expression" priority="2" dxfId="5" stopIfTrue="1">
      <formula>AND($C5&lt;&gt;"Complete",$C5&lt;&gt;"N/A",$C5&lt;&gt;"",$F5&lt;&gt;"",$F5&lt;TODAY())</formula>
    </cfRule>
    <cfRule type="expression" priority="3" dxfId="0" stopIfTrue="1">
      <formula>$C5="Complete"</formula>
    </cfRule>
  </conditionalFormatting>
  <dataValidations count="4">
    <dataValidation sqref="C5:C49" showDropDown="0" showInputMessage="0" showErrorMessage="0" allowBlank="1" errorTitle="Invalid Status" error="Select: Not Started, In Progress, Complete, N/A" type="list">
      <formula1>"Not Started,In Progress,Complete,N/A"</formula1>
    </dataValidation>
    <dataValidation sqref="J5:J49" showDropDown="0" showInputMessage="0" showErrorMessage="0" allowBlank="1" errorTitle="Invalid Risk" error="Select: High, Medium, Low" type="list">
      <formula1>"High,Medium,Low"</formula1>
    </dataValidation>
    <dataValidation sqref="F5:F49" showDropDown="0" showInputMessage="0" showErrorMessage="1" allowBlank="1" errorTitle="Invalid Date" error="Please enter a valid date" type="date" operator="greaterThan">
      <formula1>2020-01-01</formula1>
    </dataValidation>
    <dataValidation sqref="G5:G49" showDropDown="0" showInputMessage="0" showErrorMessage="1" allowBlank="1" errorTitle="Invalid Date" error="Please enter a valid date" type="date" operator="greaterThan">
      <formula1>2020-01-01</formula1>
    </dataValidation>
  </dataValidations>
  <hyperlinks>
    <hyperlink xmlns:r="http://schemas.openxmlformats.org/officeDocument/2006/relationships" ref="H5" r:id="rId1"/>
    <hyperlink xmlns:r="http://schemas.openxmlformats.org/officeDocument/2006/relationships" ref="H6" r:id="rId2"/>
    <hyperlink xmlns:r="http://schemas.openxmlformats.org/officeDocument/2006/relationships" ref="H7" r:id="rId3"/>
    <hyperlink xmlns:r="http://schemas.openxmlformats.org/officeDocument/2006/relationships" ref="H8" r:id="rId4"/>
    <hyperlink xmlns:r="http://schemas.openxmlformats.org/officeDocument/2006/relationships" ref="H9" r:id="rId5"/>
    <hyperlink xmlns:r="http://schemas.openxmlformats.org/officeDocument/2006/relationships" ref="H10" r:id="rId6"/>
    <hyperlink xmlns:r="http://schemas.openxmlformats.org/officeDocument/2006/relationships" ref="H11" r:id="rId7"/>
    <hyperlink xmlns:r="http://schemas.openxmlformats.org/officeDocument/2006/relationships" ref="H12" r:id="rId8"/>
    <hyperlink xmlns:r="http://schemas.openxmlformats.org/officeDocument/2006/relationships" ref="H13" r:id="rId9"/>
    <hyperlink xmlns:r="http://schemas.openxmlformats.org/officeDocument/2006/relationships" ref="H15" r:id="rId10"/>
    <hyperlink xmlns:r="http://schemas.openxmlformats.org/officeDocument/2006/relationships" ref="H16" r:id="rId11"/>
    <hyperlink xmlns:r="http://schemas.openxmlformats.org/officeDocument/2006/relationships" ref="H17" r:id="rId12"/>
    <hyperlink xmlns:r="http://schemas.openxmlformats.org/officeDocument/2006/relationships" ref="H18" r:id="rId13"/>
    <hyperlink xmlns:r="http://schemas.openxmlformats.org/officeDocument/2006/relationships" ref="H19" r:id="rId14"/>
    <hyperlink xmlns:r="http://schemas.openxmlformats.org/officeDocument/2006/relationships" ref="H20" r:id="rId15"/>
    <hyperlink xmlns:r="http://schemas.openxmlformats.org/officeDocument/2006/relationships" ref="H21" r:id="rId16"/>
    <hyperlink xmlns:r="http://schemas.openxmlformats.org/officeDocument/2006/relationships" ref="H22" r:id="rId17"/>
    <hyperlink xmlns:r="http://schemas.openxmlformats.org/officeDocument/2006/relationships" ref="H23" r:id="rId18"/>
    <hyperlink xmlns:r="http://schemas.openxmlformats.org/officeDocument/2006/relationships" ref="H24" r:id="rId19"/>
    <hyperlink xmlns:r="http://schemas.openxmlformats.org/officeDocument/2006/relationships" ref="H25" r:id="rId20"/>
    <hyperlink xmlns:r="http://schemas.openxmlformats.org/officeDocument/2006/relationships" ref="H26" r:id="rId21"/>
    <hyperlink xmlns:r="http://schemas.openxmlformats.org/officeDocument/2006/relationships" ref="H27" r:id="rId22"/>
    <hyperlink xmlns:r="http://schemas.openxmlformats.org/officeDocument/2006/relationships" ref="H28" r:id="rId23"/>
    <hyperlink xmlns:r="http://schemas.openxmlformats.org/officeDocument/2006/relationships" ref="H29" r:id="rId24"/>
    <hyperlink xmlns:r="http://schemas.openxmlformats.org/officeDocument/2006/relationships" ref="H30" r:id="rId25"/>
    <hyperlink xmlns:r="http://schemas.openxmlformats.org/officeDocument/2006/relationships" ref="H31" r:id="rId26"/>
    <hyperlink xmlns:r="http://schemas.openxmlformats.org/officeDocument/2006/relationships" ref="H32" r:id="rId27"/>
    <hyperlink xmlns:r="http://schemas.openxmlformats.org/officeDocument/2006/relationships" ref="H33" r:id="rId28"/>
    <hyperlink xmlns:r="http://schemas.openxmlformats.org/officeDocument/2006/relationships" ref="H34" r:id="rId29"/>
    <hyperlink xmlns:r="http://schemas.openxmlformats.org/officeDocument/2006/relationships" ref="H35" r:id="rId30"/>
    <hyperlink xmlns:r="http://schemas.openxmlformats.org/officeDocument/2006/relationships" ref="H36" r:id="rId31"/>
    <hyperlink xmlns:r="http://schemas.openxmlformats.org/officeDocument/2006/relationships" ref="H37" r:id="rId32"/>
    <hyperlink xmlns:r="http://schemas.openxmlformats.org/officeDocument/2006/relationships" ref="H38" r:id="rId33"/>
    <hyperlink xmlns:r="http://schemas.openxmlformats.org/officeDocument/2006/relationships" ref="H41" r:id="rId34"/>
    <hyperlink xmlns:r="http://schemas.openxmlformats.org/officeDocument/2006/relationships" ref="H42" r:id="rId35"/>
    <hyperlink xmlns:r="http://schemas.openxmlformats.org/officeDocument/2006/relationships" ref="H43" r:id="rId36"/>
    <hyperlink xmlns:r="http://schemas.openxmlformats.org/officeDocument/2006/relationships" ref="H44" r:id="rId37"/>
    <hyperlink xmlns:r="http://schemas.openxmlformats.org/officeDocument/2006/relationships" ref="H45" r:id="rId38"/>
    <hyperlink xmlns:r="http://schemas.openxmlformats.org/officeDocument/2006/relationships" ref="H46" r:id="rId39"/>
    <hyperlink xmlns:r="http://schemas.openxmlformats.org/officeDocument/2006/relationships" ref="H47" r:id="rId40"/>
    <hyperlink xmlns:r="http://schemas.openxmlformats.org/officeDocument/2006/relationships" ref="H48" r:id="rId41"/>
    <hyperlink xmlns:r="http://schemas.openxmlformats.org/officeDocument/2006/relationships" ref="H49" r:id="rId42"/>
  </hyperlinks>
  <pageMargins left="0.75" right="0.75" top="1" bottom="1" header="0.5" footer="0.5"/>
  <pageSetup orientation="landscape" fitToHeight="0" fitToWidth="1"/>
  <headerFooter>
    <oddHeader>&amp;LAFINE | TLPT DORA Readiness Tracker&amp;RPage &amp;P of &amp;N</oddHeader>
    <oddFooter>&amp;CAFINE sp. z o.o. | afine.com</oddFooter>
    <evenHeader/>
    <evenFooter/>
    <firstHeader/>
    <firstFooter/>
  </headerFooter>
</worksheet>
</file>

<file path=xl/worksheets/sheet6.xml><?xml version="1.0" encoding="utf-8"?>
<worksheet xmlns="http://schemas.openxmlformats.org/spreadsheetml/2006/main">
  <sheetPr>
    <tabColor rgb="0027AE60"/>
    <outlinePr summaryBelow="1" summaryRight="1"/>
    <pageSetUpPr fitToPage="1"/>
  </sheetPr>
  <dimension ref="A1:J57"/>
  <sheetViews>
    <sheetView workbookViewId="0">
      <pane xSplit="2" ySplit="3" topLeftCell="C4" activePane="bottomRight" state="frozen"/>
      <selection pane="topRight" activeCell="A1" sqref="A1"/>
      <selection pane="bottomLeft" activeCell="A1" sqref="A1"/>
      <selection pane="bottomRight" activeCell="A1" sqref="A1"/>
    </sheetView>
  </sheetViews>
  <sheetFormatPr baseColWidth="8" defaultRowHeight="15"/>
  <cols>
    <col width="5" customWidth="1" min="1" max="1"/>
    <col width="55" customWidth="1" min="2" max="2"/>
    <col width="14" customWidth="1" min="3" max="3"/>
    <col width="12" customWidth="1" min="4" max="4"/>
    <col width="15" customWidth="1" min="5" max="5"/>
    <col width="12" customWidth="1" min="6" max="6"/>
    <col width="12" customWidth="1" min="7" max="7"/>
    <col width="18" customWidth="1" min="8" max="8"/>
    <col width="35" customWidth="1" min="9" max="9"/>
    <col width="12" customWidth="1" min="10" max="10"/>
  </cols>
  <sheetData>
    <row r="1">
      <c r="A1" s="36" t="inlineStr">
        <is>
          <t>Module 4: PREPARATION PHASE</t>
        </is>
      </c>
    </row>
    <row r="2">
      <c r="A2" s="37" t="inlineStr">
        <is>
          <t>#</t>
        </is>
      </c>
      <c r="B2" s="37" t="inlineStr">
        <is>
          <t>Checklist Item</t>
        </is>
      </c>
      <c r="C2" s="37" t="inlineStr">
        <is>
          <t>Status</t>
        </is>
      </c>
      <c r="D2" s="37" t="inlineStr">
        <is>
          <t>Priority</t>
        </is>
      </c>
      <c r="E2" s="37" t="inlineStr">
        <is>
          <t>Owner</t>
        </is>
      </c>
      <c r="F2" s="37" t="inlineStr">
        <is>
          <t>Due Date</t>
        </is>
      </c>
      <c r="G2" s="37" t="inlineStr">
        <is>
          <t>Done Date</t>
        </is>
      </c>
      <c r="H2" s="37" t="inlineStr">
        <is>
          <t>RTS Reference</t>
        </is>
      </c>
      <c r="I2" s="37" t="inlineStr">
        <is>
          <t>Evidence/Notes</t>
        </is>
      </c>
      <c r="J2" s="37" t="inlineStr">
        <is>
          <t>Risk if Missed</t>
        </is>
      </c>
    </row>
    <row r="3">
      <c r="A3" s="38">
        <f>"Progress: "&amp;COUNTIF(C5:C55,"Complete")&amp;" / 45 complete ("&amp;IF(45=0,0,ROUND(COUNTIF(C5:C55,"Complete")/45*100,0))&amp;"%)"</f>
        <v/>
      </c>
      <c r="B3" s="76" t="n"/>
      <c r="C3" s="76" t="n"/>
      <c r="D3" s="76" t="n"/>
      <c r="E3" s="76" t="n"/>
      <c r="F3" s="76" t="n"/>
      <c r="G3" s="76" t="n"/>
      <c r="H3" s="76" t="n"/>
      <c r="I3" s="76" t="n"/>
      <c r="J3" s="77" t="n"/>
    </row>
    <row r="4">
      <c r="A4" s="48" t="inlineStr">
        <is>
          <t>4A: Initiation (Within 3 Months of Notification)</t>
        </is>
      </c>
      <c r="B4" s="76" t="n"/>
      <c r="C4" s="76" t="n"/>
      <c r="D4" s="76" t="n"/>
      <c r="E4" s="76" t="n"/>
      <c r="F4" s="76" t="n"/>
      <c r="G4" s="76" t="n"/>
      <c r="H4" s="76" t="n"/>
      <c r="I4" s="76" t="n"/>
      <c r="J4" s="77" t="n"/>
    </row>
    <row r="5">
      <c r="A5" s="39" t="inlineStr">
        <is>
          <t>4.1</t>
        </is>
      </c>
      <c r="B5" s="40" t="inlineStr">
        <is>
          <t>Control Team Lead name and contact details</t>
        </is>
      </c>
      <c r="C5" s="35" t="inlineStr">
        <is>
          <t>Not Started</t>
        </is>
      </c>
      <c r="D5" s="41" t="inlineStr">
        <is>
          <t>CRITICAL</t>
        </is>
      </c>
      <c r="E5" s="42" t="n"/>
      <c r="F5" s="79" t="n"/>
      <c r="G5" s="79" t="n"/>
      <c r="H5" s="44" t="inlineStr">
        <is>
          <t>RTS Art. 9(2); RTS Annex I</t>
        </is>
      </c>
      <c r="I5" s="45" t="n"/>
      <c r="J5" s="35" t="n"/>
    </row>
    <row r="6">
      <c r="A6" s="39" t="inlineStr">
        <is>
          <t>4.2</t>
        </is>
      </c>
      <c r="B6" s="40" t="inlineStr">
        <is>
          <t>Tester type decision: internal / external / hybrid</t>
        </is>
      </c>
      <c r="C6" s="35" t="inlineStr">
        <is>
          <t>Not Started</t>
        </is>
      </c>
      <c r="D6" s="41" t="inlineStr">
        <is>
          <t>CRITICAL</t>
        </is>
      </c>
      <c r="E6" s="42" t="n"/>
      <c r="F6" s="79" t="n"/>
      <c r="G6" s="79" t="n"/>
      <c r="H6" s="44" t="inlineStr">
        <is>
          <t>RTS Art. 9(2); RTS Annex I</t>
        </is>
      </c>
      <c r="I6" s="45" t="n"/>
      <c r="J6" s="35" t="n"/>
    </row>
    <row r="7">
      <c r="A7" s="39" t="inlineStr">
        <is>
          <t>4.3</t>
        </is>
      </c>
      <c r="B7" s="40" t="inlineStr">
        <is>
          <t>Communication channels: email encryption, data room, instant messaging</t>
        </is>
      </c>
      <c r="C7" s="35" t="inlineStr">
        <is>
          <t>Not Started</t>
        </is>
      </c>
      <c r="D7" s="41" t="inlineStr">
        <is>
          <t>CRITICAL</t>
        </is>
      </c>
      <c r="E7" s="42" t="n"/>
      <c r="F7" s="79" t="n"/>
      <c r="G7" s="79" t="n"/>
      <c r="H7" s="44" t="inlineStr">
        <is>
          <t>RTS Art. 9(2); RTS Annex I</t>
        </is>
      </c>
      <c r="I7" s="45" t="n"/>
      <c r="J7" s="35" t="n"/>
    </row>
    <row r="8">
      <c r="A8" s="39" t="inlineStr">
        <is>
          <t>4.4</t>
        </is>
      </c>
      <c r="B8" s="40" t="inlineStr">
        <is>
          <t>TLPT code name</t>
        </is>
      </c>
      <c r="C8" s="35" t="inlineStr">
        <is>
          <t>Not Started</t>
        </is>
      </c>
      <c r="D8" s="41" t="inlineStr">
        <is>
          <t>CRITICAL</t>
        </is>
      </c>
      <c r="E8" s="42" t="n"/>
      <c r="F8" s="79" t="n"/>
      <c r="G8" s="79" t="n"/>
      <c r="H8" s="44" t="inlineStr">
        <is>
          <t>RTS Art. 9(2); RTS Annex I</t>
        </is>
      </c>
      <c r="I8" s="45" t="n"/>
      <c r="J8" s="35" t="n"/>
    </row>
    <row r="9">
      <c r="A9" s="39" t="inlineStr">
        <is>
          <t>4.5</t>
        </is>
      </c>
      <c r="B9" s="40" t="inlineStr">
        <is>
          <t>Critical functions in other Member States (list + jurisdictions)</t>
        </is>
      </c>
      <c r="C9" s="35" t="inlineStr">
        <is>
          <t>Not Started</t>
        </is>
      </c>
      <c r="D9" s="41" t="inlineStr">
        <is>
          <t>CRITICAL</t>
        </is>
      </c>
      <c r="E9" s="42" t="n"/>
      <c r="F9" s="79" t="n"/>
      <c r="G9" s="79" t="n"/>
      <c r="H9" s="44" t="inlineStr">
        <is>
          <t>RTS Art. 9(2); RTS Annex I</t>
        </is>
      </c>
      <c r="I9" s="45" t="n"/>
      <c r="J9" s="35" t="n"/>
    </row>
    <row r="10">
      <c r="A10" s="39" t="inlineStr">
        <is>
          <t>4.6</t>
        </is>
      </c>
      <c r="B10" s="40" t="inlineStr">
        <is>
          <t>Critical functions supported by ICT third-party providers (list + provider IDs)</t>
        </is>
      </c>
      <c r="C10" s="35" t="inlineStr">
        <is>
          <t>Not Started</t>
        </is>
      </c>
      <c r="D10" s="41" t="inlineStr">
        <is>
          <t>CRITICAL</t>
        </is>
      </c>
      <c r="E10" s="42" t="n"/>
      <c r="F10" s="79" t="n"/>
      <c r="G10" s="79" t="n"/>
      <c r="H10" s="44" t="inlineStr">
        <is>
          <t>RTS Art. 9(2); RTS Annex I</t>
        </is>
      </c>
      <c r="I10" s="45" t="n"/>
      <c r="J10" s="35" t="n"/>
    </row>
    <row r="11">
      <c r="A11" s="39" t="inlineStr">
        <is>
          <t>4.7</t>
        </is>
      </c>
      <c r="B11" s="40" t="inlineStr">
        <is>
          <t>Expected completion deadlines for each phase</t>
        </is>
      </c>
      <c r="C11" s="35" t="inlineStr">
        <is>
          <t>Not Started</t>
        </is>
      </c>
      <c r="D11" s="41" t="inlineStr">
        <is>
          <t>CRITICAL</t>
        </is>
      </c>
      <c r="E11" s="42" t="n"/>
      <c r="F11" s="79" t="n"/>
      <c r="G11" s="79" t="n"/>
      <c r="H11" s="44" t="inlineStr">
        <is>
          <t>RTS Art. 9(2); RTS Annex I</t>
        </is>
      </c>
      <c r="I11" s="45" t="n"/>
      <c r="J11" s="35" t="n"/>
    </row>
    <row r="12">
      <c r="A12" s="39" t="inlineStr">
        <is>
          <t>4.8</t>
        </is>
      </c>
      <c r="B12" s="40" t="inlineStr">
        <is>
          <t>Establish encrypted communication channels with TLPT Authority</t>
        </is>
      </c>
      <c r="C12" s="35" t="inlineStr">
        <is>
          <t>Not Started</t>
        </is>
      </c>
      <c r="D12" s="41" t="inlineStr">
        <is>
          <t>CRITICAL</t>
        </is>
      </c>
      <c r="E12" s="42" t="n"/>
      <c r="F12" s="79" t="n"/>
      <c r="G12" s="79" t="n"/>
      <c r="H12" s="44" t="inlineStr">
        <is>
          <t>RTS Art. 9(2); RTS Art. 4</t>
        </is>
      </c>
      <c r="I12" s="45" t="n"/>
      <c r="J12" s="35" t="n"/>
    </row>
    <row r="13">
      <c r="A13" s="39" t="inlineStr">
        <is>
          <t>4.9</t>
        </is>
      </c>
      <c r="B13" s="40" t="inlineStr">
        <is>
          <t>Set up secure data room</t>
        </is>
      </c>
      <c r="C13" s="35" t="inlineStr">
        <is>
          <t>Not Started</t>
        </is>
      </c>
      <c r="D13" s="46" t="inlineStr">
        <is>
          <t>HIGH</t>
        </is>
      </c>
      <c r="E13" s="42" t="n"/>
      <c r="F13" s="79" t="n"/>
      <c r="G13" s="79" t="n"/>
      <c r="H13" s="44" t="inlineStr">
        <is>
          <t>RTS Art. 4</t>
        </is>
      </c>
      <c r="I13" s="45" t="n"/>
      <c r="J13" s="35" t="n"/>
    </row>
    <row r="14">
      <c r="A14" s="39" t="inlineStr">
        <is>
          <t>4.10</t>
        </is>
      </c>
      <c r="B14" s="40" t="inlineStr">
        <is>
          <t>Confirm TLPT authority has validated initiation information</t>
        </is>
      </c>
      <c r="C14" s="35" t="inlineStr">
        <is>
          <t>Not Started</t>
        </is>
      </c>
      <c r="D14" s="41" t="inlineStr">
        <is>
          <t>CRITICAL</t>
        </is>
      </c>
      <c r="E14" s="42" t="n"/>
      <c r="F14" s="79" t="n"/>
      <c r="G14" s="79" t="n"/>
      <c r="H14" s="44" t="inlineStr">
        <is>
          <t>RTS Art. 9(3)</t>
        </is>
      </c>
      <c r="I14" s="45" t="n"/>
      <c r="J14" s="35" t="n"/>
    </row>
    <row r="15">
      <c r="A15" s="39" t="inlineStr">
        <is>
          <t>4.11</t>
        </is>
      </c>
      <c r="B15" s="40" t="inlineStr">
        <is>
          <t>Confirm TLPT authority has validated control team composition</t>
        </is>
      </c>
      <c r="C15" s="35" t="inlineStr">
        <is>
          <t>Not Started</t>
        </is>
      </c>
      <c r="D15" s="41" t="inlineStr">
        <is>
          <t>CRITICAL</t>
        </is>
      </c>
      <c r="E15" s="42" t="n"/>
      <c r="F15" s="79" t="n"/>
      <c r="G15" s="79" t="n"/>
      <c r="H15" s="44" t="inlineStr">
        <is>
          <t>RTS Art. 9(5)</t>
        </is>
      </c>
      <c r="I15" s="45" t="n"/>
      <c r="J15" s="35" t="n"/>
    </row>
    <row r="16">
      <c r="A16" s="48" t="inlineStr">
        <is>
          <t>4B: Scope Specification (Within 6 Months of Notification)</t>
        </is>
      </c>
      <c r="B16" s="76" t="n"/>
      <c r="C16" s="76" t="n"/>
      <c r="D16" s="76" t="n"/>
      <c r="E16" s="76" t="n"/>
      <c r="F16" s="76" t="n"/>
      <c r="G16" s="76" t="n"/>
      <c r="H16" s="76" t="n"/>
      <c r="I16" s="76" t="n"/>
      <c r="J16" s="77" t="n"/>
    </row>
    <row r="17">
      <c r="A17" s="39" t="inlineStr">
        <is>
          <t>4.12</t>
        </is>
      </c>
      <c r="B17" s="40" t="inlineStr">
        <is>
          <t>List ALL identified critical/important functions</t>
        </is>
      </c>
      <c r="C17" s="35" t="inlineStr">
        <is>
          <t>Not Started</t>
        </is>
      </c>
      <c r="D17" s="41" t="inlineStr">
        <is>
          <t>CRITICAL</t>
        </is>
      </c>
      <c r="E17" s="42" t="n"/>
      <c r="F17" s="79" t="n"/>
      <c r="G17" s="79" t="n"/>
      <c r="H17" s="44" t="inlineStr">
        <is>
          <t>RTS Art. 9(6); RTS Annex II</t>
        </is>
      </c>
      <c r="I17" s="45" t="n"/>
      <c r="J17" s="35" t="n"/>
    </row>
    <row r="18">
      <c r="A18" s="39" t="inlineStr">
        <is>
          <t>4.13</t>
        </is>
      </c>
      <c r="B18" s="40" t="inlineStr">
        <is>
          <t>For each CIF excluded: documented justification</t>
        </is>
      </c>
      <c r="C18" s="35" t="inlineStr">
        <is>
          <t>Not Started</t>
        </is>
      </c>
      <c r="D18" s="41" t="inlineStr">
        <is>
          <t>CRITICAL</t>
        </is>
      </c>
      <c r="E18" s="42" t="n"/>
      <c r="F18" s="79" t="n"/>
      <c r="G18" s="79" t="n"/>
      <c r="H18" s="44" t="inlineStr">
        <is>
          <t>RTS Art. 9(6); RTS Annex II</t>
        </is>
      </c>
      <c r="I18" s="45" t="n"/>
      <c r="J18" s="35" t="n"/>
    </row>
    <row r="19">
      <c r="A19" s="39" t="inlineStr">
        <is>
          <t>4.14</t>
        </is>
      </c>
      <c r="B19" s="40" t="inlineStr">
        <is>
          <t>For each CIF included:</t>
        </is>
      </c>
      <c r="C19" s="35" t="inlineStr">
        <is>
          <t>Not Started</t>
        </is>
      </c>
      <c r="D19" s="41" t="inlineStr">
        <is>
          <t>CRITICAL</t>
        </is>
      </c>
      <c r="E19" s="42" t="n"/>
      <c r="F19" s="79" t="n"/>
      <c r="G19" s="79" t="n"/>
      <c r="H19" s="44" t="inlineStr">
        <is>
          <t>RTS Art. 9(6); RTS Annex II</t>
        </is>
      </c>
      <c r="I19" s="45" t="n"/>
      <c r="J19" s="35" t="n"/>
    </row>
    <row r="20">
      <c r="A20" s="39" t="inlineStr">
        <is>
          <t>4.15</t>
        </is>
      </c>
      <c r="B20" s="40" t="inlineStr">
        <is>
          <t>Inclusion rationale</t>
        </is>
      </c>
      <c r="C20" s="35" t="inlineStr">
        <is>
          <t>Not Started</t>
        </is>
      </c>
      <c r="D20" s="41" t="inlineStr">
        <is>
          <t>CRITICAL</t>
        </is>
      </c>
      <c r="E20" s="42" t="n"/>
      <c r="F20" s="79" t="n"/>
      <c r="G20" s="79" t="n"/>
      <c r="H20" s="44" t="inlineStr">
        <is>
          <t>RTS Annex II</t>
        </is>
      </c>
      <c r="I20" s="45" t="n"/>
      <c r="J20" s="35" t="n"/>
    </row>
    <row r="21">
      <c r="A21" s="39" t="inlineStr">
        <is>
          <t>4.16</t>
        </is>
      </c>
      <c r="B21" s="40" t="inlineStr">
        <is>
          <t>Supporting ICT systems identified</t>
        </is>
      </c>
      <c r="C21" s="35" t="inlineStr">
        <is>
          <t>Not Started</t>
        </is>
      </c>
      <c r="D21" s="41" t="inlineStr">
        <is>
          <t>CRITICAL</t>
        </is>
      </c>
      <c r="E21" s="42" t="n"/>
      <c r="F21" s="79" t="n"/>
      <c r="G21" s="79" t="n"/>
      <c r="H21" s="44" t="inlineStr">
        <is>
          <t>RTS Annex II</t>
        </is>
      </c>
      <c r="I21" s="45" t="n"/>
      <c r="J21" s="35" t="n"/>
    </row>
    <row r="22">
      <c r="A22" s="39" t="inlineStr">
        <is>
          <t>4.17</t>
        </is>
      </c>
      <c r="B22" s="40" t="inlineStr">
        <is>
          <t>Outsourcing status and provider identification</t>
        </is>
      </c>
      <c r="C22" s="35" t="inlineStr">
        <is>
          <t>Not Started</t>
        </is>
      </c>
      <c r="D22" s="41" t="inlineStr">
        <is>
          <t>CRITICAL</t>
        </is>
      </c>
      <c r="E22" s="42" t="n"/>
      <c r="F22" s="79" t="n"/>
      <c r="G22" s="79" t="n"/>
      <c r="H22" s="44" t="inlineStr">
        <is>
          <t>RTS Annex II</t>
        </is>
      </c>
      <c r="I22" s="45" t="n"/>
      <c r="J22" s="35" t="n"/>
    </row>
    <row r="23">
      <c r="A23" s="39" t="inlineStr">
        <is>
          <t>4.18</t>
        </is>
      </c>
      <c r="B23" s="40" t="inlineStr">
        <is>
          <t>Operating jurisdictions</t>
        </is>
      </c>
      <c r="C23" s="35" t="inlineStr">
        <is>
          <t>Not Started</t>
        </is>
      </c>
      <c r="D23" s="41" t="inlineStr">
        <is>
          <t>CRITICAL</t>
        </is>
      </c>
      <c r="E23" s="42" t="n"/>
      <c r="F23" s="79" t="n"/>
      <c r="G23" s="79" t="n"/>
      <c r="H23" s="44" t="inlineStr">
        <is>
          <t>RTS Annex II</t>
        </is>
      </c>
      <c r="I23" s="45" t="n"/>
      <c r="J23" s="35" t="n"/>
    </row>
    <row r="24">
      <c r="A24" s="39" t="inlineStr">
        <is>
          <t>4.19</t>
        </is>
      </c>
      <c r="B24" s="40" t="inlineStr">
        <is>
          <t>Preliminary flags (confidentiality, integrity, availability, authenticity)</t>
        </is>
      </c>
      <c r="C24" s="35" t="inlineStr">
        <is>
          <t>Not Started</t>
        </is>
      </c>
      <c r="D24" s="41" t="inlineStr">
        <is>
          <t>CRITICAL</t>
        </is>
      </c>
      <c r="E24" s="42" t="n"/>
      <c r="F24" s="79" t="n"/>
      <c r="G24" s="79" t="n"/>
      <c r="H24" s="44" t="inlineStr">
        <is>
          <t>RTS Annex II</t>
        </is>
      </c>
      <c r="I24" s="45" t="n"/>
      <c r="J24" s="35" t="n"/>
    </row>
    <row r="25">
      <c r="A25" s="39" t="inlineStr">
        <is>
          <t>4.20</t>
        </is>
      </c>
      <c r="B25" s="40" t="inlineStr">
        <is>
          <t>Management body formal approval obtained</t>
        </is>
      </c>
      <c r="C25" s="35" t="inlineStr">
        <is>
          <t>Not Started</t>
        </is>
      </c>
      <c r="D25" s="41" t="inlineStr">
        <is>
          <t>CRITICAL</t>
        </is>
      </c>
      <c r="E25" s="42" t="n"/>
      <c r="F25" s="79" t="n"/>
      <c r="G25" s="79" t="n"/>
      <c r="H25" s="44" t="inlineStr">
        <is>
          <t>RTS Art. 9(6)</t>
        </is>
      </c>
      <c r="I25" s="45" t="n"/>
      <c r="J25" s="35" t="n"/>
    </row>
    <row r="26">
      <c r="A26" s="39" t="inlineStr">
        <is>
          <t>4.21</t>
        </is>
      </c>
      <c r="B26" s="40" t="inlineStr">
        <is>
          <t>Scope specification submitted to TLPT Authority</t>
        </is>
      </c>
      <c r="C26" s="35" t="inlineStr">
        <is>
          <t>Not Started</t>
        </is>
      </c>
      <c r="D26" s="41" t="inlineStr">
        <is>
          <t>CRITICAL</t>
        </is>
      </c>
      <c r="E26" s="42" t="n"/>
      <c r="F26" s="79" t="n"/>
      <c r="G26" s="79" t="n"/>
      <c r="H26" s="44" t="inlineStr">
        <is>
          <t>RTS Art. 9(6)</t>
        </is>
      </c>
      <c r="I26" s="45" t="n"/>
      <c r="J26" s="35" t="n"/>
    </row>
    <row r="27">
      <c r="A27" s="39" t="inlineStr">
        <is>
          <t>4.22</t>
        </is>
      </c>
      <c r="B27" s="40" t="inlineStr">
        <is>
          <t>TLPT Authority approval received</t>
        </is>
      </c>
      <c r="C27" s="35" t="inlineStr">
        <is>
          <t>Not Started</t>
        </is>
      </c>
      <c r="D27" s="41" t="inlineStr">
        <is>
          <t>CRITICAL</t>
        </is>
      </c>
      <c r="E27" s="42" t="n"/>
      <c r="F27" s="79" t="n"/>
      <c r="G27" s="79" t="n"/>
      <c r="H27" s="44" t="inlineStr">
        <is>
          <t>RTS Art. 9(12)</t>
        </is>
      </c>
      <c r="I27" s="45" t="n"/>
      <c r="J27" s="35" t="n"/>
    </row>
    <row r="28">
      <c r="A28" s="48" t="inlineStr">
        <is>
          <t>4C: Risk Assessment (Before Testing Starts)</t>
        </is>
      </c>
      <c r="B28" s="76" t="n"/>
      <c r="C28" s="76" t="n"/>
      <c r="D28" s="76" t="n"/>
      <c r="E28" s="76" t="n"/>
      <c r="F28" s="76" t="n"/>
      <c r="G28" s="76" t="n"/>
      <c r="H28" s="76" t="n"/>
      <c r="I28" s="76" t="n"/>
      <c r="J28" s="77" t="n"/>
    </row>
    <row r="29">
      <c r="A29" s="39" t="inlineStr">
        <is>
          <t>4.23</t>
        </is>
      </c>
      <c r="B29" s="40" t="inlineStr">
        <is>
          <t>ICT risk assessment of the TLPT itself (RTS Article 5)</t>
        </is>
      </c>
      <c r="C29" s="35" t="inlineStr">
        <is>
          <t>Not Started</t>
        </is>
      </c>
      <c r="D29" s="41" t="inlineStr">
        <is>
          <t>CRITICAL</t>
        </is>
      </c>
      <c r="E29" s="42" t="n"/>
      <c r="F29" s="79" t="n"/>
      <c r="G29" s="79" t="n"/>
      <c r="H29" s="44" t="inlineStr">
        <is>
          <t>RTS Art. 5</t>
        </is>
      </c>
      <c r="I29" s="45" t="n"/>
      <c r="J29" s="35" t="n"/>
    </row>
    <row r="30">
      <c r="A30" s="39" t="inlineStr">
        <is>
          <t>4.24</t>
        </is>
      </c>
      <c r="B30" s="40" t="inlineStr">
        <is>
          <t>Consider risks of:</t>
        </is>
      </c>
      <c r="C30" s="35" t="inlineStr">
        <is>
          <t>Not Started</t>
        </is>
      </c>
      <c r="D30" s="46" t="inlineStr">
        <is>
          <t>HIGH</t>
        </is>
      </c>
      <c r="E30" s="42" t="n"/>
      <c r="F30" s="79" t="n"/>
      <c r="G30" s="79" t="n"/>
      <c r="H30" s="44" t="inlineStr">
        <is>
          <t>RTS Art. 5</t>
        </is>
      </c>
      <c r="I30" s="45" t="n"/>
      <c r="J30" s="35" t="n"/>
    </row>
    <row r="31">
      <c r="A31" s="39" t="inlineStr">
        <is>
          <t>4.25</t>
        </is>
      </c>
      <c r="B31" s="40" t="inlineStr">
        <is>
          <t>Access to sensitive information by testers</t>
        </is>
      </c>
      <c r="C31" s="35" t="inlineStr">
        <is>
          <t>Not Started</t>
        </is>
      </c>
      <c r="D31" s="46" t="inlineStr">
        <is>
          <t>HIGH</t>
        </is>
      </c>
      <c r="E31" s="42" t="n"/>
      <c r="F31" s="79" t="n"/>
      <c r="G31" s="79" t="n"/>
      <c r="H31" s="44" t="inlineStr">
        <is>
          <t>RTS Art. 5</t>
        </is>
      </c>
      <c r="I31" s="45" t="n"/>
      <c r="J31" s="35" t="n"/>
    </row>
    <row r="32">
      <c r="A32" s="39" t="inlineStr">
        <is>
          <t>4.26</t>
        </is>
      </c>
      <c r="B32" s="40" t="inlineStr">
        <is>
          <t>Regulatory compliance during testing</t>
        </is>
      </c>
      <c r="C32" s="35" t="inlineStr">
        <is>
          <t>Not Started</t>
        </is>
      </c>
      <c r="D32" s="46" t="inlineStr">
        <is>
          <t>HIGH</t>
        </is>
      </c>
      <c r="E32" s="42" t="n"/>
      <c r="F32" s="79" t="n"/>
      <c r="G32" s="79" t="n"/>
      <c r="H32" s="44" t="inlineStr">
        <is>
          <t>RTS Art. 5</t>
        </is>
      </c>
      <c r="I32" s="45" t="n"/>
      <c r="J32" s="35" t="n"/>
    </row>
    <row r="33">
      <c r="A33" s="39" t="inlineStr">
        <is>
          <t>4.27</t>
        </is>
      </c>
      <c r="B33" s="40" t="inlineStr">
        <is>
          <t>Incident escalation by blue team</t>
        </is>
      </c>
      <c r="C33" s="35" t="inlineStr">
        <is>
          <t>Not Started</t>
        </is>
      </c>
      <c r="D33" s="46" t="inlineStr">
        <is>
          <t>HIGH</t>
        </is>
      </c>
      <c r="E33" s="42" t="n"/>
      <c r="F33" s="79" t="n"/>
      <c r="G33" s="79" t="n"/>
      <c r="H33" s="44" t="inlineStr">
        <is>
          <t>RTS Art. 5</t>
        </is>
      </c>
      <c r="I33" s="45" t="n"/>
      <c r="J33" s="35" t="n"/>
    </row>
    <row r="34">
      <c r="A34" s="39" t="inlineStr">
        <is>
          <t>4.28</t>
        </is>
      </c>
      <c r="B34" s="40" t="inlineStr">
        <is>
          <t>Active red team phase disruptions to production</t>
        </is>
      </c>
      <c r="C34" s="35" t="inlineStr">
        <is>
          <t>Not Started</t>
        </is>
      </c>
      <c r="D34" s="46" t="inlineStr">
        <is>
          <t>HIGH</t>
        </is>
      </c>
      <c r="E34" s="42" t="n"/>
      <c r="F34" s="79" t="n"/>
      <c r="G34" s="79" t="n"/>
      <c r="H34" s="44" t="inlineStr">
        <is>
          <t>RTS Art. 5</t>
        </is>
      </c>
      <c r="I34" s="45" t="n"/>
      <c r="J34" s="35" t="n"/>
    </row>
    <row r="35">
      <c r="A35" s="39" t="inlineStr">
        <is>
          <t>4.29</t>
        </is>
      </c>
      <c r="B35" s="40" t="inlineStr">
        <is>
          <t>Blue team defensive actions interfering with test</t>
        </is>
      </c>
      <c r="C35" s="35" t="inlineStr">
        <is>
          <t>Not Started</t>
        </is>
      </c>
      <c r="D35" s="46" t="inlineStr">
        <is>
          <t>HIGH</t>
        </is>
      </c>
      <c r="E35" s="42" t="n"/>
      <c r="F35" s="79" t="n"/>
      <c r="G35" s="79" t="n"/>
      <c r="H35" s="44" t="inlineStr">
        <is>
          <t>RTS Art. 5</t>
        </is>
      </c>
      <c r="I35" s="45" t="n"/>
      <c r="J35" s="35" t="n"/>
    </row>
    <row r="36">
      <c r="A36" s="39" t="inlineStr">
        <is>
          <t>4.30</t>
        </is>
      </c>
      <c r="B36" s="40" t="inlineStr">
        <is>
          <t>Incomplete system restoration after testing</t>
        </is>
      </c>
      <c r="C36" s="35" t="inlineStr">
        <is>
          <t>Not Started</t>
        </is>
      </c>
      <c r="D36" s="46" t="inlineStr">
        <is>
          <t>HIGH</t>
        </is>
      </c>
      <c r="E36" s="42" t="n"/>
      <c r="F36" s="79" t="n"/>
      <c r="G36" s="79" t="n"/>
      <c r="H36" s="44" t="inlineStr">
        <is>
          <t>RTS Art. 5</t>
        </is>
      </c>
      <c r="I36" s="45" t="n"/>
      <c r="J36" s="35" t="n"/>
    </row>
    <row r="37">
      <c r="A37" s="39" t="inlineStr">
        <is>
          <t>4.31</t>
        </is>
      </c>
      <c r="B37" s="40" t="inlineStr">
        <is>
          <t>For pooled/joint TLPTs: additional multi-entity risk assessment (RTS Article 6)</t>
        </is>
      </c>
      <c r="C37" s="35" t="inlineStr">
        <is>
          <t>Not Started</t>
        </is>
      </c>
      <c r="D37" s="41" t="inlineStr">
        <is>
          <t>CRITICAL</t>
        </is>
      </c>
      <c r="E37" s="42" t="n"/>
      <c r="F37" s="79" t="n"/>
      <c r="G37" s="79" t="n"/>
      <c r="H37" s="44" t="inlineStr">
        <is>
          <t>RTS Art. 6</t>
        </is>
      </c>
      <c r="I37" s="45" t="n"/>
      <c r="J37" s="35" t="n"/>
    </row>
    <row r="38">
      <c r="A38" s="39" t="inlineStr">
        <is>
          <t>4.32</t>
        </is>
      </c>
      <c r="B38" s="40" t="inlineStr">
        <is>
          <t>Consult test managers on risk assessment before testing begins</t>
        </is>
      </c>
      <c r="C38" s="35" t="inlineStr">
        <is>
          <t>Not Started</t>
        </is>
      </c>
      <c r="D38" s="46" t="inlineStr">
        <is>
          <t>HIGH</t>
        </is>
      </c>
      <c r="E38" s="42" t="n"/>
      <c r="F38" s="79" t="n"/>
      <c r="G38" s="79" t="n"/>
      <c r="H38" s="44" t="inlineStr">
        <is>
          <t>RTS Art. 9(10)</t>
        </is>
      </c>
      <c r="I38" s="45" t="n"/>
      <c r="J38" s="35" t="n"/>
    </row>
    <row r="39">
      <c r="A39" s="48" t="inlineStr">
        <is>
          <t>4D: Third-Party Provider Coordination</t>
        </is>
      </c>
      <c r="B39" s="76" t="n"/>
      <c r="C39" s="76" t="n"/>
      <c r="D39" s="76" t="n"/>
      <c r="E39" s="76" t="n"/>
      <c r="F39" s="76" t="n"/>
      <c r="G39" s="76" t="n"/>
      <c r="H39" s="76" t="n"/>
      <c r="I39" s="76" t="n"/>
      <c r="J39" s="77" t="n"/>
    </row>
    <row r="40">
      <c r="A40" s="39" t="inlineStr">
        <is>
          <t>4.33</t>
        </is>
      </c>
      <c r="B40" s="40" t="inlineStr">
        <is>
          <t>Identify all ICT third-party providers supporting in-scope CIFs</t>
        </is>
      </c>
      <c r="C40" s="35" t="inlineStr">
        <is>
          <t>Not Started</t>
        </is>
      </c>
      <c r="D40" s="41" t="inlineStr">
        <is>
          <t>CRITICAL</t>
        </is>
      </c>
      <c r="E40" s="42" t="n"/>
      <c r="F40" s="79" t="n"/>
      <c r="G40" s="79" t="n"/>
      <c r="H40" s="44" t="inlineStr">
        <is>
          <t>DORA Art. 26(2); RTS Annex II</t>
        </is>
      </c>
      <c r="I40" s="45" t="n"/>
      <c r="J40" s="35" t="n"/>
    </row>
    <row r="41">
      <c r="A41" s="39" t="inlineStr">
        <is>
          <t>4.34</t>
        </is>
      </c>
      <c r="B41" s="40" t="inlineStr">
        <is>
          <t>Review contracts for DORA Article 30(3)(d) cooperation clauses</t>
        </is>
      </c>
      <c r="C41" s="35" t="inlineStr">
        <is>
          <t>Not Started</t>
        </is>
      </c>
      <c r="D41" s="41" t="inlineStr">
        <is>
          <t>CRITICAL</t>
        </is>
      </c>
      <c r="E41" s="42" t="n"/>
      <c r="F41" s="79" t="n"/>
      <c r="G41" s="79" t="n"/>
      <c r="H41" s="44" t="inlineStr">
        <is>
          <t>DORA Art. 30(3)(d)</t>
        </is>
      </c>
      <c r="I41" s="45" t="n"/>
      <c r="J41" s="35" t="n"/>
    </row>
    <row r="42">
      <c r="A42" s="39" t="inlineStr">
        <is>
          <t>4.35</t>
        </is>
      </c>
      <c r="B42" s="40" t="inlineStr">
        <is>
          <t>Amend contracts if cooperation clauses are missing</t>
        </is>
      </c>
      <c r="C42" s="35" t="inlineStr">
        <is>
          <t>Not Started</t>
        </is>
      </c>
      <c r="D42" s="41" t="inlineStr">
        <is>
          <t>CRITICAL</t>
        </is>
      </c>
      <c r="E42" s="42" t="n"/>
      <c r="F42" s="79" t="n"/>
      <c r="G42" s="79" t="n"/>
      <c r="H42" s="44" t="inlineStr">
        <is>
          <t>DORA Art. 30(3)(d)</t>
        </is>
      </c>
      <c r="I42" s="45" t="n"/>
      <c r="J42" s="35" t="n"/>
    </row>
    <row r="43">
      <c r="A43" s="26" t="n"/>
      <c r="B43" s="47" t="inlineStr">
        <is>
          <t>TIP: The contract amendment with your third-party ICT provider is where TLPTs go to die. Core banking vendors and cloud providers have their own legal teams, their own risk appetite, and their own timelines - none of which align with yours. One institution spent four months negotiating access to a single SaaS platform that supported a critical function. Start this the day you know the provider is in scope, not after the TLPT Authority approves your scope specification.</t>
        </is>
      </c>
      <c r="C43" s="26" t="n"/>
      <c r="D43" s="26" t="n"/>
      <c r="E43" s="26" t="n"/>
      <c r="F43" s="26" t="n"/>
      <c r="G43" s="26" t="n"/>
      <c r="H43" s="26" t="n"/>
      <c r="I43" s="26" t="n"/>
      <c r="J43" s="26" t="n"/>
    </row>
    <row r="44">
      <c r="A44" s="39" t="inlineStr">
        <is>
          <t>4.36</t>
        </is>
      </c>
      <c r="B44" s="40" t="inlineStr">
        <is>
          <t>Coordinate access arrangements with providers</t>
        </is>
      </c>
      <c r="C44" s="35" t="inlineStr">
        <is>
          <t>Not Started</t>
        </is>
      </c>
      <c r="D44" s="46" t="inlineStr">
        <is>
          <t>HIGH</t>
        </is>
      </c>
      <c r="E44" s="42" t="n"/>
      <c r="F44" s="79" t="n"/>
      <c r="G44" s="79" t="n"/>
      <c r="H44" s="44" t="inlineStr">
        <is>
          <t>DORA Art. 26(3)</t>
        </is>
      </c>
      <c r="I44" s="45" t="n"/>
      <c r="J44" s="35" t="n"/>
    </row>
    <row r="45">
      <c r="A45" s="39" t="inlineStr">
        <is>
          <t>4.37</t>
        </is>
      </c>
      <c r="B45" s="40" t="inlineStr">
        <is>
          <t>Agree on risk management measures with providers</t>
        </is>
      </c>
      <c r="C45" s="35" t="inlineStr">
        <is>
          <t>Not Started</t>
        </is>
      </c>
      <c r="D45" s="46" t="inlineStr">
        <is>
          <t>HIGH</t>
        </is>
      </c>
      <c r="E45" s="42" t="n"/>
      <c r="F45" s="79" t="n"/>
      <c r="G45" s="79" t="n"/>
      <c r="H45" s="44" t="inlineStr">
        <is>
          <t>DORA Art. 26(5)</t>
        </is>
      </c>
      <c r="I45" s="45" t="n"/>
      <c r="J45" s="35" t="n"/>
    </row>
    <row r="46">
      <c r="A46" s="39" t="inlineStr">
        <is>
          <t>4.38</t>
        </is>
      </c>
      <c r="B46" s="40" t="inlineStr">
        <is>
          <t>For pooled testing: coordinate with other financial entities using same provider</t>
        </is>
      </c>
      <c r="C46" s="35" t="inlineStr">
        <is>
          <t>Not Started</t>
        </is>
      </c>
      <c r="D46" s="46" t="inlineStr">
        <is>
          <t>HIGH</t>
        </is>
      </c>
      <c r="E46" s="42" t="n"/>
      <c r="F46" s="79" t="n"/>
      <c r="G46" s="79" t="n"/>
      <c r="H46" s="44" t="inlineStr">
        <is>
          <t>DORA Art. 26(4); RTS Art. 8</t>
        </is>
      </c>
      <c r="I46" s="45" t="n"/>
      <c r="J46" s="35" t="n"/>
    </row>
    <row r="47">
      <c r="A47" s="39" t="inlineStr">
        <is>
          <t>4.39</t>
        </is>
      </c>
      <c r="B47" s="40" t="inlineStr">
        <is>
          <t>Confirm provider participation in writing</t>
        </is>
      </c>
      <c r="C47" s="35" t="inlineStr">
        <is>
          <t>Not Started</t>
        </is>
      </c>
      <c r="D47" s="46" t="inlineStr">
        <is>
          <t>HIGH</t>
        </is>
      </c>
      <c r="E47" s="42" t="n"/>
      <c r="F47" s="79" t="n"/>
      <c r="G47" s="79" t="n"/>
      <c r="H47" s="44" t="inlineStr">
        <is>
          <t>DORA Art. 26(3)</t>
        </is>
      </c>
      <c r="I47" s="45" t="n"/>
      <c r="J47" s="35" t="n"/>
    </row>
    <row r="48">
      <c r="A48" s="26" t="n"/>
      <c r="B48" s="47" t="inlineStr">
        <is>
          <t>TIP: This is the hidden time sink. Cloud providers and core banking vendors move slowly. Start contractual negotiations the moment you know they'll be in scope. This single item has delayed TLPTs by 3+ months.</t>
        </is>
      </c>
      <c r="C48" s="26" t="n"/>
      <c r="D48" s="26" t="n"/>
      <c r="E48" s="26" t="n"/>
      <c r="F48" s="26" t="n"/>
      <c r="G48" s="26" t="n"/>
      <c r="H48" s="26" t="n"/>
      <c r="I48" s="26" t="n"/>
      <c r="J48" s="26" t="n"/>
    </row>
    <row r="49">
      <c r="A49" s="48" t="inlineStr">
        <is>
          <t>4E: Cross-Border Coordination (If Applicable)</t>
        </is>
      </c>
      <c r="B49" s="76" t="n"/>
      <c r="C49" s="76" t="n"/>
      <c r="D49" s="76" t="n"/>
      <c r="E49" s="76" t="n"/>
      <c r="F49" s="76" t="n"/>
      <c r="G49" s="76" t="n"/>
      <c r="H49" s="76" t="n"/>
      <c r="I49" s="76" t="n"/>
      <c r="J49" s="77" t="n"/>
    </row>
    <row r="50">
      <c r="A50" s="39" t="inlineStr">
        <is>
          <t>4.40</t>
        </is>
      </c>
      <c r="B50" s="40" t="inlineStr">
        <is>
          <t>Identify all Member States where in-scope CIFs operate</t>
        </is>
      </c>
      <c r="C50" s="35" t="inlineStr">
        <is>
          <t>Not Started</t>
        </is>
      </c>
      <c r="D50" s="41" t="inlineStr">
        <is>
          <t>CRITICAL</t>
        </is>
      </c>
      <c r="E50" s="42" t="n"/>
      <c r="F50" s="79" t="n"/>
      <c r="G50" s="79" t="n"/>
      <c r="H50" s="44" t="inlineStr">
        <is>
          <t>RTS Art. 16(1)</t>
        </is>
      </c>
      <c r="I50" s="45" t="n"/>
      <c r="J50" s="35" t="n"/>
    </row>
    <row r="51">
      <c r="A51" s="39" t="inlineStr">
        <is>
          <t>4.41</t>
        </is>
      </c>
      <c r="B51" s="40" t="inlineStr">
        <is>
          <t>TLPT Authority notifies host Member State authorities</t>
        </is>
      </c>
      <c r="C51" s="35" t="inlineStr">
        <is>
          <t>Not Started</t>
        </is>
      </c>
      <c r="D51" s="41" t="inlineStr">
        <is>
          <t>CRITICAL</t>
        </is>
      </c>
      <c r="E51" s="42" t="n"/>
      <c r="F51" s="79" t="n"/>
      <c r="G51" s="79" t="n"/>
      <c r="H51" s="44" t="inlineStr">
        <is>
          <t>RTS Art. 16(1)</t>
        </is>
      </c>
      <c r="I51" s="45" t="n"/>
      <c r="J51" s="35" t="n"/>
    </row>
    <row r="52">
      <c r="A52" s="39" t="inlineStr">
        <is>
          <t>4.42</t>
        </is>
      </c>
      <c r="B52" s="40" t="inlineStr">
        <is>
          <t>Host authorities respond within 20 working days (observer or participant)</t>
        </is>
      </c>
      <c r="C52" s="35" t="inlineStr">
        <is>
          <t>Not Started</t>
        </is>
      </c>
      <c r="D52" s="46" t="inlineStr">
        <is>
          <t>HIGH</t>
        </is>
      </c>
      <c r="E52" s="42" t="n"/>
      <c r="F52" s="79" t="n"/>
      <c r="G52" s="79" t="n"/>
      <c r="H52" s="44" t="inlineStr">
        <is>
          <t>RTS Art. 16(1)</t>
        </is>
      </c>
      <c r="I52" s="45" t="n"/>
      <c r="J52" s="35" t="n"/>
    </row>
    <row r="53">
      <c r="A53" s="39" t="inlineStr">
        <is>
          <t>4.43</t>
        </is>
      </c>
      <c r="B53" s="40" t="inlineStr">
        <is>
          <t>Agree on lead TLPT Authority</t>
        </is>
      </c>
      <c r="C53" s="35" t="inlineStr">
        <is>
          <t>Not Started</t>
        </is>
      </c>
      <c r="D53" s="41" t="inlineStr">
        <is>
          <t>CRITICAL</t>
        </is>
      </c>
      <c r="E53" s="42" t="n"/>
      <c r="F53" s="79" t="n"/>
      <c r="G53" s="79" t="n"/>
      <c r="H53" s="44" t="inlineStr">
        <is>
          <t>RTS Art. 16(1)</t>
        </is>
      </c>
      <c r="I53" s="45" t="n"/>
      <c r="J53" s="35" t="n"/>
    </row>
    <row r="54">
      <c r="A54" s="39" t="inlineStr">
        <is>
          <t>4.44</t>
        </is>
      </c>
      <c r="B54" s="40" t="inlineStr">
        <is>
          <t>Negotiate mutual recognition conditions BEFORE testing begins</t>
        </is>
      </c>
      <c r="C54" s="35" t="inlineStr">
        <is>
          <t>Not Started</t>
        </is>
      </c>
      <c r="D54" s="41" t="inlineStr">
        <is>
          <t>CRITICAL</t>
        </is>
      </c>
      <c r="E54" s="42" t="n"/>
      <c r="F54" s="79" t="n"/>
      <c r="G54" s="79" t="n"/>
      <c r="H54" s="44" t="inlineStr">
        <is>
          <t>DORA Art. 26(7); RTS Art. 16</t>
        </is>
      </c>
      <c r="I54" s="45" t="n"/>
      <c r="J54" s="35" t="n"/>
    </row>
    <row r="55">
      <c r="A55" s="39" t="inlineStr">
        <is>
          <t>4.45</t>
        </is>
      </c>
      <c r="B55" s="40" t="inlineStr">
        <is>
          <t>For group entities: assess whether joint TLPT is appropriate</t>
        </is>
      </c>
      <c r="C55" s="35" t="inlineStr">
        <is>
          <t>Not Started</t>
        </is>
      </c>
      <c r="D55" s="46" t="inlineStr">
        <is>
          <t>HIGH</t>
        </is>
      </c>
      <c r="E55" s="42" t="n"/>
      <c r="F55" s="79" t="n"/>
      <c r="G55" s="79" t="n"/>
      <c r="H55" s="44" t="inlineStr">
        <is>
          <t>RTS Art. 16(2)</t>
        </is>
      </c>
      <c r="I55" s="45" t="n"/>
      <c r="J55" s="35" t="n"/>
    </row>
    <row r="56">
      <c r="A56" s="26" t="n"/>
      <c r="B56" s="47" t="inlineStr">
        <is>
          <t>TIP: Cross-border mutual recognition is not automatic even with the DORA attestation. Each host authority has 20 working days to decide whether they want to observe or participate - and 'participate' can mean additional scope requirements, additional reporting, or additional conditions that reshape your test plan. If you operate in three Member States, assume three sets of regulatory expectations to manage, not one. Map the authority landscape before you submit your project charter.</t>
        </is>
      </c>
      <c r="C56" s="26" t="n"/>
      <c r="D56" s="26" t="n"/>
      <c r="E56" s="26" t="n"/>
      <c r="F56" s="26" t="n"/>
      <c r="G56" s="26" t="n"/>
      <c r="H56" s="26" t="n"/>
      <c r="I56" s="26" t="n"/>
      <c r="J56" s="26" t="n"/>
    </row>
    <row r="57">
      <c r="A57" s="26" t="n"/>
      <c r="B57" s="47" t="inlineStr">
        <is>
          <t>TIP: Failing to secure mutual recognition agreements before starting means you may end up running separate tests in each jurisdiction. Get this sorted during preparation, not after.</t>
        </is>
      </c>
      <c r="C57" s="26" t="n"/>
      <c r="D57" s="26" t="n"/>
      <c r="E57" s="26" t="n"/>
      <c r="F57" s="26" t="n"/>
      <c r="G57" s="26" t="n"/>
      <c r="H57" s="26" t="n"/>
      <c r="I57" s="26" t="n"/>
      <c r="J57" s="26" t="n"/>
    </row>
  </sheetData>
  <sheetProtection selectLockedCells="0" selectUnlockedCells="0" sheet="1" objects="0" insertRows="1" insertHyperlinks="1" autoFilter="0" scenarios="0" formatColumns="0" deleteColumns="1" insertColumns="1" pivotTables="1" deleteRows="1" formatCells="1" formatRows="0" sort="0" password="CE4B"/>
  <mergeCells count="7">
    <mergeCell ref="A1:J1"/>
    <mergeCell ref="A3:J3"/>
    <mergeCell ref="A39:J39"/>
    <mergeCell ref="A4:J4"/>
    <mergeCell ref="A16:J16"/>
    <mergeCell ref="A28:J28"/>
    <mergeCell ref="A49:J49"/>
  </mergeCells>
  <conditionalFormatting sqref="A5:J55">
    <cfRule type="expression" priority="1" dxfId="4" stopIfTrue="1">
      <formula>$C5="N/A"</formula>
    </cfRule>
    <cfRule type="expression" priority="2" dxfId="5" stopIfTrue="1">
      <formula>AND($C5&lt;&gt;"Complete",$C5&lt;&gt;"N/A",$C5&lt;&gt;"",$F5&lt;&gt;"",$F5&lt;TODAY())</formula>
    </cfRule>
    <cfRule type="expression" priority="3" dxfId="0" stopIfTrue="1">
      <formula>$C5="Complete"</formula>
    </cfRule>
  </conditionalFormatting>
  <dataValidations count="4">
    <dataValidation sqref="C5:C55" showDropDown="0" showInputMessage="0" showErrorMessage="0" allowBlank="1" errorTitle="Invalid Status" error="Select: Not Started, In Progress, Complete, N/A" type="list">
      <formula1>"Not Started,In Progress,Complete,N/A"</formula1>
    </dataValidation>
    <dataValidation sqref="J5:J55" showDropDown="0" showInputMessage="0" showErrorMessage="0" allowBlank="1" errorTitle="Invalid Risk" error="Select: High, Medium, Low" type="list">
      <formula1>"High,Medium,Low"</formula1>
    </dataValidation>
    <dataValidation sqref="F5:F55" showDropDown="0" showInputMessage="0" showErrorMessage="1" allowBlank="1" errorTitle="Invalid Date" error="Please enter a valid date" type="date" operator="greaterThan">
      <formula1>2020-01-01</formula1>
    </dataValidation>
    <dataValidation sqref="G5:G55" showDropDown="0" showInputMessage="0" showErrorMessage="1" allowBlank="1" errorTitle="Invalid Date" error="Please enter a valid date" type="date" operator="greaterThan">
      <formula1>2020-01-01</formula1>
    </dataValidation>
  </dataValidations>
  <hyperlinks>
    <hyperlink xmlns:r="http://schemas.openxmlformats.org/officeDocument/2006/relationships" ref="H5" r:id="rId1"/>
    <hyperlink xmlns:r="http://schemas.openxmlformats.org/officeDocument/2006/relationships" ref="H6" r:id="rId2"/>
    <hyperlink xmlns:r="http://schemas.openxmlformats.org/officeDocument/2006/relationships" ref="H7" r:id="rId3"/>
    <hyperlink xmlns:r="http://schemas.openxmlformats.org/officeDocument/2006/relationships" ref="H8" r:id="rId4"/>
    <hyperlink xmlns:r="http://schemas.openxmlformats.org/officeDocument/2006/relationships" ref="H9" r:id="rId5"/>
    <hyperlink xmlns:r="http://schemas.openxmlformats.org/officeDocument/2006/relationships" ref="H10" r:id="rId6"/>
    <hyperlink xmlns:r="http://schemas.openxmlformats.org/officeDocument/2006/relationships" ref="H11" r:id="rId7"/>
    <hyperlink xmlns:r="http://schemas.openxmlformats.org/officeDocument/2006/relationships" ref="H12" r:id="rId8"/>
    <hyperlink xmlns:r="http://schemas.openxmlformats.org/officeDocument/2006/relationships" ref="H13" r:id="rId9"/>
    <hyperlink xmlns:r="http://schemas.openxmlformats.org/officeDocument/2006/relationships" ref="H14" r:id="rId10"/>
    <hyperlink xmlns:r="http://schemas.openxmlformats.org/officeDocument/2006/relationships" ref="H15" r:id="rId11"/>
    <hyperlink xmlns:r="http://schemas.openxmlformats.org/officeDocument/2006/relationships" ref="H17" r:id="rId12"/>
    <hyperlink xmlns:r="http://schemas.openxmlformats.org/officeDocument/2006/relationships" ref="H18" r:id="rId13"/>
    <hyperlink xmlns:r="http://schemas.openxmlformats.org/officeDocument/2006/relationships" ref="H19" r:id="rId14"/>
    <hyperlink xmlns:r="http://schemas.openxmlformats.org/officeDocument/2006/relationships" ref="H20" r:id="rId15"/>
    <hyperlink xmlns:r="http://schemas.openxmlformats.org/officeDocument/2006/relationships" ref="H21" r:id="rId16"/>
    <hyperlink xmlns:r="http://schemas.openxmlformats.org/officeDocument/2006/relationships" ref="H22" r:id="rId17"/>
    <hyperlink xmlns:r="http://schemas.openxmlformats.org/officeDocument/2006/relationships" ref="H23" r:id="rId18"/>
    <hyperlink xmlns:r="http://schemas.openxmlformats.org/officeDocument/2006/relationships" ref="H24" r:id="rId19"/>
    <hyperlink xmlns:r="http://schemas.openxmlformats.org/officeDocument/2006/relationships" ref="H25" r:id="rId20"/>
    <hyperlink xmlns:r="http://schemas.openxmlformats.org/officeDocument/2006/relationships" ref="H26" r:id="rId21"/>
    <hyperlink xmlns:r="http://schemas.openxmlformats.org/officeDocument/2006/relationships" ref="H27" r:id="rId22"/>
    <hyperlink xmlns:r="http://schemas.openxmlformats.org/officeDocument/2006/relationships" ref="H29" r:id="rId23"/>
    <hyperlink xmlns:r="http://schemas.openxmlformats.org/officeDocument/2006/relationships" ref="H30" r:id="rId24"/>
    <hyperlink xmlns:r="http://schemas.openxmlformats.org/officeDocument/2006/relationships" ref="H31" r:id="rId25"/>
    <hyperlink xmlns:r="http://schemas.openxmlformats.org/officeDocument/2006/relationships" ref="H32" r:id="rId26"/>
    <hyperlink xmlns:r="http://schemas.openxmlformats.org/officeDocument/2006/relationships" ref="H33" r:id="rId27"/>
    <hyperlink xmlns:r="http://schemas.openxmlformats.org/officeDocument/2006/relationships" ref="H34" r:id="rId28"/>
    <hyperlink xmlns:r="http://schemas.openxmlformats.org/officeDocument/2006/relationships" ref="H35" r:id="rId29"/>
    <hyperlink xmlns:r="http://schemas.openxmlformats.org/officeDocument/2006/relationships" ref="H36" r:id="rId30"/>
    <hyperlink xmlns:r="http://schemas.openxmlformats.org/officeDocument/2006/relationships" ref="H37" r:id="rId31"/>
    <hyperlink xmlns:r="http://schemas.openxmlformats.org/officeDocument/2006/relationships" ref="H38" r:id="rId32"/>
    <hyperlink xmlns:r="http://schemas.openxmlformats.org/officeDocument/2006/relationships" ref="H40" r:id="rId33"/>
    <hyperlink xmlns:r="http://schemas.openxmlformats.org/officeDocument/2006/relationships" ref="H41" r:id="rId34"/>
    <hyperlink xmlns:r="http://schemas.openxmlformats.org/officeDocument/2006/relationships" ref="H42" r:id="rId35"/>
    <hyperlink xmlns:r="http://schemas.openxmlformats.org/officeDocument/2006/relationships" ref="H44" r:id="rId36"/>
    <hyperlink xmlns:r="http://schemas.openxmlformats.org/officeDocument/2006/relationships" ref="H45" r:id="rId37"/>
    <hyperlink xmlns:r="http://schemas.openxmlformats.org/officeDocument/2006/relationships" ref="H46" r:id="rId38"/>
    <hyperlink xmlns:r="http://schemas.openxmlformats.org/officeDocument/2006/relationships" ref="H47" r:id="rId39"/>
    <hyperlink xmlns:r="http://schemas.openxmlformats.org/officeDocument/2006/relationships" ref="H50" r:id="rId40"/>
    <hyperlink xmlns:r="http://schemas.openxmlformats.org/officeDocument/2006/relationships" ref="H51" r:id="rId41"/>
    <hyperlink xmlns:r="http://schemas.openxmlformats.org/officeDocument/2006/relationships" ref="H52" r:id="rId42"/>
    <hyperlink xmlns:r="http://schemas.openxmlformats.org/officeDocument/2006/relationships" ref="H53" r:id="rId43"/>
    <hyperlink xmlns:r="http://schemas.openxmlformats.org/officeDocument/2006/relationships" ref="H54" r:id="rId44"/>
    <hyperlink xmlns:r="http://schemas.openxmlformats.org/officeDocument/2006/relationships" ref="H55" r:id="rId45"/>
  </hyperlinks>
  <pageMargins left="0.75" right="0.75" top="1" bottom="1" header="0.5" footer="0.5"/>
  <pageSetup orientation="landscape" fitToHeight="0" fitToWidth="1"/>
  <headerFooter>
    <oddHeader>&amp;LAFINE | TLPT DORA Readiness Tracker&amp;RPage &amp;P of &amp;N</oddHeader>
    <oddFooter>&amp;CAFINE sp. z o.o. | afine.com</oddFooter>
    <evenHeader/>
    <evenFooter/>
    <firstHeader/>
    <firstFooter/>
  </headerFooter>
</worksheet>
</file>

<file path=xl/worksheets/sheet7.xml><?xml version="1.0" encoding="utf-8"?>
<worksheet xmlns="http://schemas.openxmlformats.org/spreadsheetml/2006/main">
  <sheetPr>
    <tabColor rgb="0027AE60"/>
    <outlinePr summaryBelow="1" summaryRight="1"/>
    <pageSetUpPr fitToPage="1"/>
  </sheetPr>
  <dimension ref="A1:J44"/>
  <sheetViews>
    <sheetView workbookViewId="0">
      <pane xSplit="2" ySplit="3" topLeftCell="C4" activePane="bottomRight" state="frozen"/>
      <selection pane="topRight" activeCell="A1" sqref="A1"/>
      <selection pane="bottomLeft" activeCell="A1" sqref="A1"/>
      <selection pane="bottomRight" activeCell="A1" sqref="A1"/>
    </sheetView>
  </sheetViews>
  <sheetFormatPr baseColWidth="8" defaultRowHeight="15"/>
  <cols>
    <col width="5" customWidth="1" min="1" max="1"/>
    <col width="55" customWidth="1" min="2" max="2"/>
    <col width="14" customWidth="1" min="3" max="3"/>
    <col width="12" customWidth="1" min="4" max="4"/>
    <col width="15" customWidth="1" min="5" max="5"/>
    <col width="12" customWidth="1" min="6" max="6"/>
    <col width="12" customWidth="1" min="7" max="7"/>
    <col width="18" customWidth="1" min="8" max="8"/>
    <col width="35" customWidth="1" min="9" max="9"/>
    <col width="12" customWidth="1" min="10" max="10"/>
  </cols>
  <sheetData>
    <row r="1">
      <c r="A1" s="36" t="inlineStr">
        <is>
          <t>Module 5: THREAT INTELLIGENCE</t>
        </is>
      </c>
    </row>
    <row r="2">
      <c r="A2" s="37" t="inlineStr">
        <is>
          <t>#</t>
        </is>
      </c>
      <c r="B2" s="37" t="inlineStr">
        <is>
          <t>Checklist Item</t>
        </is>
      </c>
      <c r="C2" s="37" t="inlineStr">
        <is>
          <t>Status</t>
        </is>
      </c>
      <c r="D2" s="37" t="inlineStr">
        <is>
          <t>Priority</t>
        </is>
      </c>
      <c r="E2" s="37" t="inlineStr">
        <is>
          <t>Owner</t>
        </is>
      </c>
      <c r="F2" s="37" t="inlineStr">
        <is>
          <t>Due Date</t>
        </is>
      </c>
      <c r="G2" s="37" t="inlineStr">
        <is>
          <t>Done Date</t>
        </is>
      </c>
      <c r="H2" s="37" t="inlineStr">
        <is>
          <t>RTS Reference</t>
        </is>
      </c>
      <c r="I2" s="37" t="inlineStr">
        <is>
          <t>Evidence/Notes</t>
        </is>
      </c>
      <c r="J2" s="37" t="inlineStr">
        <is>
          <t>Risk if Missed</t>
        </is>
      </c>
    </row>
    <row r="3">
      <c r="A3" s="38">
        <f>"Progress: "&amp;COUNTIF(C5:C44,"Complete")&amp;" / 36 complete ("&amp;IF(36=0,0,ROUND(COUNTIF(C5:C44,"Complete")/36*100,0))&amp;"%)"</f>
        <v/>
      </c>
      <c r="B3" s="76" t="n"/>
      <c r="C3" s="76" t="n"/>
      <c r="D3" s="76" t="n"/>
      <c r="E3" s="76" t="n"/>
      <c r="F3" s="76" t="n"/>
      <c r="G3" s="76" t="n"/>
      <c r="H3" s="76" t="n"/>
      <c r="I3" s="76" t="n"/>
      <c r="J3" s="77" t="n"/>
    </row>
    <row r="4">
      <c r="A4" s="48" t="inlineStr">
        <is>
          <t>5A: Threat Intelligence Gathering</t>
        </is>
      </c>
      <c r="B4" s="76" t="n"/>
      <c r="C4" s="76" t="n"/>
      <c r="D4" s="76" t="n"/>
      <c r="E4" s="76" t="n"/>
      <c r="F4" s="76" t="n"/>
      <c r="G4" s="76" t="n"/>
      <c r="H4" s="76" t="n"/>
      <c r="I4" s="76" t="n"/>
      <c r="J4" s="77" t="n"/>
    </row>
    <row r="5">
      <c r="A5" s="39" t="inlineStr">
        <is>
          <t>5.1</t>
        </is>
      </c>
      <c r="B5" s="40" t="inlineStr">
        <is>
          <t>TI provider analyzes generic and sector-specific intelligence</t>
        </is>
      </c>
      <c r="C5" s="35" t="inlineStr">
        <is>
          <t>Not Started</t>
        </is>
      </c>
      <c r="D5" s="41" t="inlineStr">
        <is>
          <t>CRITICAL</t>
        </is>
      </c>
      <c r="E5" s="42" t="n"/>
      <c r="F5" s="79" t="n"/>
      <c r="G5" s="79" t="n"/>
      <c r="H5" s="44" t="inlineStr">
        <is>
          <t>RTS Art. 10(1)</t>
        </is>
      </c>
      <c r="I5" s="45" t="n"/>
      <c r="J5" s="35" t="n"/>
    </row>
    <row r="6">
      <c r="A6" s="39" t="inlineStr">
        <is>
          <t>5.2</t>
        </is>
      </c>
      <c r="B6" s="40" t="inlineStr">
        <is>
          <t>TI provider identifies relevant cyber threats and vulnerabilities</t>
        </is>
      </c>
      <c r="C6" s="35" t="inlineStr">
        <is>
          <t>Not Started</t>
        </is>
      </c>
      <c r="D6" s="41" t="inlineStr">
        <is>
          <t>CRITICAL</t>
        </is>
      </c>
      <c r="E6" s="42" t="n"/>
      <c r="F6" s="79" t="n"/>
      <c r="G6" s="79" t="n"/>
      <c r="H6" s="44" t="inlineStr">
        <is>
          <t>RTS Art. 10(1)</t>
        </is>
      </c>
      <c r="I6" s="45" t="n"/>
      <c r="J6" s="35" t="n"/>
    </row>
    <row r="7">
      <c r="A7" s="39" t="inlineStr">
        <is>
          <t>5.3</t>
        </is>
      </c>
      <c r="B7" s="40" t="inlineStr">
        <is>
          <t>TI provider gathers contextualized target intelligence:</t>
        </is>
      </c>
      <c r="C7" s="35" t="inlineStr">
        <is>
          <t>Not Started</t>
        </is>
      </c>
      <c r="D7" s="41" t="inlineStr">
        <is>
          <t>CRITICAL</t>
        </is>
      </c>
      <c r="E7" s="42" t="n"/>
      <c r="F7" s="79" t="n"/>
      <c r="G7" s="79" t="n"/>
      <c r="H7" s="44" t="inlineStr">
        <is>
          <t>RTS Art. 10(1); RTS Annex III</t>
        </is>
      </c>
      <c r="I7" s="45" t="n"/>
      <c r="J7" s="35" t="n"/>
    </row>
    <row r="8">
      <c r="A8" s="39" t="inlineStr">
        <is>
          <t>5.4</t>
        </is>
      </c>
      <c r="B8" s="40" t="inlineStr">
        <is>
          <t>Employee credentials from breaches</t>
        </is>
      </c>
      <c r="C8" s="35" t="inlineStr">
        <is>
          <t>Not Started</t>
        </is>
      </c>
      <c r="D8" s="46" t="inlineStr">
        <is>
          <t>HIGH</t>
        </is>
      </c>
      <c r="E8" s="42" t="n"/>
      <c r="F8" s="79" t="n"/>
      <c r="G8" s="79" t="n"/>
      <c r="H8" s="44" t="inlineStr">
        <is>
          <t>RTS Annex III</t>
        </is>
      </c>
      <c r="I8" s="45" t="n"/>
      <c r="J8" s="35" t="n"/>
    </row>
    <row r="9">
      <c r="A9" s="39" t="inlineStr">
        <is>
          <t>5.5</t>
        </is>
      </c>
      <c r="B9" s="40" t="inlineStr">
        <is>
          <t>Lookalike domains</t>
        </is>
      </c>
      <c r="C9" s="35" t="inlineStr">
        <is>
          <t>Not Started</t>
        </is>
      </c>
      <c r="D9" s="46" t="inlineStr">
        <is>
          <t>HIGH</t>
        </is>
      </c>
      <c r="E9" s="42" t="n"/>
      <c r="F9" s="79" t="n"/>
      <c r="G9" s="79" t="n"/>
      <c r="H9" s="44" t="inlineStr">
        <is>
          <t>RTS Annex III</t>
        </is>
      </c>
      <c r="I9" s="45" t="n"/>
      <c r="J9" s="35" t="n"/>
    </row>
    <row r="10">
      <c r="A10" s="39" t="inlineStr">
        <is>
          <t>5.6</t>
        </is>
      </c>
      <c r="B10" s="40" t="inlineStr">
        <is>
          <t>Vulnerable exposed software/systems</t>
        </is>
      </c>
      <c r="C10" s="35" t="inlineStr">
        <is>
          <t>Not Started</t>
        </is>
      </c>
      <c r="D10" s="46" t="inlineStr">
        <is>
          <t>HIGH</t>
        </is>
      </c>
      <c r="E10" s="42" t="n"/>
      <c r="F10" s="79" t="n"/>
      <c r="G10" s="79" t="n"/>
      <c r="H10" s="44" t="inlineStr">
        <is>
          <t>RTS Annex III</t>
        </is>
      </c>
      <c r="I10" s="45" t="n"/>
      <c r="J10" s="35" t="n"/>
    </row>
    <row r="11">
      <c r="A11" s="39" t="inlineStr">
        <is>
          <t>5.7</t>
        </is>
      </c>
      <c r="B11" s="40" t="inlineStr">
        <is>
          <t>Employee information exploitable for social engineering</t>
        </is>
      </c>
      <c r="C11" s="35" t="inlineStr">
        <is>
          <t>Not Started</t>
        </is>
      </c>
      <c r="D11" s="46" t="inlineStr">
        <is>
          <t>HIGH</t>
        </is>
      </c>
      <c r="E11" s="42" t="n"/>
      <c r="F11" s="79" t="n"/>
      <c r="G11" s="79" t="n"/>
      <c r="H11" s="44" t="inlineStr">
        <is>
          <t>RTS Annex III</t>
        </is>
      </c>
      <c r="I11" s="45" t="n"/>
      <c r="J11" s="35" t="n"/>
    </row>
    <row r="12">
      <c r="A12" s="39" t="inlineStr">
        <is>
          <t>5.8</t>
        </is>
      </c>
      <c r="B12" s="40" t="inlineStr">
        <is>
          <t>Dark web data sales</t>
        </is>
      </c>
      <c r="C12" s="35" t="inlineStr">
        <is>
          <t>Not Started</t>
        </is>
      </c>
      <c r="D12" s="51" t="inlineStr">
        <is>
          <t>MEDIUM</t>
        </is>
      </c>
      <c r="E12" s="42" t="n"/>
      <c r="F12" s="79" t="n"/>
      <c r="G12" s="79" t="n"/>
      <c r="H12" s="44" t="inlineStr">
        <is>
          <t>RTS Annex III</t>
        </is>
      </c>
      <c r="I12" s="45" t="n"/>
      <c r="J12" s="35" t="n"/>
    </row>
    <row r="13">
      <c r="A13" s="39" t="inlineStr">
        <is>
          <t>5.9</t>
        </is>
      </c>
      <c r="B13" s="40" t="inlineStr">
        <is>
          <t>Internet/public network information</t>
        </is>
      </c>
      <c r="C13" s="35" t="inlineStr">
        <is>
          <t>Not Started</t>
        </is>
      </c>
      <c r="D13" s="46" t="inlineStr">
        <is>
          <t>HIGH</t>
        </is>
      </c>
      <c r="E13" s="42" t="n"/>
      <c r="F13" s="79" t="n"/>
      <c r="G13" s="79" t="n"/>
      <c r="H13" s="44" t="inlineStr">
        <is>
          <t>RTS Annex III</t>
        </is>
      </c>
      <c r="I13" s="45" t="n"/>
      <c r="J13" s="35" t="n"/>
    </row>
    <row r="14">
      <c r="A14" s="39" t="inlineStr">
        <is>
          <t>5.10</t>
        </is>
      </c>
      <c r="B14" s="40" t="inlineStr">
        <is>
          <t>Physical targeting information</t>
        </is>
      </c>
      <c r="C14" s="35" t="inlineStr">
        <is>
          <t>Not Started</t>
        </is>
      </c>
      <c r="D14" s="51" t="inlineStr">
        <is>
          <t>MEDIUM</t>
        </is>
      </c>
      <c r="E14" s="42" t="n"/>
      <c r="F14" s="79" t="n"/>
      <c r="G14" s="79" t="n"/>
      <c r="H14" s="44" t="inlineStr">
        <is>
          <t>RTS Annex III</t>
        </is>
      </c>
      <c r="I14" s="45" t="n"/>
      <c r="J14" s="35" t="n"/>
    </row>
    <row r="15">
      <c r="A15" s="39" t="inlineStr">
        <is>
          <t>5.11</t>
        </is>
      </c>
      <c r="B15" s="40" t="inlineStr">
        <is>
          <t>TI provider identifies threat actor profiles most likely to target the entity</t>
        </is>
      </c>
      <c r="C15" s="35" t="inlineStr">
        <is>
          <t>Not Started</t>
        </is>
      </c>
      <c r="D15" s="41" t="inlineStr">
        <is>
          <t>CRITICAL</t>
        </is>
      </c>
      <c r="E15" s="42" t="n"/>
      <c r="F15" s="79" t="n"/>
      <c r="G15" s="79" t="n"/>
      <c r="H15" s="44" t="inlineStr">
        <is>
          <t>RTS Art. 10(2); RTS Annex III</t>
        </is>
      </c>
      <c r="I15" s="45" t="n"/>
      <c r="J15" s="35" t="n"/>
    </row>
    <row r="16">
      <c r="A16" s="26" t="n"/>
      <c r="B16" s="47" t="inlineStr">
        <is>
          <t>TIP: Generic threat intelligence produces generic tests. If your TTIR reads like it could apply to any bank in Europe - 'APT28 targets financial sector via phishing' - it will produce scenarios that test your email gateway and nothing else. Push the TI provider to go deep on YOUR technology stack, YOUR geography, YOUR business model. The best TTIRs name specific software versions on the target's perimeter, identify key personnel by role, and map the supply chain. That level of specificity is what turns a compliance exercise into a real security test.</t>
        </is>
      </c>
      <c r="C16" s="26" t="n"/>
      <c r="D16" s="26" t="n"/>
      <c r="E16" s="26" t="n"/>
      <c r="F16" s="26" t="n"/>
      <c r="G16" s="26" t="n"/>
      <c r="H16" s="26" t="n"/>
      <c r="I16" s="26" t="n"/>
      <c r="J16" s="26" t="n"/>
    </row>
    <row r="17">
      <c r="A17" s="48" t="inlineStr">
        <is>
          <t>5B: Scenario Development</t>
        </is>
      </c>
      <c r="B17" s="76" t="n"/>
      <c r="C17" s="76" t="n"/>
      <c r="D17" s="76" t="n"/>
      <c r="E17" s="76" t="n"/>
      <c r="F17" s="76" t="n"/>
      <c r="G17" s="76" t="n"/>
      <c r="H17" s="76" t="n"/>
      <c r="I17" s="76" t="n"/>
      <c r="J17" s="77" t="n"/>
    </row>
    <row r="18">
      <c r="A18" s="39" t="inlineStr">
        <is>
          <t>5.12</t>
        </is>
      </c>
      <c r="B18" s="40" t="inlineStr">
        <is>
          <t>TI provider develops broad set of candidate scenarios</t>
        </is>
      </c>
      <c r="C18" s="35" t="inlineStr">
        <is>
          <t>Not Started</t>
        </is>
      </c>
      <c r="D18" s="41" t="inlineStr">
        <is>
          <t>CRITICAL</t>
        </is>
      </c>
      <c r="E18" s="42" t="n"/>
      <c r="F18" s="79" t="n"/>
      <c r="G18" s="79" t="n"/>
      <c r="H18" s="44" t="inlineStr">
        <is>
          <t>RTS Art. 10(2)</t>
        </is>
      </c>
      <c r="I18" s="45" t="n"/>
      <c r="J18" s="35" t="n"/>
    </row>
    <row r="19">
      <c r="A19" s="39" t="inlineStr">
        <is>
          <t>5.13</t>
        </is>
      </c>
      <c r="B19" s="40" t="inlineStr">
        <is>
          <t>Scenario selection meeting held (CTL + TI provider + test managers)</t>
        </is>
      </c>
      <c r="C19" s="35" t="inlineStr">
        <is>
          <t>Not Started</t>
        </is>
      </c>
      <c r="D19" s="41" t="inlineStr">
        <is>
          <t>CRITICAL</t>
        </is>
      </c>
      <c r="E19" s="42" t="n"/>
      <c r="F19" s="79" t="n"/>
      <c r="G19" s="79" t="n"/>
      <c r="H19" s="44" t="inlineStr">
        <is>
          <t>RTS Art. 10(3)</t>
        </is>
      </c>
      <c r="I19" s="45" t="n"/>
      <c r="J19" s="35" t="n"/>
    </row>
    <row r="20">
      <c r="A20" s="39" t="inlineStr">
        <is>
          <t>5.14</t>
        </is>
      </c>
      <c r="B20" s="40" t="inlineStr">
        <is>
          <t>CTL selects minimum 3 scenarios based on:</t>
        </is>
      </c>
      <c r="C20" s="35" t="inlineStr">
        <is>
          <t>Not Started</t>
        </is>
      </c>
      <c r="D20" s="41" t="inlineStr">
        <is>
          <t>CRITICAL</t>
        </is>
      </c>
      <c r="E20" s="42" t="n"/>
      <c r="F20" s="79" t="n"/>
      <c r="G20" s="79" t="n"/>
      <c r="H20" s="44" t="inlineStr">
        <is>
          <t>RTS Art. 10(3)</t>
        </is>
      </c>
      <c r="I20" s="45" t="n"/>
      <c r="J20" s="35" t="n"/>
    </row>
    <row r="21">
      <c r="A21" s="39" t="inlineStr">
        <is>
          <t>5.15</t>
        </is>
      </c>
      <c r="B21" s="40" t="inlineStr">
        <is>
          <t>TI provider recommendation and threat-led nature</t>
        </is>
      </c>
      <c r="C21" s="35" t="inlineStr">
        <is>
          <t>Not Started</t>
        </is>
      </c>
      <c r="D21" s="41" t="inlineStr">
        <is>
          <t>CRITICAL</t>
        </is>
      </c>
      <c r="E21" s="42" t="n"/>
      <c r="F21" s="79" t="n"/>
      <c r="G21" s="79" t="n"/>
      <c r="H21" s="44" t="inlineStr">
        <is>
          <t>RTS Art. 10(3)</t>
        </is>
      </c>
      <c r="I21" s="45" t="n"/>
      <c r="J21" s="35" t="n"/>
    </row>
    <row r="22">
      <c r="A22" s="39" t="inlineStr">
        <is>
          <t>5.16</t>
        </is>
      </c>
      <c r="B22" s="40" t="inlineStr">
        <is>
          <t>Test manager input</t>
        </is>
      </c>
      <c r="C22" s="35" t="inlineStr">
        <is>
          <t>Not Started</t>
        </is>
      </c>
      <c r="D22" s="46" t="inlineStr">
        <is>
          <t>HIGH</t>
        </is>
      </c>
      <c r="E22" s="42" t="n"/>
      <c r="F22" s="79" t="n"/>
      <c r="G22" s="79" t="n"/>
      <c r="H22" s="44" t="inlineStr">
        <is>
          <t>RTS Art. 10(3)</t>
        </is>
      </c>
      <c r="I22" s="45" t="n"/>
      <c r="J22" s="35" t="n"/>
    </row>
    <row r="23">
      <c r="A23" s="39" t="inlineStr">
        <is>
          <t>5.17</t>
        </is>
      </c>
      <c r="B23" s="40" t="inlineStr">
        <is>
          <t>Scenario feasibility (tester judgment)</t>
        </is>
      </c>
      <c r="C23" s="35" t="inlineStr">
        <is>
          <t>Not Started</t>
        </is>
      </c>
      <c r="D23" s="46" t="inlineStr">
        <is>
          <t>HIGH</t>
        </is>
      </c>
      <c r="E23" s="42" t="n"/>
      <c r="F23" s="79" t="n"/>
      <c r="G23" s="79" t="n"/>
      <c r="H23" s="44" t="inlineStr">
        <is>
          <t>RTS Art. 10(3)</t>
        </is>
      </c>
      <c r="I23" s="45" t="n"/>
      <c r="J23" s="35" t="n"/>
    </row>
    <row r="24">
      <c r="A24" s="39" t="inlineStr">
        <is>
          <t>5.18</t>
        </is>
      </c>
      <c r="B24" s="40" t="inlineStr">
        <is>
          <t>Entity size, complexity, and risk profile</t>
        </is>
      </c>
      <c r="C24" s="35" t="inlineStr">
        <is>
          <t>Not Started</t>
        </is>
      </c>
      <c r="D24" s="46" t="inlineStr">
        <is>
          <t>HIGH</t>
        </is>
      </c>
      <c r="E24" s="42" t="n"/>
      <c r="F24" s="79" t="n"/>
      <c r="G24" s="79" t="n"/>
      <c r="H24" s="44" t="inlineStr">
        <is>
          <t>RTS Art. 10(3)</t>
        </is>
      </c>
      <c r="I24" s="45" t="n"/>
      <c r="J24" s="35" t="n"/>
    </row>
    <row r="25">
      <c r="A25" s="39" t="inlineStr">
        <is>
          <t>5.19</t>
        </is>
      </c>
      <c r="B25" s="40" t="inlineStr">
        <is>
          <t>Selected scenarios cover different threat actors and TTPs</t>
        </is>
      </c>
      <c r="C25" s="35" t="inlineStr">
        <is>
          <t>Not Started</t>
        </is>
      </c>
      <c r="D25" s="41" t="inlineStr">
        <is>
          <t>CRITICAL</t>
        </is>
      </c>
      <c r="E25" s="42" t="n"/>
      <c r="F25" s="79" t="n"/>
      <c r="G25" s="79" t="n"/>
      <c r="H25" s="44" t="inlineStr">
        <is>
          <t>RTS Art. 10(2)</t>
        </is>
      </c>
      <c r="I25" s="45" t="n"/>
      <c r="J25" s="35" t="n"/>
    </row>
    <row r="26">
      <c r="A26" s="39" t="inlineStr">
        <is>
          <t>5.20</t>
        </is>
      </c>
      <c r="B26" s="40" t="inlineStr">
        <is>
          <t>Each scenario targets different critical functions</t>
        </is>
      </c>
      <c r="C26" s="35" t="inlineStr">
        <is>
          <t>Not Started</t>
        </is>
      </c>
      <c r="D26" s="41" t="inlineStr">
        <is>
          <t>CRITICAL</t>
        </is>
      </c>
      <c r="E26" s="42" t="n"/>
      <c r="F26" s="79" t="n"/>
      <c r="G26" s="79" t="n"/>
      <c r="H26" s="44" t="inlineStr">
        <is>
          <t>RTS Art. 10(2)</t>
        </is>
      </c>
      <c r="I26" s="45" t="n"/>
      <c r="J26" s="35" t="n"/>
    </row>
    <row r="27">
      <c r="A27" s="39" t="inlineStr">
        <is>
          <t>5.21</t>
        </is>
      </c>
      <c r="B27" s="40" t="inlineStr">
        <is>
          <t>Mandatory coverage:</t>
        </is>
      </c>
      <c r="C27" s="35" t="inlineStr">
        <is>
          <t>Not Started</t>
        </is>
      </c>
      <c r="D27" s="41" t="inlineStr">
        <is>
          <t>CRITICAL</t>
        </is>
      </c>
      <c r="E27" s="42" t="n"/>
      <c r="F27" s="79" t="n"/>
      <c r="G27" s="79" t="n"/>
      <c r="H27" s="44" t="inlineStr">
        <is>
          <t>RTS Art. 10(4); RTS Annex III</t>
        </is>
      </c>
      <c r="I27" s="45" t="n"/>
      <c r="J27" s="35" t="n"/>
    </row>
    <row r="28">
      <c r="A28" s="39" t="inlineStr">
        <is>
          <t>5.22</t>
        </is>
      </c>
      <c r="B28" s="40" t="inlineStr">
        <is>
          <t>At least one scenario targeting service availability</t>
        </is>
      </c>
      <c r="C28" s="35" t="inlineStr">
        <is>
          <t>Not Started</t>
        </is>
      </c>
      <c r="D28" s="41" t="inlineStr">
        <is>
          <t>CRITICAL</t>
        </is>
      </c>
      <c r="E28" s="42" t="n"/>
      <c r="F28" s="79" t="n"/>
      <c r="G28" s="79" t="n"/>
      <c r="H28" s="44" t="inlineStr">
        <is>
          <t>RTS Annex III</t>
        </is>
      </c>
      <c r="I28" s="45" t="n"/>
      <c r="J28" s="35" t="n"/>
    </row>
    <row r="29">
      <c r="A29" s="39" t="inlineStr">
        <is>
          <t>5.23</t>
        </is>
      </c>
      <c r="B29" s="40" t="inlineStr">
        <is>
          <t>At least one targeting data integrity</t>
        </is>
      </c>
      <c r="C29" s="35" t="inlineStr">
        <is>
          <t>Not Started</t>
        </is>
      </c>
      <c r="D29" s="41" t="inlineStr">
        <is>
          <t>CRITICAL</t>
        </is>
      </c>
      <c r="E29" s="42" t="n"/>
      <c r="F29" s="79" t="n"/>
      <c r="G29" s="79" t="n"/>
      <c r="H29" s="44" t="inlineStr">
        <is>
          <t>RTS Annex III</t>
        </is>
      </c>
      <c r="I29" s="45" t="n"/>
      <c r="J29" s="35" t="n"/>
    </row>
    <row r="30">
      <c r="A30" s="39" t="inlineStr">
        <is>
          <t>5.24</t>
        </is>
      </c>
      <c r="B30" s="40" t="inlineStr">
        <is>
          <t>At least one targeting information confidentiality</t>
        </is>
      </c>
      <c r="C30" s="35" t="inlineStr">
        <is>
          <t>Not Started</t>
        </is>
      </c>
      <c r="D30" s="41" t="inlineStr">
        <is>
          <t>CRITICAL</t>
        </is>
      </c>
      <c r="E30" s="42" t="n"/>
      <c r="F30" s="79" t="n"/>
      <c r="G30" s="79" t="n"/>
      <c r="H30" s="44" t="inlineStr">
        <is>
          <t>RTS Annex III</t>
        </is>
      </c>
      <c r="I30" s="45" t="n"/>
      <c r="J30" s="35" t="n"/>
    </row>
    <row r="31">
      <c r="A31" s="39" t="inlineStr">
        <is>
          <t>5.25</t>
        </is>
      </c>
      <c r="B31" s="40" t="inlineStr">
        <is>
          <t>Maximum 1 scenario may be non-threat-led ("scenario-X")</t>
        </is>
      </c>
      <c r="C31" s="35" t="inlineStr">
        <is>
          <t>Not Started</t>
        </is>
      </c>
      <c r="D31" s="46" t="inlineStr">
        <is>
          <t>HIGH</t>
        </is>
      </c>
      <c r="E31" s="42" t="n"/>
      <c r="F31" s="79" t="n"/>
      <c r="G31" s="79" t="n"/>
      <c r="H31" s="44" t="inlineStr">
        <is>
          <t>RTS Art. 10(4)</t>
        </is>
      </c>
      <c r="I31" s="45" t="n"/>
      <c r="J31" s="35" t="n"/>
    </row>
    <row r="32">
      <c r="A32" s="26" t="n"/>
      <c r="B32" s="47" t="inlineStr">
        <is>
          <t>TIP: Scenario selection is where scoping failures surface. Institutions have approved three scenarios that all target the same critical function from different angles - and then discovered post-test that two other CIFs were never touched. Map scenarios to CIFs explicitly before approval. If a critical function has no scenario targeting it, either add one or document the exclusion rationale now. The regulator will ask.</t>
        </is>
      </c>
      <c r="C32" s="26" t="n"/>
      <c r="D32" s="26" t="n"/>
      <c r="E32" s="26" t="n"/>
      <c r="F32" s="26" t="n"/>
      <c r="G32" s="26" t="n"/>
      <c r="H32" s="26" t="n"/>
      <c r="I32" s="26" t="n"/>
      <c r="J32" s="26" t="n"/>
    </row>
    <row r="33">
      <c r="A33" s="39" t="inlineStr">
        <is>
          <t>5.26</t>
        </is>
      </c>
      <c r="B33" s="40" t="inlineStr">
        <is>
          <t>For pooled TLPTs: at least 1 scenario targets third-party provider systems</t>
        </is>
      </c>
      <c r="C33" s="35" t="inlineStr">
        <is>
          <t>Not Started</t>
        </is>
      </c>
      <c r="D33" s="41" t="inlineStr">
        <is>
          <t>CRITICAL</t>
        </is>
      </c>
      <c r="E33" s="42" t="n"/>
      <c r="F33" s="79" t="n"/>
      <c r="G33" s="79" t="n"/>
      <c r="H33" s="44" t="inlineStr">
        <is>
          <t>RTS Art. 10(4)</t>
        </is>
      </c>
      <c r="I33" s="45" t="n"/>
      <c r="J33" s="35" t="n"/>
    </row>
    <row r="34">
      <c r="A34" s="39" t="inlineStr">
        <is>
          <t>5.27</t>
        </is>
      </c>
      <c r="B34" s="40" t="inlineStr">
        <is>
          <t>For joint TLPTs with intra-group providers: at least 1 scenario targets intra-group systems</t>
        </is>
      </c>
      <c r="C34" s="35" t="inlineStr">
        <is>
          <t>Not Started</t>
        </is>
      </c>
      <c r="D34" s="41" t="inlineStr">
        <is>
          <t>CRITICAL</t>
        </is>
      </c>
      <c r="E34" s="42" t="n"/>
      <c r="F34" s="79" t="n"/>
      <c r="G34" s="79" t="n"/>
      <c r="H34" s="44" t="inlineStr">
        <is>
          <t>RTS Art. 10(4)</t>
        </is>
      </c>
      <c r="I34" s="45" t="n"/>
      <c r="J34" s="35" t="n"/>
    </row>
    <row r="35">
      <c r="A35" s="48" t="inlineStr">
        <is>
          <t>5C: Targeted Threat Intelligence Report (TTIR)</t>
        </is>
      </c>
      <c r="B35" s="76" t="n"/>
      <c r="C35" s="76" t="n"/>
      <c r="D35" s="76" t="n"/>
      <c r="E35" s="76" t="n"/>
      <c r="F35" s="76" t="n"/>
      <c r="G35" s="76" t="n"/>
      <c r="H35" s="76" t="n"/>
      <c r="I35" s="76" t="n"/>
      <c r="J35" s="77" t="n"/>
    </row>
    <row r="36">
      <c r="A36" s="39" t="inlineStr">
        <is>
          <t>5.28</t>
        </is>
      </c>
      <c r="B36" s="40" t="inlineStr">
        <is>
          <t>TI provider delivers TTIR (per Annex III) containing:</t>
        </is>
      </c>
      <c r="C36" s="35" t="inlineStr">
        <is>
          <t>Not Started</t>
        </is>
      </c>
      <c r="D36" s="41" t="inlineStr">
        <is>
          <t>CRITICAL</t>
        </is>
      </c>
      <c r="E36" s="42" t="n"/>
      <c r="F36" s="79" t="n"/>
      <c r="G36" s="79" t="n"/>
      <c r="H36" s="44" t="inlineStr">
        <is>
          <t>RTS Art. 10(5); RTS Annex III</t>
        </is>
      </c>
      <c r="I36" s="45" t="n"/>
      <c r="J36" s="35" t="n"/>
    </row>
    <row r="37">
      <c r="A37" s="39" t="inlineStr">
        <is>
          <t>5.29</t>
        </is>
      </c>
      <c r="B37" s="40" t="inlineStr">
        <is>
          <t>Research scope definition</t>
        </is>
      </c>
      <c r="C37" s="35" t="inlineStr">
        <is>
          <t>Not Started</t>
        </is>
      </c>
      <c r="D37" s="41" t="inlineStr">
        <is>
          <t>CRITICAL</t>
        </is>
      </c>
      <c r="E37" s="42" t="n"/>
      <c r="F37" s="79" t="n"/>
      <c r="G37" s="79" t="n"/>
      <c r="H37" s="44" t="inlineStr">
        <is>
          <t>RTS Annex III</t>
        </is>
      </c>
      <c r="I37" s="45" t="n"/>
      <c r="J37" s="35" t="n"/>
    </row>
    <row r="38">
      <c r="A38" s="39" t="inlineStr">
        <is>
          <t>5.30</t>
        </is>
      </c>
      <c r="B38" s="40" t="inlineStr">
        <is>
          <t>Concrete actionable intelligence assessment</t>
        </is>
      </c>
      <c r="C38" s="35" t="inlineStr">
        <is>
          <t>Not Started</t>
        </is>
      </c>
      <c r="D38" s="41" t="inlineStr">
        <is>
          <t>CRITICAL</t>
        </is>
      </c>
      <c r="E38" s="42" t="n"/>
      <c r="F38" s="79" t="n"/>
      <c r="G38" s="79" t="n"/>
      <c r="H38" s="44" t="inlineStr">
        <is>
          <t>RTS Annex III</t>
        </is>
      </c>
      <c r="I38" s="45" t="n"/>
      <c r="J38" s="35" t="n"/>
    </row>
    <row r="39">
      <c r="A39" s="39" t="inlineStr">
        <is>
          <t>5.31</t>
        </is>
      </c>
      <c r="B39" s="40" t="inlineStr">
        <is>
          <t>Threat landscape analysis</t>
        </is>
      </c>
      <c r="C39" s="35" t="inlineStr">
        <is>
          <t>Not Started</t>
        </is>
      </c>
      <c r="D39" s="41" t="inlineStr">
        <is>
          <t>CRITICAL</t>
        </is>
      </c>
      <c r="E39" s="42" t="n"/>
      <c r="F39" s="79" t="n"/>
      <c r="G39" s="79" t="n"/>
      <c r="H39" s="44" t="inlineStr">
        <is>
          <t>RTS Annex III</t>
        </is>
      </c>
      <c r="I39" s="45" t="n"/>
      <c r="J39" s="35" t="n"/>
    </row>
    <row r="40">
      <c r="A40" s="39" t="inlineStr">
        <is>
          <t>5.32</t>
        </is>
      </c>
      <c r="B40" s="40" t="inlineStr">
        <is>
          <t>Threat actor profiles</t>
        </is>
      </c>
      <c r="C40" s="35" t="inlineStr">
        <is>
          <t>Not Started</t>
        </is>
      </c>
      <c r="D40" s="41" t="inlineStr">
        <is>
          <t>CRITICAL</t>
        </is>
      </c>
      <c r="E40" s="42" t="n"/>
      <c r="F40" s="79" t="n"/>
      <c r="G40" s="79" t="n"/>
      <c r="H40" s="44" t="inlineStr">
        <is>
          <t>RTS Annex III</t>
        </is>
      </c>
      <c r="I40" s="45" t="n"/>
      <c r="J40" s="35" t="n"/>
    </row>
    <row r="41">
      <c r="A41" s="39" t="inlineStr">
        <is>
          <t>5.33</t>
        </is>
      </c>
      <c r="B41" s="40" t="inlineStr">
        <is>
          <t>Minimum 3 end-to-end threat scenarios</t>
        </is>
      </c>
      <c r="C41" s="35" t="inlineStr">
        <is>
          <t>Not Started</t>
        </is>
      </c>
      <c r="D41" s="41" t="inlineStr">
        <is>
          <t>CRITICAL</t>
        </is>
      </c>
      <c r="E41" s="42" t="n"/>
      <c r="F41" s="79" t="n"/>
      <c r="G41" s="79" t="n"/>
      <c r="H41" s="44" t="inlineStr">
        <is>
          <t>RTS Annex III</t>
        </is>
      </c>
      <c r="I41" s="45" t="n"/>
      <c r="J41" s="35" t="n"/>
    </row>
    <row r="42">
      <c r="A42" s="39" t="inlineStr">
        <is>
          <t>5.34</t>
        </is>
      </c>
      <c r="B42" s="40" t="inlineStr">
        <is>
          <t>Control team reviews and submits TTIR to test managers</t>
        </is>
      </c>
      <c r="C42" s="35" t="inlineStr">
        <is>
          <t>Not Started</t>
        </is>
      </c>
      <c r="D42" s="41" t="inlineStr">
        <is>
          <t>CRITICAL</t>
        </is>
      </c>
      <c r="E42" s="42" t="n"/>
      <c r="F42" s="79" t="n"/>
      <c r="G42" s="79" t="n"/>
      <c r="H42" s="44" t="inlineStr">
        <is>
          <t>RTS Art. 10(6)</t>
        </is>
      </c>
      <c r="I42" s="45" t="n"/>
      <c r="J42" s="35" t="n"/>
    </row>
    <row r="43">
      <c r="A43" s="39" t="inlineStr">
        <is>
          <t>5.35</t>
        </is>
      </c>
      <c r="B43" s="40" t="inlineStr">
        <is>
          <t>TLPT Authority approves TTIR</t>
        </is>
      </c>
      <c r="C43" s="35" t="inlineStr">
        <is>
          <t>Not Started</t>
        </is>
      </c>
      <c r="D43" s="41" t="inlineStr">
        <is>
          <t>CRITICAL</t>
        </is>
      </c>
      <c r="E43" s="42" t="n"/>
      <c r="F43" s="79" t="n"/>
      <c r="G43" s="79" t="n"/>
      <c r="H43" s="44" t="inlineStr">
        <is>
          <t>RTS Art. 10(6)</t>
        </is>
      </c>
      <c r="I43" s="45" t="n"/>
      <c r="J43" s="35" t="n"/>
    </row>
    <row r="44">
      <c r="A44" s="39" t="inlineStr">
        <is>
          <t>5.36</t>
        </is>
      </c>
      <c r="B44" s="40" t="inlineStr">
        <is>
          <t>Approved TTIR shared with red team</t>
        </is>
      </c>
      <c r="C44" s="35" t="inlineStr">
        <is>
          <t>Not Started</t>
        </is>
      </c>
      <c r="D44" s="41" t="inlineStr">
        <is>
          <t>CRITICAL</t>
        </is>
      </c>
      <c r="E44" s="42" t="n"/>
      <c r="F44" s="79" t="n"/>
      <c r="G44" s="79" t="n"/>
      <c r="H44" s="44" t="inlineStr">
        <is>
          <t>RTS Art. 9(8)</t>
        </is>
      </c>
      <c r="I44" s="45" t="n"/>
      <c r="J44" s="35" t="n"/>
    </row>
  </sheetData>
  <sheetProtection selectLockedCells="0" selectUnlockedCells="0" sheet="1" objects="0" insertRows="1" insertHyperlinks="1" autoFilter="0" scenarios="0" formatColumns="0" deleteColumns="1" insertColumns="1" pivotTables="1" deleteRows="1" formatCells="1" formatRows="0" sort="0" password="CE4B"/>
  <mergeCells count="5">
    <mergeCell ref="A1:J1"/>
    <mergeCell ref="A17:J17"/>
    <mergeCell ref="A3:J3"/>
    <mergeCell ref="A35:J35"/>
    <mergeCell ref="A4:J4"/>
  </mergeCells>
  <conditionalFormatting sqref="A5:J44">
    <cfRule type="expression" priority="1" dxfId="4" stopIfTrue="1">
      <formula>$C5="N/A"</formula>
    </cfRule>
    <cfRule type="expression" priority="2" dxfId="5" stopIfTrue="1">
      <formula>AND($C5&lt;&gt;"Complete",$C5&lt;&gt;"N/A",$C5&lt;&gt;"",$F5&lt;&gt;"",$F5&lt;TODAY())</formula>
    </cfRule>
    <cfRule type="expression" priority="3" dxfId="0" stopIfTrue="1">
      <formula>$C5="Complete"</formula>
    </cfRule>
  </conditionalFormatting>
  <dataValidations count="4">
    <dataValidation sqref="C5:C44" showDropDown="0" showInputMessage="0" showErrorMessage="0" allowBlank="1" errorTitle="Invalid Status" error="Select: Not Started, In Progress, Complete, N/A" type="list">
      <formula1>"Not Started,In Progress,Complete,N/A"</formula1>
    </dataValidation>
    <dataValidation sqref="J5:J44" showDropDown="0" showInputMessage="0" showErrorMessage="0" allowBlank="1" errorTitle="Invalid Risk" error="Select: High, Medium, Low" type="list">
      <formula1>"High,Medium,Low"</formula1>
    </dataValidation>
    <dataValidation sqref="F5:F44" showDropDown="0" showInputMessage="0" showErrorMessage="1" allowBlank="1" errorTitle="Invalid Date" error="Please enter a valid date" type="date" operator="greaterThan">
      <formula1>2020-01-01</formula1>
    </dataValidation>
    <dataValidation sqref="G5:G44" showDropDown="0" showInputMessage="0" showErrorMessage="1" allowBlank="1" errorTitle="Invalid Date" error="Please enter a valid date" type="date" operator="greaterThan">
      <formula1>2020-01-01</formula1>
    </dataValidation>
  </dataValidations>
  <hyperlinks>
    <hyperlink xmlns:r="http://schemas.openxmlformats.org/officeDocument/2006/relationships" ref="H5" r:id="rId1"/>
    <hyperlink xmlns:r="http://schemas.openxmlformats.org/officeDocument/2006/relationships" ref="H6" r:id="rId2"/>
    <hyperlink xmlns:r="http://schemas.openxmlformats.org/officeDocument/2006/relationships" ref="H7" r:id="rId3"/>
    <hyperlink xmlns:r="http://schemas.openxmlformats.org/officeDocument/2006/relationships" ref="H8" r:id="rId4"/>
    <hyperlink xmlns:r="http://schemas.openxmlformats.org/officeDocument/2006/relationships" ref="H9" r:id="rId5"/>
    <hyperlink xmlns:r="http://schemas.openxmlformats.org/officeDocument/2006/relationships" ref="H10" r:id="rId6"/>
    <hyperlink xmlns:r="http://schemas.openxmlformats.org/officeDocument/2006/relationships" ref="H11" r:id="rId7"/>
    <hyperlink xmlns:r="http://schemas.openxmlformats.org/officeDocument/2006/relationships" ref="H12" r:id="rId8"/>
    <hyperlink xmlns:r="http://schemas.openxmlformats.org/officeDocument/2006/relationships" ref="H13" r:id="rId9"/>
    <hyperlink xmlns:r="http://schemas.openxmlformats.org/officeDocument/2006/relationships" ref="H14" r:id="rId10"/>
    <hyperlink xmlns:r="http://schemas.openxmlformats.org/officeDocument/2006/relationships" ref="H15" r:id="rId11"/>
    <hyperlink xmlns:r="http://schemas.openxmlformats.org/officeDocument/2006/relationships" ref="H18" r:id="rId12"/>
    <hyperlink xmlns:r="http://schemas.openxmlformats.org/officeDocument/2006/relationships" ref="H19" r:id="rId13"/>
    <hyperlink xmlns:r="http://schemas.openxmlformats.org/officeDocument/2006/relationships" ref="H20" r:id="rId14"/>
    <hyperlink xmlns:r="http://schemas.openxmlformats.org/officeDocument/2006/relationships" ref="H21" r:id="rId15"/>
    <hyperlink xmlns:r="http://schemas.openxmlformats.org/officeDocument/2006/relationships" ref="H22" r:id="rId16"/>
    <hyperlink xmlns:r="http://schemas.openxmlformats.org/officeDocument/2006/relationships" ref="H23" r:id="rId17"/>
    <hyperlink xmlns:r="http://schemas.openxmlformats.org/officeDocument/2006/relationships" ref="H24" r:id="rId18"/>
    <hyperlink xmlns:r="http://schemas.openxmlformats.org/officeDocument/2006/relationships" ref="H25" r:id="rId19"/>
    <hyperlink xmlns:r="http://schemas.openxmlformats.org/officeDocument/2006/relationships" ref="H26" r:id="rId20"/>
    <hyperlink xmlns:r="http://schemas.openxmlformats.org/officeDocument/2006/relationships" ref="H27" r:id="rId21"/>
    <hyperlink xmlns:r="http://schemas.openxmlformats.org/officeDocument/2006/relationships" ref="H28" r:id="rId22"/>
    <hyperlink xmlns:r="http://schemas.openxmlformats.org/officeDocument/2006/relationships" ref="H29" r:id="rId23"/>
    <hyperlink xmlns:r="http://schemas.openxmlformats.org/officeDocument/2006/relationships" ref="H30" r:id="rId24"/>
    <hyperlink xmlns:r="http://schemas.openxmlformats.org/officeDocument/2006/relationships" ref="H31" r:id="rId25"/>
    <hyperlink xmlns:r="http://schemas.openxmlformats.org/officeDocument/2006/relationships" ref="H33" r:id="rId26"/>
    <hyperlink xmlns:r="http://schemas.openxmlformats.org/officeDocument/2006/relationships" ref="H34" r:id="rId27"/>
    <hyperlink xmlns:r="http://schemas.openxmlformats.org/officeDocument/2006/relationships" ref="H36" r:id="rId28"/>
    <hyperlink xmlns:r="http://schemas.openxmlformats.org/officeDocument/2006/relationships" ref="H37" r:id="rId29"/>
    <hyperlink xmlns:r="http://schemas.openxmlformats.org/officeDocument/2006/relationships" ref="H38" r:id="rId30"/>
    <hyperlink xmlns:r="http://schemas.openxmlformats.org/officeDocument/2006/relationships" ref="H39" r:id="rId31"/>
    <hyperlink xmlns:r="http://schemas.openxmlformats.org/officeDocument/2006/relationships" ref="H40" r:id="rId32"/>
    <hyperlink xmlns:r="http://schemas.openxmlformats.org/officeDocument/2006/relationships" ref="H41" r:id="rId33"/>
    <hyperlink xmlns:r="http://schemas.openxmlformats.org/officeDocument/2006/relationships" ref="H42" r:id="rId34"/>
    <hyperlink xmlns:r="http://schemas.openxmlformats.org/officeDocument/2006/relationships" ref="H43" r:id="rId35"/>
    <hyperlink xmlns:r="http://schemas.openxmlformats.org/officeDocument/2006/relationships" ref="H44" r:id="rId36"/>
  </hyperlinks>
  <pageMargins left="0.75" right="0.75" top="1" bottom="1" header="0.5" footer="0.5"/>
  <pageSetup orientation="landscape" fitToHeight="0" fitToWidth="1"/>
  <headerFooter>
    <oddHeader>&amp;LAFINE | TLPT DORA Readiness Tracker&amp;RPage &amp;P of &amp;N</oddHeader>
    <oddFooter>&amp;CAFINE sp. z o.o. | afine.com</oddFooter>
    <evenHeader/>
    <evenFooter/>
    <firstHeader/>
    <firstFooter/>
  </headerFooter>
</worksheet>
</file>

<file path=xl/worksheets/sheet8.xml><?xml version="1.0" encoding="utf-8"?>
<worksheet xmlns="http://schemas.openxmlformats.org/spreadsheetml/2006/main">
  <sheetPr>
    <tabColor rgb="0027AE60"/>
    <outlinePr summaryBelow="1" summaryRight="1"/>
    <pageSetUpPr fitToPage="1"/>
  </sheetPr>
  <dimension ref="A1:J38"/>
  <sheetViews>
    <sheetView workbookViewId="0">
      <pane xSplit="2" ySplit="3" topLeftCell="C4" activePane="bottomRight" state="frozen"/>
      <selection pane="topRight" activeCell="A1" sqref="A1"/>
      <selection pane="bottomLeft" activeCell="A1" sqref="A1"/>
      <selection pane="bottomRight" activeCell="A1" sqref="A1"/>
    </sheetView>
  </sheetViews>
  <sheetFormatPr baseColWidth="8" defaultRowHeight="15"/>
  <cols>
    <col width="5" customWidth="1" min="1" max="1"/>
    <col width="55" customWidth="1" min="2" max="2"/>
    <col width="14" customWidth="1" min="3" max="3"/>
    <col width="12" customWidth="1" min="4" max="4"/>
    <col width="15" customWidth="1" min="5" max="5"/>
    <col width="12" customWidth="1" min="6" max="6"/>
    <col width="12" customWidth="1" min="7" max="7"/>
    <col width="18" customWidth="1" min="8" max="8"/>
    <col width="35" customWidth="1" min="9" max="9"/>
    <col width="12" customWidth="1" min="10" max="10"/>
  </cols>
  <sheetData>
    <row r="1">
      <c r="A1" s="36" t="inlineStr">
        <is>
          <t>Module 6: RED TEAM TESTING</t>
        </is>
      </c>
    </row>
    <row r="2">
      <c r="A2" s="37" t="inlineStr">
        <is>
          <t>#</t>
        </is>
      </c>
      <c r="B2" s="37" t="inlineStr">
        <is>
          <t>Checklist Item</t>
        </is>
      </c>
      <c r="C2" s="37" t="inlineStr">
        <is>
          <t>Status</t>
        </is>
      </c>
      <c r="D2" s="37" t="inlineStr">
        <is>
          <t>Priority</t>
        </is>
      </c>
      <c r="E2" s="37" t="inlineStr">
        <is>
          <t>Owner</t>
        </is>
      </c>
      <c r="F2" s="37" t="inlineStr">
        <is>
          <t>Due Date</t>
        </is>
      </c>
      <c r="G2" s="37" t="inlineStr">
        <is>
          <t>Done Date</t>
        </is>
      </c>
      <c r="H2" s="37" t="inlineStr">
        <is>
          <t>RTS Reference</t>
        </is>
      </c>
      <c r="I2" s="37" t="inlineStr">
        <is>
          <t>Evidence/Notes</t>
        </is>
      </c>
      <c r="J2" s="37" t="inlineStr">
        <is>
          <t>Risk if Missed</t>
        </is>
      </c>
    </row>
    <row r="3">
      <c r="A3" s="38">
        <f>"Progress: "&amp;COUNTIF(C5:C37,"Complete")&amp;" / 29 complete ("&amp;IF(29=0,0,ROUND(COUNTIF(C5:C37,"Complete")/29*100,0))&amp;"%)"</f>
        <v/>
      </c>
      <c r="B3" s="76" t="n"/>
      <c r="C3" s="76" t="n"/>
      <c r="D3" s="76" t="n"/>
      <c r="E3" s="76" t="n"/>
      <c r="F3" s="76" t="n"/>
      <c r="G3" s="76" t="n"/>
      <c r="H3" s="76" t="n"/>
      <c r="I3" s="76" t="n"/>
      <c r="J3" s="77" t="n"/>
    </row>
    <row r="4">
      <c r="A4" s="48" t="inlineStr">
        <is>
          <t>6A: Red Team Test Plan</t>
        </is>
      </c>
      <c r="B4" s="76" t="n"/>
      <c r="C4" s="76" t="n"/>
      <c r="D4" s="76" t="n"/>
      <c r="E4" s="76" t="n"/>
      <c r="F4" s="76" t="n"/>
      <c r="G4" s="76" t="n"/>
      <c r="H4" s="76" t="n"/>
      <c r="I4" s="76" t="n"/>
      <c r="J4" s="77" t="n"/>
    </row>
    <row r="5">
      <c r="A5" s="39" t="inlineStr">
        <is>
          <t>6.1</t>
        </is>
      </c>
      <c r="B5" s="40" t="inlineStr">
        <is>
          <t>Testers prepare Red Team Test Plan (Annex IV) including:</t>
        </is>
      </c>
      <c r="C5" s="35" t="inlineStr">
        <is>
          <t>Not Started</t>
        </is>
      </c>
      <c r="D5" s="41" t="inlineStr">
        <is>
          <t>CRITICAL</t>
        </is>
      </c>
      <c r="E5" s="42" t="n"/>
      <c r="F5" s="79" t="n"/>
      <c r="G5" s="79" t="n"/>
      <c r="H5" s="44" t="inlineStr">
        <is>
          <t>RTS Art. 11(1); RTS Annex IV</t>
        </is>
      </c>
      <c r="I5" s="45" t="n"/>
      <c r="J5" s="35" t="n"/>
    </row>
    <row r="6">
      <c r="A6" s="39" t="inlineStr">
        <is>
          <t>6.2</t>
        </is>
      </c>
      <c r="B6" s="40" t="inlineStr">
        <is>
          <t>Communication channels and procedures</t>
        </is>
      </c>
      <c r="C6" s="35" t="inlineStr">
        <is>
          <t>Not Started</t>
        </is>
      </c>
      <c r="D6" s="41" t="inlineStr">
        <is>
          <t>CRITICAL</t>
        </is>
      </c>
      <c r="E6" s="42" t="n"/>
      <c r="F6" s="79" t="n"/>
      <c r="G6" s="79" t="n"/>
      <c r="H6" s="44" t="inlineStr">
        <is>
          <t>RTS Annex IV(a)</t>
        </is>
      </c>
      <c r="I6" s="45" t="n"/>
      <c r="J6" s="35" t="n"/>
    </row>
    <row r="7">
      <c r="A7" s="39" t="inlineStr">
        <is>
          <t>6.3</t>
        </is>
      </c>
      <c r="B7" s="40" t="inlineStr">
        <is>
          <t>Allowed and disallowed TTPs (including social engineering boundaries)</t>
        </is>
      </c>
      <c r="C7" s="35" t="inlineStr">
        <is>
          <t>Not Started</t>
        </is>
      </c>
      <c r="D7" s="41" t="inlineStr">
        <is>
          <t>CRITICAL</t>
        </is>
      </c>
      <c r="E7" s="42" t="n"/>
      <c r="F7" s="79" t="n"/>
      <c r="G7" s="79" t="n"/>
      <c r="H7" s="44" t="inlineStr">
        <is>
          <t>RTS Annex IV(b)</t>
        </is>
      </c>
      <c r="I7" s="45" t="n"/>
      <c r="J7" s="35" t="n"/>
    </row>
    <row r="8">
      <c r="A8" s="39" t="inlineStr">
        <is>
          <t>6.4</t>
        </is>
      </c>
      <c r="B8" s="40" t="inlineStr">
        <is>
          <t>Tester risk management measures</t>
        </is>
      </c>
      <c r="C8" s="35" t="inlineStr">
        <is>
          <t>Not Started</t>
        </is>
      </c>
      <c r="D8" s="41" t="inlineStr">
        <is>
          <t>CRITICAL</t>
        </is>
      </c>
      <c r="E8" s="42" t="n"/>
      <c r="F8" s="79" t="n"/>
      <c r="G8" s="79" t="n"/>
      <c r="H8" s="44" t="inlineStr">
        <is>
          <t>RTS Annex IV(c)</t>
        </is>
      </c>
      <c r="I8" s="45" t="n"/>
      <c r="J8" s="35" t="n"/>
    </row>
    <row r="9">
      <c r="A9" s="39" t="inlineStr">
        <is>
          <t>6.5</t>
        </is>
      </c>
      <c r="B9" s="40" t="inlineStr">
        <is>
          <t>Per-scenario details: threat actor, intent, target functions, flags</t>
        </is>
      </c>
      <c r="C9" s="35" t="inlineStr">
        <is>
          <t>Not Started</t>
        </is>
      </c>
      <c r="D9" s="41" t="inlineStr">
        <is>
          <t>CRITICAL</t>
        </is>
      </c>
      <c r="E9" s="42" t="n"/>
      <c r="F9" s="79" t="n"/>
      <c r="G9" s="79" t="n"/>
      <c r="H9" s="44" t="inlineStr">
        <is>
          <t>RTS Annex IV(d)</t>
        </is>
      </c>
      <c r="I9" s="45" t="n"/>
      <c r="J9" s="35" t="n"/>
    </row>
    <row r="10">
      <c r="A10" s="39" t="inlineStr">
        <is>
          <t>6.6</t>
        </is>
      </c>
      <c r="B10" s="40" t="inlineStr">
        <is>
          <t>Detailed attack path descriptions with prerequisites</t>
        </is>
      </c>
      <c r="C10" s="35" t="inlineStr">
        <is>
          <t>Not Started</t>
        </is>
      </c>
      <c r="D10" s="41" t="inlineStr">
        <is>
          <t>CRITICAL</t>
        </is>
      </c>
      <c r="E10" s="42" t="n"/>
      <c r="F10" s="79" t="n"/>
      <c r="G10" s="79" t="n"/>
      <c r="H10" s="44" t="inlineStr">
        <is>
          <t>RTS Annex IV(e)</t>
        </is>
      </c>
      <c r="I10" s="45" t="n"/>
      <c r="J10" s="35" t="n"/>
    </row>
    <row r="11">
      <c r="A11" s="39" t="inlineStr">
        <is>
          <t>6.7</t>
        </is>
      </c>
      <c r="B11" s="40" t="inlineStr">
        <is>
          <t>Leg-up definitions with provision deadlines</t>
        </is>
      </c>
      <c r="C11" s="35" t="inlineStr">
        <is>
          <t>Not Started</t>
        </is>
      </c>
      <c r="D11" s="46" t="inlineStr">
        <is>
          <t>HIGH</t>
        </is>
      </c>
      <c r="E11" s="42" t="n"/>
      <c r="F11" s="79" t="n"/>
      <c r="G11" s="79" t="n"/>
      <c r="H11" s="44" t="inlineStr">
        <is>
          <t>RTS Annex IV(e)</t>
        </is>
      </c>
      <c r="I11" s="45" t="n"/>
      <c r="J11" s="35" t="n"/>
    </row>
    <row r="12">
      <c r="A12" s="26" t="n"/>
      <c r="B12" s="47" t="inlineStr">
        <is>
          <t>TIP: Define your leg-up process before day one of active testing, not when the red team is stuck at week four. Exercises have stalled for two weeks because the control team couldn't agree on whether providing a single credential constituted 'reasonable assistance' or 'invalidated the test.' Pre-agree the categories of leg-ups, who approves them, the maximum response time (best practice: 48 hours), and what documentation is required. A leg-up delayed is a week of testing burned.</t>
        </is>
      </c>
      <c r="C12" s="26" t="n"/>
      <c r="D12" s="26" t="n"/>
      <c r="E12" s="26" t="n"/>
      <c r="F12" s="26" t="n"/>
      <c r="G12" s="26" t="n"/>
      <c r="H12" s="26" t="n"/>
      <c r="I12" s="26" t="n"/>
      <c r="J12" s="26" t="n"/>
    </row>
    <row r="13">
      <c r="A13" s="39" t="inlineStr">
        <is>
          <t>6.8</t>
        </is>
      </c>
      <c r="B13" s="40" t="inlineStr">
        <is>
          <t>Three-phase scheduling: system entry, system movement, objective actions</t>
        </is>
      </c>
      <c r="C13" s="35" t="inlineStr">
        <is>
          <t>Not Started</t>
        </is>
      </c>
      <c r="D13" s="41" t="inlineStr">
        <is>
          <t>CRITICAL</t>
        </is>
      </c>
      <c r="E13" s="42" t="n"/>
      <c r="F13" s="79" t="n"/>
      <c r="G13" s="79" t="n"/>
      <c r="H13" s="44" t="inlineStr">
        <is>
          <t>RTS Annex IV(f)</t>
        </is>
      </c>
      <c r="I13" s="45" t="n"/>
      <c r="J13" s="35" t="n"/>
    </row>
    <row r="14">
      <c r="A14" s="39" t="inlineStr">
        <is>
          <t>6.9</t>
        </is>
      </c>
      <c r="B14" s="40" t="inlineStr">
        <is>
          <t>Entity infrastructure particularities</t>
        </is>
      </c>
      <c r="C14" s="35" t="inlineStr">
        <is>
          <t>Not Started</t>
        </is>
      </c>
      <c r="D14" s="46" t="inlineStr">
        <is>
          <t>HIGH</t>
        </is>
      </c>
      <c r="E14" s="42" t="n"/>
      <c r="F14" s="79" t="n"/>
      <c r="G14" s="79" t="n"/>
      <c r="H14" s="44" t="inlineStr">
        <is>
          <t>RTS Annex IV(g)</t>
        </is>
      </c>
      <c r="I14" s="45" t="n"/>
      <c r="J14" s="35" t="n"/>
    </row>
    <row r="15">
      <c r="A15" s="39" t="inlineStr">
        <is>
          <t>6.10</t>
        </is>
      </c>
      <c r="B15" s="40" t="inlineStr">
        <is>
          <t>Control team reviews and approves plan</t>
        </is>
      </c>
      <c r="C15" s="35" t="inlineStr">
        <is>
          <t>Not Started</t>
        </is>
      </c>
      <c r="D15" s="41" t="inlineStr">
        <is>
          <t>CRITICAL</t>
        </is>
      </c>
      <c r="E15" s="42" t="n"/>
      <c r="F15" s="79" t="n"/>
      <c r="G15" s="79" t="n"/>
      <c r="H15" s="44" t="inlineStr">
        <is>
          <t>RTS Art. 11(3)</t>
        </is>
      </c>
      <c r="I15" s="45" t="n"/>
      <c r="J15" s="35" t="n"/>
    </row>
    <row r="16">
      <c r="A16" s="39" t="inlineStr">
        <is>
          <t>6.11</t>
        </is>
      </c>
      <c r="B16" s="40" t="inlineStr">
        <is>
          <t>TLPT Authority approves plan</t>
        </is>
      </c>
      <c r="C16" s="35" t="inlineStr">
        <is>
          <t>Not Started</t>
        </is>
      </c>
      <c r="D16" s="41" t="inlineStr">
        <is>
          <t>CRITICAL</t>
        </is>
      </c>
      <c r="E16" s="42" t="n"/>
      <c r="F16" s="79" t="n"/>
      <c r="G16" s="79" t="n"/>
      <c r="H16" s="44" t="inlineStr">
        <is>
          <t>RTS Art. 11(3)</t>
        </is>
      </c>
      <c r="I16" s="45" t="n"/>
      <c r="J16" s="35" t="n"/>
    </row>
    <row r="17">
      <c r="A17" s="48" t="inlineStr">
        <is>
          <t>6B: Active Testing Execution</t>
        </is>
      </c>
      <c r="B17" s="76" t="n"/>
      <c r="C17" s="76" t="n"/>
      <c r="D17" s="76" t="n"/>
      <c r="E17" s="76" t="n"/>
      <c r="F17" s="76" t="n"/>
      <c r="G17" s="76" t="n"/>
      <c r="H17" s="76" t="n"/>
      <c r="I17" s="76" t="n"/>
      <c r="J17" s="77" t="n"/>
    </row>
    <row r="18">
      <c r="A18" s="39" t="inlineStr">
        <is>
          <t>6.12</t>
        </is>
      </c>
      <c r="B18" s="40" t="inlineStr">
        <is>
          <t>Active red team testing begins</t>
        </is>
      </c>
      <c r="C18" s="35" t="inlineStr">
        <is>
          <t>Not Started</t>
        </is>
      </c>
      <c r="D18" s="41" t="inlineStr">
        <is>
          <t>CRITICAL</t>
        </is>
      </c>
      <c r="E18" s="42" t="n"/>
      <c r="F18" s="79" t="n"/>
      <c r="G18" s="79" t="n"/>
      <c r="H18" s="44" t="inlineStr">
        <is>
          <t>RTS Art. 11(4)</t>
        </is>
      </c>
      <c r="I18" s="45" t="n"/>
      <c r="J18" s="35" t="n"/>
    </row>
    <row r="19">
      <c r="A19" s="39" t="inlineStr">
        <is>
          <t>6.13</t>
        </is>
      </c>
      <c r="B19" s="40" t="inlineStr">
        <is>
          <t>Duration minimum 12 weeks (proportionate to scope and complexity)</t>
        </is>
      </c>
      <c r="C19" s="35" t="inlineStr">
        <is>
          <t>Not Started</t>
        </is>
      </c>
      <c r="D19" s="41" t="inlineStr">
        <is>
          <t>CRITICAL</t>
        </is>
      </c>
      <c r="E19" s="42" t="n"/>
      <c r="F19" s="79" t="n"/>
      <c r="G19" s="79" t="n"/>
      <c r="H19" s="44" t="inlineStr">
        <is>
          <t>RTS Art. 11(5)</t>
        </is>
      </c>
      <c r="I19" s="45" t="n"/>
      <c r="J19" s="35" t="n"/>
    </row>
    <row r="20">
      <c r="A20" s="39" t="inlineStr">
        <is>
          <t>6.14</t>
        </is>
      </c>
      <c r="B20" s="40" t="inlineStr">
        <is>
          <t>Scenarios execute sequentially or simultaneously per plan</t>
        </is>
      </c>
      <c r="C20" s="35" t="inlineStr">
        <is>
          <t>Not Started</t>
        </is>
      </c>
      <c r="D20" s="46" t="inlineStr">
        <is>
          <t>HIGH</t>
        </is>
      </c>
      <c r="E20" s="42" t="n"/>
      <c r="F20" s="79" t="n"/>
      <c r="G20" s="79" t="n"/>
      <c r="H20" s="44" t="inlineStr">
        <is>
          <t>RTS Art. 11(5)</t>
        </is>
      </c>
      <c r="I20" s="45" t="n"/>
      <c r="J20" s="35" t="n"/>
    </row>
    <row r="21">
      <c r="A21" s="39" t="inlineStr">
        <is>
          <t>6.15</t>
        </is>
      </c>
      <c r="B21" s="40" t="inlineStr">
        <is>
          <t>Testers provide minimum weekly progress reports to control team and test managers</t>
        </is>
      </c>
      <c r="C21" s="35" t="inlineStr">
        <is>
          <t>Not Started</t>
        </is>
      </c>
      <c r="D21" s="41" t="inlineStr">
        <is>
          <t>CRITICAL</t>
        </is>
      </c>
      <c r="E21" s="42" t="n"/>
      <c r="F21" s="79" t="n"/>
      <c r="G21" s="79" t="n"/>
      <c r="H21" s="44" t="inlineStr">
        <is>
          <t>RTS Art. 11(7)</t>
        </is>
      </c>
      <c r="I21" s="45" t="n"/>
      <c r="J21" s="35" t="n"/>
    </row>
    <row r="22">
      <c r="A22" s="39" t="inlineStr">
        <is>
          <t>6.16</t>
        </is>
      </c>
      <c r="B22" s="40" t="inlineStr">
        <is>
          <t>TI provider remains available for consultation throughout</t>
        </is>
      </c>
      <c r="C22" s="35" t="inlineStr">
        <is>
          <t>Not Started</t>
        </is>
      </c>
      <c r="D22" s="46" t="inlineStr">
        <is>
          <t>HIGH</t>
        </is>
      </c>
      <c r="E22" s="42" t="n"/>
      <c r="F22" s="79" t="n"/>
      <c r="G22" s="79" t="n"/>
      <c r="H22" s="44" t="inlineStr">
        <is>
          <t>RTS Art. 11(7)</t>
        </is>
      </c>
      <c r="I22" s="45" t="n"/>
      <c r="J22" s="35" t="n"/>
    </row>
    <row r="23">
      <c r="A23" s="39" t="inlineStr">
        <is>
          <t>6.17</t>
        </is>
      </c>
      <c r="B23" s="40" t="inlineStr">
        <is>
          <t>All tester actions logged</t>
        </is>
      </c>
      <c r="C23" s="35" t="inlineStr">
        <is>
          <t>Not Started</t>
        </is>
      </c>
      <c r="D23" s="41" t="inlineStr">
        <is>
          <t>CRITICAL</t>
        </is>
      </c>
      <c r="E23" s="42" t="n"/>
      <c r="F23" s="79" t="n"/>
      <c r="G23" s="79" t="n"/>
      <c r="H23" s="44" t="inlineStr">
        <is>
          <t>TIBER-EU Section 5.2</t>
        </is>
      </c>
      <c r="I23" s="45" t="n"/>
      <c r="J23" s="35" t="n"/>
    </row>
    <row r="24">
      <c r="A24" s="48" t="inlineStr">
        <is>
          <t>6C: Operational Management During Testing</t>
        </is>
      </c>
      <c r="B24" s="76" t="n"/>
      <c r="C24" s="76" t="n"/>
      <c r="D24" s="76" t="n"/>
      <c r="E24" s="76" t="n"/>
      <c r="F24" s="76" t="n"/>
      <c r="G24" s="76" t="n"/>
      <c r="H24" s="76" t="n"/>
      <c r="I24" s="76" t="n"/>
      <c r="J24" s="77" t="n"/>
    </row>
    <row r="25">
      <c r="A25" s="39" t="inlineStr">
        <is>
          <t>6.18</t>
        </is>
      </c>
      <c r="B25" s="40" t="inlineStr">
        <is>
          <t>Control team monitors progress against plan</t>
        </is>
      </c>
      <c r="C25" s="35" t="inlineStr">
        <is>
          <t>Not Started</t>
        </is>
      </c>
      <c r="D25" s="46" t="inlineStr">
        <is>
          <t>HIGH</t>
        </is>
      </c>
      <c r="E25" s="42" t="n"/>
      <c r="F25" s="79" t="n"/>
      <c r="G25" s="79" t="n"/>
      <c r="H25" s="44" t="inlineStr">
        <is>
          <t>RTS Art. 4; RTS Art. 11(6)</t>
        </is>
      </c>
      <c r="I25" s="45" t="n"/>
      <c r="J25" s="35" t="n"/>
    </row>
    <row r="26">
      <c r="A26" s="39" t="inlineStr">
        <is>
          <t>6.19</t>
        </is>
      </c>
      <c r="B26" s="40" t="inlineStr">
        <is>
          <t>Leg-ups provided as needed (per pre-agreed process):</t>
        </is>
      </c>
      <c r="C26" s="35" t="inlineStr">
        <is>
          <t>Not Started</t>
        </is>
      </c>
      <c r="D26" s="46" t="inlineStr">
        <is>
          <t>HIGH</t>
        </is>
      </c>
      <c r="E26" s="42" t="n"/>
      <c r="F26" s="79" t="n"/>
      <c r="G26" s="79" t="n"/>
      <c r="H26" s="44" t="inlineStr">
        <is>
          <t>RTS Art. 11(8)</t>
        </is>
      </c>
      <c r="I26" s="45" t="n"/>
      <c r="J26" s="35" t="n"/>
    </row>
    <row r="27">
      <c r="A27" s="39" t="inlineStr">
        <is>
          <t>6.20</t>
        </is>
      </c>
      <c r="B27" s="40" t="inlineStr">
        <is>
          <t>Each leg-up documented: code, type, reason, what it compensates for</t>
        </is>
      </c>
      <c r="C27" s="35" t="inlineStr">
        <is>
          <t>Not Started</t>
        </is>
      </c>
      <c r="D27" s="41" t="inlineStr">
        <is>
          <t>CRITICAL</t>
        </is>
      </c>
      <c r="E27" s="42" t="n"/>
      <c r="F27" s="79" t="n"/>
      <c r="G27" s="79" t="n"/>
      <c r="H27" s="44" t="inlineStr">
        <is>
          <t>RTS Art. 11(8); RTS Annex IV(e)</t>
        </is>
      </c>
      <c r="I27" s="45" t="n"/>
      <c r="J27" s="35" t="n"/>
    </row>
    <row r="28">
      <c r="A28" s="39" t="inlineStr">
        <is>
          <t>6.21</t>
        </is>
      </c>
      <c r="B28" s="40" t="inlineStr">
        <is>
          <t>Approved by control team lead and test managers</t>
        </is>
      </c>
      <c r="C28" s="35" t="inlineStr">
        <is>
          <t>Not Started</t>
        </is>
      </c>
      <c r="D28" s="41" t="inlineStr">
        <is>
          <t>CRITICAL</t>
        </is>
      </c>
      <c r="E28" s="42" t="n"/>
      <c r="F28" s="79" t="n"/>
      <c r="G28" s="79" t="n"/>
      <c r="H28" s="44" t="inlineStr">
        <is>
          <t>RTS Art. 11(8)</t>
        </is>
      </c>
      <c r="I28" s="45" t="n"/>
      <c r="J28" s="35" t="n"/>
    </row>
    <row r="29">
      <c r="A29" s="39" t="inlineStr">
        <is>
          <t>6.22</t>
        </is>
      </c>
      <c r="B29" s="40" t="inlineStr">
        <is>
          <t>If blue team detects activity:</t>
        </is>
      </c>
      <c r="C29" s="35" t="inlineStr">
        <is>
          <t>Not Started</t>
        </is>
      </c>
      <c r="D29" s="46" t="inlineStr">
        <is>
          <t>HIGH</t>
        </is>
      </c>
      <c r="E29" s="42" t="n"/>
      <c r="F29" s="79" t="n"/>
      <c r="G29" s="79" t="n"/>
      <c r="H29" s="44" t="inlineStr">
        <is>
          <t>RTS Art. 11(9)</t>
        </is>
      </c>
      <c r="I29" s="45" t="n"/>
      <c r="J29" s="35" t="n"/>
    </row>
    <row r="30">
      <c r="A30" s="39" t="inlineStr">
        <is>
          <t>6.23</t>
        </is>
      </c>
      <c r="B30" s="40" t="inlineStr">
        <is>
          <t>Control team proposes continuation measures to test managers</t>
        </is>
      </c>
      <c r="C30" s="35" t="inlineStr">
        <is>
          <t>Not Started</t>
        </is>
      </c>
      <c r="D30" s="46" t="inlineStr">
        <is>
          <t>HIGH</t>
        </is>
      </c>
      <c r="E30" s="42" t="n"/>
      <c r="F30" s="79" t="n"/>
      <c r="G30" s="79" t="n"/>
      <c r="H30" s="44" t="inlineStr">
        <is>
          <t>RTS Art. 11(9)</t>
        </is>
      </c>
      <c r="I30" s="45" t="n"/>
      <c r="J30" s="35" t="n"/>
    </row>
    <row r="31">
      <c r="A31" s="39" t="inlineStr">
        <is>
          <t>6.24</t>
        </is>
      </c>
      <c r="B31" s="40" t="inlineStr">
        <is>
          <t>Measures implemented to maintain secrecy</t>
        </is>
      </c>
      <c r="C31" s="35" t="inlineStr">
        <is>
          <t>Not Started</t>
        </is>
      </c>
      <c r="D31" s="46" t="inlineStr">
        <is>
          <t>HIGH</t>
        </is>
      </c>
      <c r="E31" s="42" t="n"/>
      <c r="F31" s="79" t="n"/>
      <c r="G31" s="79" t="n"/>
      <c r="H31" s="44" t="inlineStr">
        <is>
          <t>RTS Art. 11(9)</t>
        </is>
      </c>
      <c r="I31" s="45" t="n"/>
      <c r="J31" s="35" t="n"/>
    </row>
    <row r="32">
      <c r="A32" s="39" t="inlineStr">
        <is>
          <t>6.25</t>
        </is>
      </c>
      <c r="B32" s="40" t="inlineStr">
        <is>
          <t>Any plan changes require CTL and TM approval</t>
        </is>
      </c>
      <c r="C32" s="35" t="inlineStr">
        <is>
          <t>Not Started</t>
        </is>
      </c>
      <c r="D32" s="41" t="inlineStr">
        <is>
          <t>CRITICAL</t>
        </is>
      </c>
      <c r="E32" s="42" t="n"/>
      <c r="F32" s="79" t="n"/>
      <c r="G32" s="79" t="n"/>
      <c r="H32" s="44" t="inlineStr">
        <is>
          <t>RTS Art. 11(6)</t>
        </is>
      </c>
      <c r="I32" s="45" t="n"/>
      <c r="J32" s="35" t="n"/>
    </row>
    <row r="33">
      <c r="A33" s="26" t="n"/>
      <c r="B33" s="47" t="inlineStr">
        <is>
          <t>TIP: Kill switch decision paralysis is a real phenomenon. When the red team reports they've reached a position where the next step could impact a production payment system, someone needs to make a call within hours, not days. Control teams have been known to escalate kill switch decisions through three levels of management while the test window burned. Pre-designate exactly one person with authority to halt the test immediately, and one person (different) with authority to resume it. Both should be reachable 24/7 during active testing.</t>
        </is>
      </c>
      <c r="C33" s="26" t="n"/>
      <c r="D33" s="26" t="n"/>
      <c r="E33" s="26" t="n"/>
      <c r="F33" s="26" t="n"/>
      <c r="G33" s="26" t="n"/>
      <c r="H33" s="26" t="n"/>
      <c r="I33" s="26" t="n"/>
      <c r="J33" s="26" t="n"/>
    </row>
    <row r="34">
      <c r="A34" s="39" t="inlineStr">
        <is>
          <t>6.26</t>
        </is>
      </c>
      <c r="B34" s="40" t="inlineStr">
        <is>
          <t>Exceptional circumstances protocol ready:</t>
        </is>
      </c>
      <c r="C34" s="35" t="inlineStr">
        <is>
          <t>Not Started</t>
        </is>
      </c>
      <c r="D34" s="46" t="inlineStr">
        <is>
          <t>HIGH</t>
        </is>
      </c>
      <c r="E34" s="42" t="n"/>
      <c r="F34" s="79" t="n"/>
      <c r="G34" s="79" t="n"/>
      <c r="H34" s="44" t="inlineStr">
        <is>
          <t>RTS Art. 11(10)</t>
        </is>
      </c>
      <c r="I34" s="45" t="n"/>
      <c r="J34" s="35" t="n"/>
    </row>
    <row r="35">
      <c r="A35" s="39" t="inlineStr">
        <is>
          <t>6.27</t>
        </is>
      </c>
      <c r="B35" s="40" t="inlineStr">
        <is>
          <t>CTL may suspend TLPT if risk to data, assets, or services</t>
        </is>
      </c>
      <c r="C35" s="35" t="inlineStr">
        <is>
          <t>Not Started</t>
        </is>
      </c>
      <c r="D35" s="41" t="inlineStr">
        <is>
          <t>CRITICAL</t>
        </is>
      </c>
      <c r="E35" s="42" t="n"/>
      <c r="F35" s="79" t="n"/>
      <c r="G35" s="79" t="n"/>
      <c r="H35" s="44" t="inlineStr">
        <is>
          <t>RTS Art. 11(10)</t>
        </is>
      </c>
      <c r="I35" s="45" t="n"/>
      <c r="J35" s="35" t="n"/>
    </row>
    <row r="36">
      <c r="A36" s="39" t="inlineStr">
        <is>
          <t>6.28</t>
        </is>
      </c>
      <c r="B36" s="40" t="inlineStr">
        <is>
          <t>Limited purple teaming as last resort (counts toward 12-week minimum)</t>
        </is>
      </c>
      <c r="C36" s="35" t="inlineStr">
        <is>
          <t>Not Started</t>
        </is>
      </c>
      <c r="D36" s="46" t="inlineStr">
        <is>
          <t>HIGH</t>
        </is>
      </c>
      <c r="E36" s="42" t="n"/>
      <c r="F36" s="79" t="n"/>
      <c r="G36" s="79" t="n"/>
      <c r="H36" s="44" t="inlineStr">
        <is>
          <t>RTS Art. 11(10)</t>
        </is>
      </c>
      <c r="I36" s="45" t="n"/>
      <c r="J36" s="35" t="n"/>
    </row>
    <row r="37">
      <c r="A37" s="39" t="inlineStr">
        <is>
          <t>6.29</t>
        </is>
      </c>
      <c r="B37" s="40" t="inlineStr">
        <is>
          <t>TM validation required for limited purple teaming</t>
        </is>
      </c>
      <c r="C37" s="35" t="inlineStr">
        <is>
          <t>Not Started</t>
        </is>
      </c>
      <c r="D37" s="41" t="inlineStr">
        <is>
          <t>CRITICAL</t>
        </is>
      </c>
      <c r="E37" s="42" t="n"/>
      <c r="F37" s="79" t="n"/>
      <c r="G37" s="79" t="n"/>
      <c r="H37" s="44" t="inlineStr">
        <is>
          <t>RTS Art. 11(10)</t>
        </is>
      </c>
      <c r="I37" s="45" t="n"/>
      <c r="J37" s="35" t="n"/>
    </row>
    <row r="38">
      <c r="A38" s="26" t="n"/>
      <c r="B38" s="47" t="inlineStr">
        <is>
          <t>TIP: The 12-week minimum is real. Institutions that try to compress this find it doesn't work - the regulator will push back. Budget for 12-16 weeks of active testing. And plan your leg-up process in advance. If nobody is clicking the phishing email, you need a pre-agreed mechanism to keep the test moving.</t>
        </is>
      </c>
      <c r="C38" s="26" t="n"/>
      <c r="D38" s="26" t="n"/>
      <c r="E38" s="26" t="n"/>
      <c r="F38" s="26" t="n"/>
      <c r="G38" s="26" t="n"/>
      <c r="H38" s="26" t="n"/>
      <c r="I38" s="26" t="n"/>
      <c r="J38" s="26" t="n"/>
    </row>
  </sheetData>
  <sheetProtection selectLockedCells="0" selectUnlockedCells="0" sheet="1" objects="0" insertRows="1" insertHyperlinks="1" autoFilter="0" scenarios="0" formatColumns="0" deleteColumns="1" insertColumns="1" pivotTables="1" deleteRows="1" formatCells="1" formatRows="0" sort="0" password="CE4B"/>
  <mergeCells count="5">
    <mergeCell ref="A1:J1"/>
    <mergeCell ref="A17:J17"/>
    <mergeCell ref="A3:J3"/>
    <mergeCell ref="A4:J4"/>
    <mergeCell ref="A24:J24"/>
  </mergeCells>
  <conditionalFormatting sqref="A5:J37">
    <cfRule type="expression" priority="1" dxfId="4" stopIfTrue="1">
      <formula>$C5="N/A"</formula>
    </cfRule>
    <cfRule type="expression" priority="2" dxfId="5" stopIfTrue="1">
      <formula>AND($C5&lt;&gt;"Complete",$C5&lt;&gt;"N/A",$C5&lt;&gt;"",$F5&lt;&gt;"",$F5&lt;TODAY())</formula>
    </cfRule>
    <cfRule type="expression" priority="3" dxfId="0" stopIfTrue="1">
      <formula>$C5="Complete"</formula>
    </cfRule>
  </conditionalFormatting>
  <dataValidations count="4">
    <dataValidation sqref="C5:C37" showDropDown="0" showInputMessage="0" showErrorMessage="0" allowBlank="1" errorTitle="Invalid Status" error="Select: Not Started, In Progress, Complete, N/A" type="list">
      <formula1>"Not Started,In Progress,Complete,N/A"</formula1>
    </dataValidation>
    <dataValidation sqref="J5:J37" showDropDown="0" showInputMessage="0" showErrorMessage="0" allowBlank="1" errorTitle="Invalid Risk" error="Select: High, Medium, Low" type="list">
      <formula1>"High,Medium,Low"</formula1>
    </dataValidation>
    <dataValidation sqref="F5:F37" showDropDown="0" showInputMessage="0" showErrorMessage="1" allowBlank="1" errorTitle="Invalid Date" error="Please enter a valid date" type="date" operator="greaterThan">
      <formula1>2020-01-01</formula1>
    </dataValidation>
    <dataValidation sqref="G5:G37" showDropDown="0" showInputMessage="0" showErrorMessage="1" allowBlank="1" errorTitle="Invalid Date" error="Please enter a valid date" type="date" operator="greaterThan">
      <formula1>2020-01-01</formula1>
    </dataValidation>
  </dataValidations>
  <hyperlinks>
    <hyperlink xmlns:r="http://schemas.openxmlformats.org/officeDocument/2006/relationships" ref="H5" r:id="rId1"/>
    <hyperlink xmlns:r="http://schemas.openxmlformats.org/officeDocument/2006/relationships" ref="H6" r:id="rId2"/>
    <hyperlink xmlns:r="http://schemas.openxmlformats.org/officeDocument/2006/relationships" ref="H7" r:id="rId3"/>
    <hyperlink xmlns:r="http://schemas.openxmlformats.org/officeDocument/2006/relationships" ref="H8" r:id="rId4"/>
    <hyperlink xmlns:r="http://schemas.openxmlformats.org/officeDocument/2006/relationships" ref="H9" r:id="rId5"/>
    <hyperlink xmlns:r="http://schemas.openxmlformats.org/officeDocument/2006/relationships" ref="H10" r:id="rId6"/>
    <hyperlink xmlns:r="http://schemas.openxmlformats.org/officeDocument/2006/relationships" ref="H11" r:id="rId7"/>
    <hyperlink xmlns:r="http://schemas.openxmlformats.org/officeDocument/2006/relationships" ref="H13" r:id="rId8"/>
    <hyperlink xmlns:r="http://schemas.openxmlformats.org/officeDocument/2006/relationships" ref="H14" r:id="rId9"/>
    <hyperlink xmlns:r="http://schemas.openxmlformats.org/officeDocument/2006/relationships" ref="H15" r:id="rId10"/>
    <hyperlink xmlns:r="http://schemas.openxmlformats.org/officeDocument/2006/relationships" ref="H16" r:id="rId11"/>
    <hyperlink xmlns:r="http://schemas.openxmlformats.org/officeDocument/2006/relationships" ref="H18" r:id="rId12"/>
    <hyperlink xmlns:r="http://schemas.openxmlformats.org/officeDocument/2006/relationships" ref="H19" r:id="rId13"/>
    <hyperlink xmlns:r="http://schemas.openxmlformats.org/officeDocument/2006/relationships" ref="H20" r:id="rId14"/>
    <hyperlink xmlns:r="http://schemas.openxmlformats.org/officeDocument/2006/relationships" ref="H21" r:id="rId15"/>
    <hyperlink xmlns:r="http://schemas.openxmlformats.org/officeDocument/2006/relationships" ref="H22" r:id="rId16"/>
    <hyperlink xmlns:r="http://schemas.openxmlformats.org/officeDocument/2006/relationships" ref="H23" r:id="rId17"/>
    <hyperlink xmlns:r="http://schemas.openxmlformats.org/officeDocument/2006/relationships" ref="H25" r:id="rId18"/>
    <hyperlink xmlns:r="http://schemas.openxmlformats.org/officeDocument/2006/relationships" ref="H26" r:id="rId19"/>
    <hyperlink xmlns:r="http://schemas.openxmlformats.org/officeDocument/2006/relationships" ref="H27" r:id="rId20"/>
    <hyperlink xmlns:r="http://schemas.openxmlformats.org/officeDocument/2006/relationships" ref="H28" r:id="rId21"/>
    <hyperlink xmlns:r="http://schemas.openxmlformats.org/officeDocument/2006/relationships" ref="H29" r:id="rId22"/>
    <hyperlink xmlns:r="http://schemas.openxmlformats.org/officeDocument/2006/relationships" ref="H30" r:id="rId23"/>
    <hyperlink xmlns:r="http://schemas.openxmlformats.org/officeDocument/2006/relationships" ref="H31" r:id="rId24"/>
    <hyperlink xmlns:r="http://schemas.openxmlformats.org/officeDocument/2006/relationships" ref="H32" r:id="rId25"/>
    <hyperlink xmlns:r="http://schemas.openxmlformats.org/officeDocument/2006/relationships" ref="H34" r:id="rId26"/>
    <hyperlink xmlns:r="http://schemas.openxmlformats.org/officeDocument/2006/relationships" ref="H35" r:id="rId27"/>
    <hyperlink xmlns:r="http://schemas.openxmlformats.org/officeDocument/2006/relationships" ref="H36" r:id="rId28"/>
    <hyperlink xmlns:r="http://schemas.openxmlformats.org/officeDocument/2006/relationships" ref="H37" r:id="rId29"/>
  </hyperlinks>
  <pageMargins left="0.75" right="0.75" top="1" bottom="1" header="0.5" footer="0.5"/>
  <pageSetup orientation="landscape" fitToHeight="0" fitToWidth="1"/>
  <headerFooter>
    <oddHeader>&amp;LAFINE | TLPT DORA Readiness Tracker&amp;RPage &amp;P of &amp;N</oddHeader>
    <oddFooter>&amp;CAFINE sp. z o.o. | afine.com</oddFooter>
    <evenHeader/>
    <evenFooter/>
    <firstHeader/>
    <firstFooter/>
  </headerFooter>
</worksheet>
</file>

<file path=xl/worksheets/sheet9.xml><?xml version="1.0" encoding="utf-8"?>
<worksheet xmlns="http://schemas.openxmlformats.org/spreadsheetml/2006/main">
  <sheetPr>
    <tabColor rgb="0027AE60"/>
    <outlinePr summaryBelow="1" summaryRight="1"/>
    <pageSetUpPr fitToPage="1"/>
  </sheetPr>
  <dimension ref="A1:J58"/>
  <sheetViews>
    <sheetView workbookViewId="0">
      <pane xSplit="2" ySplit="3" topLeftCell="C4" activePane="bottomRight" state="frozen"/>
      <selection pane="topRight" activeCell="A1" sqref="A1"/>
      <selection pane="bottomLeft" activeCell="A1" sqref="A1"/>
      <selection pane="bottomRight" activeCell="A1" sqref="A1"/>
    </sheetView>
  </sheetViews>
  <sheetFormatPr baseColWidth="8" defaultRowHeight="15"/>
  <cols>
    <col width="5" customWidth="1" min="1" max="1"/>
    <col width="55" customWidth="1" min="2" max="2"/>
    <col width="14" customWidth="1" min="3" max="3"/>
    <col width="12" customWidth="1" min="4" max="4"/>
    <col width="15" customWidth="1" min="5" max="5"/>
    <col width="12" customWidth="1" min="6" max="6"/>
    <col width="12" customWidth="1" min="7" max="7"/>
    <col width="18" customWidth="1" min="8" max="8"/>
    <col width="35" customWidth="1" min="9" max="9"/>
    <col width="12" customWidth="1" min="10" max="10"/>
  </cols>
  <sheetData>
    <row r="1">
      <c r="A1" s="36" t="inlineStr">
        <is>
          <t>Module 7: CLOSURE PHASE</t>
        </is>
      </c>
    </row>
    <row r="2">
      <c r="A2" s="37" t="inlineStr">
        <is>
          <t>#</t>
        </is>
      </c>
      <c r="B2" s="37" t="inlineStr">
        <is>
          <t>Checklist Item</t>
        </is>
      </c>
      <c r="C2" s="37" t="inlineStr">
        <is>
          <t>Status</t>
        </is>
      </c>
      <c r="D2" s="37" t="inlineStr">
        <is>
          <t>Priority</t>
        </is>
      </c>
      <c r="E2" s="37" t="inlineStr">
        <is>
          <t>Owner</t>
        </is>
      </c>
      <c r="F2" s="37" t="inlineStr">
        <is>
          <t>Due Date</t>
        </is>
      </c>
      <c r="G2" s="37" t="inlineStr">
        <is>
          <t>Done Date</t>
        </is>
      </c>
      <c r="H2" s="37" t="inlineStr">
        <is>
          <t>RTS Reference</t>
        </is>
      </c>
      <c r="I2" s="37" t="inlineStr">
        <is>
          <t>Evidence/Notes</t>
        </is>
      </c>
      <c r="J2" s="37" t="inlineStr">
        <is>
          <t>Risk if Missed</t>
        </is>
      </c>
    </row>
    <row r="3">
      <c r="A3" s="38">
        <f>"Progress: "&amp;COUNTIF(C5:C58,"Complete")&amp;" / 48 complete ("&amp;IF(48=0,0,ROUND(COUNTIF(C5:C58,"Complete")/48*100,0))&amp;"%)"</f>
        <v/>
      </c>
      <c r="B3" s="76" t="n"/>
      <c r="C3" s="76" t="n"/>
      <c r="D3" s="76" t="n"/>
      <c r="E3" s="76" t="n"/>
      <c r="F3" s="76" t="n"/>
      <c r="G3" s="76" t="n"/>
      <c r="H3" s="76" t="n"/>
      <c r="I3" s="76" t="n"/>
      <c r="J3" s="77" t="n"/>
    </row>
    <row r="4">
      <c r="A4" s="48" t="inlineStr">
        <is>
          <t>7A: Blue Team Notification</t>
        </is>
      </c>
      <c r="B4" s="76" t="n"/>
      <c r="C4" s="76" t="n"/>
      <c r="D4" s="76" t="n"/>
      <c r="E4" s="76" t="n"/>
      <c r="F4" s="76" t="n"/>
      <c r="G4" s="76" t="n"/>
      <c r="H4" s="76" t="n"/>
      <c r="I4" s="76" t="n"/>
      <c r="J4" s="77" t="n"/>
    </row>
    <row r="5">
      <c r="A5" s="39" t="inlineStr">
        <is>
          <t>7.1</t>
        </is>
      </c>
      <c r="B5" s="40" t="inlineStr">
        <is>
          <t>Active testing ends (all parties agree)</t>
        </is>
      </c>
      <c r="C5" s="35" t="inlineStr">
        <is>
          <t>Not Started</t>
        </is>
      </c>
      <c r="D5" s="41" t="inlineStr">
        <is>
          <t>CRITICAL</t>
        </is>
      </c>
      <c r="E5" s="42" t="n"/>
      <c r="F5" s="79" t="n"/>
      <c r="G5" s="79" t="n"/>
      <c r="H5" s="44" t="inlineStr">
        <is>
          <t>RTS Art. 11(5)</t>
        </is>
      </c>
      <c r="I5" s="45" t="n"/>
      <c r="J5" s="35" t="n"/>
    </row>
    <row r="6">
      <c r="A6" s="39" t="inlineStr">
        <is>
          <t>7.2</t>
        </is>
      </c>
      <c r="B6" s="40" t="inlineStr">
        <is>
          <t>Control team lead informs blue team that a TLPT took place</t>
        </is>
      </c>
      <c r="C6" s="35" t="inlineStr">
        <is>
          <t>Not Started</t>
        </is>
      </c>
      <c r="D6" s="41" t="inlineStr">
        <is>
          <t>CRITICAL</t>
        </is>
      </c>
      <c r="E6" s="42" t="n"/>
      <c r="F6" s="79" t="n"/>
      <c r="G6" s="79" t="n"/>
      <c r="H6" s="44" t="inlineStr">
        <is>
          <t>RTS Art. 12(1)</t>
        </is>
      </c>
      <c r="I6" s="45" t="n"/>
      <c r="J6" s="35" t="n"/>
    </row>
    <row r="7">
      <c r="A7" s="39" t="inlineStr">
        <is>
          <t>7.3</t>
        </is>
      </c>
      <c r="B7" s="40" t="inlineStr">
        <is>
          <t>Blue team receives red team test report (may be cleared of sensitive information)</t>
        </is>
      </c>
      <c r="C7" s="35" t="inlineStr">
        <is>
          <t>Not Started</t>
        </is>
      </c>
      <c r="D7" s="46" t="inlineStr">
        <is>
          <t>HIGH</t>
        </is>
      </c>
      <c r="E7" s="42" t="n"/>
      <c r="F7" s="79" t="n"/>
      <c r="G7" s="79" t="n"/>
      <c r="H7" s="44" t="inlineStr">
        <is>
          <t>RTS Art. 12(3)</t>
        </is>
      </c>
      <c r="I7" s="45" t="n"/>
      <c r="J7" s="35" t="n"/>
    </row>
    <row r="8">
      <c r="A8" s="26" t="n"/>
      <c r="B8" s="47" t="inlineStr">
        <is>
          <t>TIP: The way you brief the blue team sets the tone for everything that follows. If the notification feels like 'you failed and here's the proof,' purple teaming becomes adversarial instead of collaborative. Brief the blue team with respect - they were operating blind by design. Frame findings as 'here is what an attacker with nation-state resources achieved against your defenses' not 'here is what you missed.' The blue team's cooperation in purple teaming determines whether your remediation plan addresses root causes or just patches symptoms.</t>
        </is>
      </c>
      <c r="C8" s="26" t="n"/>
      <c r="D8" s="26" t="n"/>
      <c r="E8" s="26" t="n"/>
      <c r="F8" s="26" t="n"/>
      <c r="G8" s="26" t="n"/>
      <c r="H8" s="26" t="n"/>
      <c r="I8" s="26" t="n"/>
      <c r="J8" s="26" t="n"/>
    </row>
    <row r="9">
      <c r="A9" s="48" t="inlineStr">
        <is>
          <t>7B: Reporting (Strict Deadlines)</t>
        </is>
      </c>
      <c r="B9" s="76" t="n"/>
      <c r="C9" s="76" t="n"/>
      <c r="D9" s="76" t="n"/>
      <c r="E9" s="76" t="n"/>
      <c r="F9" s="76" t="n"/>
      <c r="G9" s="76" t="n"/>
      <c r="H9" s="76" t="n"/>
      <c r="I9" s="76" t="n"/>
      <c r="J9" s="77" t="n"/>
    </row>
    <row r="10">
      <c r="A10" s="39" t="inlineStr">
        <is>
          <t>7.4</t>
        </is>
      </c>
      <c r="B10" s="40" t="inlineStr">
        <is>
          <t>Targeted CIFs and supporting systems</t>
        </is>
      </c>
      <c r="C10" s="35" t="inlineStr">
        <is>
          <t>Not Started</t>
        </is>
      </c>
      <c r="D10" s="41" t="inlineStr">
        <is>
          <t>CRITICAL</t>
        </is>
      </c>
      <c r="E10" s="42" t="n"/>
      <c r="F10" s="79" t="n"/>
      <c r="G10" s="79" t="n"/>
      <c r="H10" s="44" t="inlineStr">
        <is>
          <t>RTS Art. 12(2); RTS Annex V(a)</t>
        </is>
      </c>
      <c r="I10" s="45" t="n"/>
      <c r="J10" s="35" t="n"/>
    </row>
    <row r="11">
      <c r="A11" s="39" t="inlineStr">
        <is>
          <t>7.5</t>
        </is>
      </c>
      <c r="B11" s="40" t="inlineStr">
        <is>
          <t>Per-scenario summary</t>
        </is>
      </c>
      <c r="C11" s="35" t="inlineStr">
        <is>
          <t>Not Started</t>
        </is>
      </c>
      <c r="D11" s="41" t="inlineStr">
        <is>
          <t>CRITICAL</t>
        </is>
      </c>
      <c r="E11" s="42" t="n"/>
      <c r="F11" s="79" t="n"/>
      <c r="G11" s="79" t="n"/>
      <c r="H11" s="44" t="inlineStr">
        <is>
          <t>RTS Annex V(a)</t>
        </is>
      </c>
      <c r="I11" s="45" t="n"/>
      <c r="J11" s="35" t="n"/>
    </row>
    <row r="12">
      <c r="A12" s="39" t="inlineStr">
        <is>
          <t>7.6</t>
        </is>
      </c>
      <c r="B12" s="40" t="inlineStr">
        <is>
          <t>Reached and unreached flags</t>
        </is>
      </c>
      <c r="C12" s="35" t="inlineStr">
        <is>
          <t>Not Started</t>
        </is>
      </c>
      <c r="D12" s="41" t="inlineStr">
        <is>
          <t>CRITICAL</t>
        </is>
      </c>
      <c r="E12" s="42" t="n"/>
      <c r="F12" s="79" t="n"/>
      <c r="G12" s="79" t="n"/>
      <c r="H12" s="44" t="inlineStr">
        <is>
          <t>RTS Annex V(a)</t>
        </is>
      </c>
      <c r="I12" s="45" t="n"/>
      <c r="J12" s="35" t="n"/>
    </row>
    <row r="13">
      <c r="A13" s="39" t="inlineStr">
        <is>
          <t>7.7</t>
        </is>
      </c>
      <c r="B13" s="40" t="inlineStr">
        <is>
          <t>Successful and unsuccessful attack paths and TTPs</t>
        </is>
      </c>
      <c r="C13" s="35" t="inlineStr">
        <is>
          <t>Not Started</t>
        </is>
      </c>
      <c r="D13" s="41" t="inlineStr">
        <is>
          <t>CRITICAL</t>
        </is>
      </c>
      <c r="E13" s="42" t="n"/>
      <c r="F13" s="79" t="n"/>
      <c r="G13" s="79" t="n"/>
      <c r="H13" s="44" t="inlineStr">
        <is>
          <t>RTS Annex V(a)</t>
        </is>
      </c>
      <c r="I13" s="45" t="n"/>
      <c r="J13" s="35" t="n"/>
    </row>
    <row r="14">
      <c r="A14" s="39" t="inlineStr">
        <is>
          <t>7.8</t>
        </is>
      </c>
      <c r="B14" s="40" t="inlineStr">
        <is>
          <t>Plan deviations (if any)</t>
        </is>
      </c>
      <c r="C14" s="35" t="inlineStr">
        <is>
          <t>Not Started</t>
        </is>
      </c>
      <c r="D14" s="46" t="inlineStr">
        <is>
          <t>HIGH</t>
        </is>
      </c>
      <c r="E14" s="42" t="n"/>
      <c r="F14" s="79" t="n"/>
      <c r="G14" s="79" t="n"/>
      <c r="H14" s="44" t="inlineStr">
        <is>
          <t>RTS Annex V(a)</t>
        </is>
      </c>
      <c r="I14" s="45" t="n"/>
      <c r="J14" s="35" t="n"/>
    </row>
    <row r="15">
      <c r="A15" s="39" t="inlineStr">
        <is>
          <t>7.9</t>
        </is>
      </c>
      <c r="B15" s="40" t="inlineStr">
        <is>
          <t>Leg-ups granted (if any)</t>
        </is>
      </c>
      <c r="C15" s="35" t="inlineStr">
        <is>
          <t>Not Started</t>
        </is>
      </c>
      <c r="D15" s="46" t="inlineStr">
        <is>
          <t>HIGH</t>
        </is>
      </c>
      <c r="E15" s="42" t="n"/>
      <c r="F15" s="79" t="n"/>
      <c r="G15" s="79" t="n"/>
      <c r="H15" s="44" t="inlineStr">
        <is>
          <t>RTS Annex V(a)</t>
        </is>
      </c>
      <c r="I15" s="45" t="n"/>
      <c r="J15" s="35" t="n"/>
    </row>
    <row r="16">
      <c r="A16" s="39" t="inlineStr">
        <is>
          <t>7.10</t>
        </is>
      </c>
      <c r="B16" s="40" t="inlineStr">
        <is>
          <t>Blue team actions detected by testers</t>
        </is>
      </c>
      <c r="C16" s="35" t="inlineStr">
        <is>
          <t>Not Started</t>
        </is>
      </c>
      <c r="D16" s="46" t="inlineStr">
        <is>
          <t>HIGH</t>
        </is>
      </c>
      <c r="E16" s="42" t="n"/>
      <c r="F16" s="79" t="n"/>
      <c r="G16" s="79" t="n"/>
      <c r="H16" s="44" t="inlineStr">
        <is>
          <t>RTS Annex V(b)</t>
        </is>
      </c>
      <c r="I16" s="45" t="n"/>
      <c r="J16" s="35" t="n"/>
    </row>
    <row r="17">
      <c r="A17" s="39" t="inlineStr">
        <is>
          <t>7.11</t>
        </is>
      </c>
      <c r="B17" s="40" t="inlineStr">
        <is>
          <t>Vulnerability descriptions with criticality ratings</t>
        </is>
      </c>
      <c r="C17" s="35" t="inlineStr">
        <is>
          <t>Not Started</t>
        </is>
      </c>
      <c r="D17" s="41" t="inlineStr">
        <is>
          <t>CRITICAL</t>
        </is>
      </c>
      <c r="E17" s="42" t="n"/>
      <c r="F17" s="79" t="n"/>
      <c r="G17" s="79" t="n"/>
      <c r="H17" s="44" t="inlineStr">
        <is>
          <t>RTS Annex V(c)</t>
        </is>
      </c>
      <c r="I17" s="45" t="n"/>
      <c r="J17" s="35" t="n"/>
    </row>
    <row r="18">
      <c r="A18" s="39" t="inlineStr">
        <is>
          <t>7.12</t>
        </is>
      </c>
      <c r="B18" s="40" t="inlineStr">
        <is>
          <t>Root cause analysis of successful attacks</t>
        </is>
      </c>
      <c r="C18" s="35" t="inlineStr">
        <is>
          <t>Not Started</t>
        </is>
      </c>
      <c r="D18" s="41" t="inlineStr">
        <is>
          <t>CRITICAL</t>
        </is>
      </c>
      <c r="E18" s="42" t="n"/>
      <c r="F18" s="79" t="n"/>
      <c r="G18" s="79" t="n"/>
      <c r="H18" s="44" t="inlineStr">
        <is>
          <t>RTS Annex V(c)</t>
        </is>
      </c>
      <c r="I18" s="45" t="n"/>
      <c r="J18" s="35" t="n"/>
    </row>
    <row r="19">
      <c r="A19" s="39" t="inlineStr">
        <is>
          <t>7.13</t>
        </is>
      </c>
      <c r="B19" s="40" t="inlineStr">
        <is>
          <t>Remediation recommendations with priority</t>
        </is>
      </c>
      <c r="C19" s="35" t="inlineStr">
        <is>
          <t>Not Started</t>
        </is>
      </c>
      <c r="D19" s="41" t="inlineStr">
        <is>
          <t>CRITICAL</t>
        </is>
      </c>
      <c r="E19" s="42" t="n"/>
      <c r="F19" s="79" t="n"/>
      <c r="G19" s="79" t="n"/>
      <c r="H19" s="44" t="inlineStr">
        <is>
          <t>RTS Annex V(c)</t>
        </is>
      </c>
      <c r="I19" s="45" t="n"/>
      <c r="J19" s="35" t="n"/>
    </row>
    <row r="20">
      <c r="A20" s="39" t="inlineStr">
        <is>
          <t>7.14</t>
        </is>
      </c>
      <c r="B20" s="40" t="inlineStr">
        <is>
          <t>Submitted to control team and test managers</t>
        </is>
      </c>
      <c r="C20" s="35" t="inlineStr">
        <is>
          <t>Not Started</t>
        </is>
      </c>
      <c r="D20" s="41" t="inlineStr">
        <is>
          <t>CRITICAL</t>
        </is>
      </c>
      <c r="E20" s="42" t="n"/>
      <c r="F20" s="79" t="n"/>
      <c r="G20" s="79" t="n"/>
      <c r="H20" s="44" t="inlineStr">
        <is>
          <t>RTS Art. 12(2); RTS Art. 12(3)</t>
        </is>
      </c>
      <c r="I20" s="45" t="n"/>
      <c r="J20" s="35" t="n"/>
    </row>
    <row r="21">
      <c r="A21" s="39" t="inlineStr">
        <is>
          <t>7.15</t>
        </is>
      </c>
      <c r="B21" s="40" t="inlineStr">
        <is>
          <t>For each attack step: detected actions and corresponding log entries</t>
        </is>
      </c>
      <c r="C21" s="35" t="inlineStr">
        <is>
          <t>Not Started</t>
        </is>
      </c>
      <c r="D21" s="41" t="inlineStr">
        <is>
          <t>CRITICAL</t>
        </is>
      </c>
      <c r="E21" s="42" t="n"/>
      <c r="F21" s="79" t="n"/>
      <c r="G21" s="79" t="n"/>
      <c r="H21" s="44" t="inlineStr">
        <is>
          <t>RTS Art. 12(4); RTS Annex VI</t>
        </is>
      </c>
      <c r="I21" s="45" t="n"/>
      <c r="J21" s="35" t="n"/>
    </row>
    <row r="22">
      <c r="A22" s="39" t="inlineStr">
        <is>
          <t>7.16</t>
        </is>
      </c>
      <c r="B22" s="40" t="inlineStr">
        <is>
          <t>Assessment of tester findings and recommendations</t>
        </is>
      </c>
      <c r="C22" s="35" t="inlineStr">
        <is>
          <t>Not Started</t>
        </is>
      </c>
      <c r="D22" s="46" t="inlineStr">
        <is>
          <t>HIGH</t>
        </is>
      </c>
      <c r="E22" s="42" t="n"/>
      <c r="F22" s="79" t="n"/>
      <c r="G22" s="79" t="n"/>
      <c r="H22" s="44" t="inlineStr">
        <is>
          <t>RTS Annex VI</t>
        </is>
      </c>
      <c r="I22" s="45" t="n"/>
      <c r="J22" s="35" t="n"/>
    </row>
    <row r="23">
      <c r="A23" s="39" t="inlineStr">
        <is>
          <t>7.17</t>
        </is>
      </c>
      <c r="B23" s="40" t="inlineStr">
        <is>
          <t>Blue team-collected attack evidence</t>
        </is>
      </c>
      <c r="C23" s="35" t="inlineStr">
        <is>
          <t>Not Started</t>
        </is>
      </c>
      <c r="D23" s="46" t="inlineStr">
        <is>
          <t>HIGH</t>
        </is>
      </c>
      <c r="E23" s="42" t="n"/>
      <c r="F23" s="79" t="n"/>
      <c r="G23" s="79" t="n"/>
      <c r="H23" s="44" t="inlineStr">
        <is>
          <t>RTS Annex VI</t>
        </is>
      </c>
      <c r="I23" s="45" t="n"/>
      <c r="J23" s="35" t="n"/>
    </row>
    <row r="24">
      <c r="A24" s="39" t="inlineStr">
        <is>
          <t>7.18</t>
        </is>
      </c>
      <c r="B24" s="40" t="inlineStr">
        <is>
          <t>Blue team root cause analysis</t>
        </is>
      </c>
      <c r="C24" s="35" t="inlineStr">
        <is>
          <t>Not Started</t>
        </is>
      </c>
      <c r="D24" s="46" t="inlineStr">
        <is>
          <t>HIGH</t>
        </is>
      </c>
      <c r="E24" s="42" t="n"/>
      <c r="F24" s="79" t="n"/>
      <c r="G24" s="79" t="n"/>
      <c r="H24" s="44" t="inlineStr">
        <is>
          <t>RTS Annex VI</t>
        </is>
      </c>
      <c r="I24" s="45" t="n"/>
      <c r="J24" s="35" t="n"/>
    </row>
    <row r="25">
      <c r="A25" s="39" t="inlineStr">
        <is>
          <t>7.19</t>
        </is>
      </c>
      <c r="B25" s="40" t="inlineStr">
        <is>
          <t>Lessons learned and improvement potential</t>
        </is>
      </c>
      <c r="C25" s="35" t="inlineStr">
        <is>
          <t>Not Started</t>
        </is>
      </c>
      <c r="D25" s="46" t="inlineStr">
        <is>
          <t>HIGH</t>
        </is>
      </c>
      <c r="E25" s="42" t="n"/>
      <c r="F25" s="79" t="n"/>
      <c r="G25" s="79" t="n"/>
      <c r="H25" s="44" t="inlineStr">
        <is>
          <t>RTS Annex VI</t>
        </is>
      </c>
      <c r="I25" s="45" t="n"/>
      <c r="J25" s="35" t="n"/>
    </row>
    <row r="26">
      <c r="A26" s="39" t="inlineStr">
        <is>
          <t>7.20</t>
        </is>
      </c>
      <c r="B26" s="40" t="inlineStr">
        <is>
          <t>Purple teaming topics list</t>
        </is>
      </c>
      <c r="C26" s="35" t="inlineStr">
        <is>
          <t>Not Started</t>
        </is>
      </c>
      <c r="D26" s="41" t="inlineStr">
        <is>
          <t>CRITICAL</t>
        </is>
      </c>
      <c r="E26" s="42" t="n"/>
      <c r="F26" s="79" t="n"/>
      <c r="G26" s="79" t="n"/>
      <c r="H26" s="44" t="inlineStr">
        <is>
          <t>RTS Annex VI</t>
        </is>
      </c>
      <c r="I26" s="45" t="n"/>
      <c r="J26" s="35" t="n"/>
    </row>
    <row r="27">
      <c r="A27" s="39" t="inlineStr">
        <is>
          <t>7.21</t>
        </is>
      </c>
      <c r="B27" s="40" t="inlineStr">
        <is>
          <t>Submitted to testers and test managers</t>
        </is>
      </c>
      <c r="C27" s="35" t="inlineStr">
        <is>
          <t>Not Started</t>
        </is>
      </c>
      <c r="D27" s="41" t="inlineStr">
        <is>
          <t>CRITICAL</t>
        </is>
      </c>
      <c r="E27" s="42" t="n"/>
      <c r="F27" s="79" t="n"/>
      <c r="G27" s="79" t="n"/>
      <c r="H27" s="44" t="inlineStr">
        <is>
          <t>RTS Art. 12(4)</t>
        </is>
      </c>
      <c r="I27" s="45" t="n"/>
      <c r="J27" s="35" t="n"/>
    </row>
    <row r="28">
      <c r="A28" s="48" t="inlineStr">
        <is>
          <t>7C: Purple Teaming (Mandatory - within 10 weeks of active testing end)</t>
        </is>
      </c>
      <c r="B28" s="76" t="n"/>
      <c r="C28" s="76" t="n"/>
      <c r="D28" s="76" t="n"/>
      <c r="E28" s="76" t="n"/>
      <c r="F28" s="76" t="n"/>
      <c r="G28" s="76" t="n"/>
      <c r="H28" s="76" t="n"/>
      <c r="I28" s="76" t="n"/>
      <c r="J28" s="77" t="n"/>
    </row>
    <row r="29">
      <c r="A29" s="39" t="inlineStr">
        <is>
          <t>7.22</t>
        </is>
      </c>
      <c r="B29" s="40" t="inlineStr">
        <is>
          <t>Replay exercise: blue and red teams walk through attack and defense actions</t>
        </is>
      </c>
      <c r="C29" s="35" t="inlineStr">
        <is>
          <t>Not Started</t>
        </is>
      </c>
      <c r="D29" s="41" t="inlineStr">
        <is>
          <t>CRITICAL</t>
        </is>
      </c>
      <c r="E29" s="42" t="n"/>
      <c r="F29" s="79" t="n"/>
      <c r="G29" s="79" t="n"/>
      <c r="H29" s="44" t="inlineStr">
        <is>
          <t>RTS Art. 12(5)</t>
        </is>
      </c>
      <c r="I29" s="45" t="n"/>
      <c r="J29" s="35" t="n"/>
    </row>
    <row r="30">
      <c r="A30" s="39" t="inlineStr">
        <is>
          <t>7.23</t>
        </is>
      </c>
      <c r="B30" s="40" t="inlineStr">
        <is>
          <t>Purple teaming on jointly identified topics, including:</t>
        </is>
      </c>
      <c r="C30" s="35" t="inlineStr">
        <is>
          <t>Not Started</t>
        </is>
      </c>
      <c r="D30" s="41" t="inlineStr">
        <is>
          <t>CRITICAL</t>
        </is>
      </c>
      <c r="E30" s="42" t="n"/>
      <c r="F30" s="79" t="n"/>
      <c r="G30" s="79" t="n"/>
      <c r="H30" s="44" t="inlineStr">
        <is>
          <t>RTS Art. 12(5); TIBER-EU Purple Teaming Guidance</t>
        </is>
      </c>
      <c r="I30" s="45" t="n"/>
      <c r="J30" s="35" t="n"/>
    </row>
    <row r="31">
      <c r="A31" s="39" t="inlineStr">
        <is>
          <t>7.24</t>
        </is>
      </c>
      <c r="B31" s="40" t="inlineStr">
        <is>
          <t>Tabletop discussion of alternative scenarios</t>
        </is>
      </c>
      <c r="C31" s="35" t="inlineStr">
        <is>
          <t>Not Started</t>
        </is>
      </c>
      <c r="D31" s="46" t="inlineStr">
        <is>
          <t>HIGH</t>
        </is>
      </c>
      <c r="E31" s="42" t="n"/>
      <c r="F31" s="79" t="n"/>
      <c r="G31" s="79" t="n"/>
      <c r="H31" s="44" t="inlineStr">
        <is>
          <t>TIBER-EU Purple Teaming Guidance</t>
        </is>
      </c>
      <c r="I31" s="45" t="n"/>
      <c r="J31" s="35" t="n"/>
    </row>
    <row r="32">
      <c r="A32" s="39" t="inlineStr">
        <is>
          <t>7.25</t>
        </is>
      </c>
      <c r="B32" s="40" t="inlineStr">
        <is>
          <t>Re-exploration of attack scenarios on live systems</t>
        </is>
      </c>
      <c r="C32" s="35" t="inlineStr">
        <is>
          <t>Not Started</t>
        </is>
      </c>
      <c r="D32" s="46" t="inlineStr">
        <is>
          <t>HIGH</t>
        </is>
      </c>
      <c r="E32" s="42" t="n"/>
      <c r="F32" s="79" t="n"/>
      <c r="G32" s="79" t="n"/>
      <c r="H32" s="44" t="inlineStr">
        <is>
          <t>TIBER-EU Purple Teaming Guidance</t>
        </is>
      </c>
      <c r="I32" s="45" t="n"/>
      <c r="J32" s="35" t="n"/>
    </row>
    <row r="33">
      <c r="A33" s="26" t="n"/>
      <c r="B33" s="47" t="inlineStr">
        <is>
          <t>TIP: Purple teaming is not a debrief with slides. It is a hands-on technical exercise. Effective purple team sessions involve the blue team sitting next to the red team, replaying attack paths in real time, tuning detection rules on the spot, and validating fixes before the session ends. If your purple teaming plan is 'a two-hour meeting with a PowerPoint,' you are leaving 80% of the value on the table. Block full days. Bring laptops. Work on live systems.</t>
        </is>
      </c>
      <c r="C33" s="26" t="n"/>
      <c r="D33" s="26" t="n"/>
      <c r="E33" s="26" t="n"/>
      <c r="F33" s="26" t="n"/>
      <c r="G33" s="26" t="n"/>
      <c r="H33" s="26" t="n"/>
      <c r="I33" s="26" t="n"/>
      <c r="J33" s="26" t="n"/>
    </row>
    <row r="34">
      <c r="A34" s="39" t="inlineStr">
        <is>
          <t>7.26</t>
        </is>
      </c>
      <c r="B34" s="40" t="inlineStr">
        <is>
          <t>Alternative scenario exploration on live systems</t>
        </is>
      </c>
      <c r="C34" s="35" t="inlineStr">
        <is>
          <t>Not Started</t>
        </is>
      </c>
      <c r="D34" s="51" t="inlineStr">
        <is>
          <t>MEDIUM</t>
        </is>
      </c>
      <c r="E34" s="42" t="n"/>
      <c r="F34" s="79" t="n"/>
      <c r="G34" s="79" t="n"/>
      <c r="H34" s="44" t="inlineStr">
        <is>
          <t>TIBER-EU Purple Teaming Guidance</t>
        </is>
      </c>
      <c r="I34" s="45" t="n"/>
      <c r="J34" s="35" t="n"/>
    </row>
    <row r="35">
      <c r="A35" s="39" t="inlineStr">
        <is>
          <t>7.27</t>
        </is>
      </c>
      <c r="B35" s="40" t="inlineStr">
        <is>
          <t>Proof-of-concept development for untested vectors</t>
        </is>
      </c>
      <c r="C35" s="35" t="inlineStr">
        <is>
          <t>Not Started</t>
        </is>
      </c>
      <c r="D35" s="51" t="inlineStr">
        <is>
          <t>MEDIUM</t>
        </is>
      </c>
      <c r="E35" s="42" t="n"/>
      <c r="F35" s="79" t="n"/>
      <c r="G35" s="79" t="n"/>
      <c r="H35" s="44" t="inlineStr">
        <is>
          <t>TIBER-EU Purple Teaming Guidance</t>
        </is>
      </c>
      <c r="I35" s="45" t="n"/>
      <c r="J35" s="35" t="n"/>
    </row>
    <row r="36">
      <c r="A36" s="39" t="inlineStr">
        <is>
          <t>7.28</t>
        </is>
      </c>
      <c r="B36" s="40" t="inlineStr">
        <is>
          <t>Discussion of anticipated remediation measures</t>
        </is>
      </c>
      <c r="C36" s="35" t="inlineStr">
        <is>
          <t>Not Started</t>
        </is>
      </c>
      <c r="D36" s="46" t="inlineStr">
        <is>
          <t>HIGH</t>
        </is>
      </c>
      <c r="E36" s="42" t="n"/>
      <c r="F36" s="79" t="n"/>
      <c r="G36" s="79" t="n"/>
      <c r="H36" s="44" t="inlineStr">
        <is>
          <t>TIBER-EU Purple Teaming Guidance</t>
        </is>
      </c>
      <c r="I36" s="45" t="n"/>
      <c r="J36" s="35" t="n"/>
    </row>
    <row r="37">
      <c r="A37" s="39" t="inlineStr">
        <is>
          <t>7.29</t>
        </is>
      </c>
      <c r="B37" s="40" t="inlineStr">
        <is>
          <t>Business continuity exercise scenarios</t>
        </is>
      </c>
      <c r="C37" s="35" t="inlineStr">
        <is>
          <t>Not Started</t>
        </is>
      </c>
      <c r="D37" s="51" t="inlineStr">
        <is>
          <t>MEDIUM</t>
        </is>
      </c>
      <c r="E37" s="42" t="n"/>
      <c r="F37" s="79" t="n"/>
      <c r="G37" s="79" t="n"/>
      <c r="H37" s="44" t="inlineStr">
        <is>
          <t>TIBER-EU Purple Teaming Guidance</t>
        </is>
      </c>
      <c r="I37" s="45" t="n"/>
      <c r="J37" s="35" t="n"/>
    </row>
    <row r="38">
      <c r="A38" s="39" t="inlineStr">
        <is>
          <t>7.30</t>
        </is>
      </c>
      <c r="B38" s="40" t="inlineStr">
        <is>
          <t>All parties exchange feedback</t>
        </is>
      </c>
      <c r="C38" s="35" t="inlineStr">
        <is>
          <t>Not Started</t>
        </is>
      </c>
      <c r="D38" s="41" t="inlineStr">
        <is>
          <t>CRITICAL</t>
        </is>
      </c>
      <c r="E38" s="42" t="n"/>
      <c r="F38" s="79" t="n"/>
      <c r="G38" s="79" t="n"/>
      <c r="H38" s="44" t="inlineStr">
        <is>
          <t>RTS Art. 12(6)</t>
        </is>
      </c>
      <c r="I38" s="45" t="n"/>
      <c r="J38" s="35" t="n"/>
    </row>
    <row r="39">
      <c r="A39" s="39" t="inlineStr">
        <is>
          <t>7.31</t>
        </is>
      </c>
      <c r="B39" s="40" t="inlineStr">
        <is>
          <t>Test managers may provide feedback</t>
        </is>
      </c>
      <c r="C39" s="35" t="inlineStr">
        <is>
          <t>Not Started</t>
        </is>
      </c>
      <c r="D39" s="51" t="inlineStr">
        <is>
          <t>MEDIUM</t>
        </is>
      </c>
      <c r="E39" s="42" t="n"/>
      <c r="F39" s="79" t="n"/>
      <c r="G39" s="79" t="n"/>
      <c r="H39" s="44" t="inlineStr">
        <is>
          <t>RTS Art. 12(6)</t>
        </is>
      </c>
      <c r="I39" s="45" t="n"/>
      <c r="J39" s="35" t="n"/>
    </row>
    <row r="40">
      <c r="A40" s="39" t="inlineStr">
        <is>
          <t>7.32</t>
        </is>
      </c>
      <c r="B40" s="40" t="inlineStr">
        <is>
          <t>360-degree feedback session conducted</t>
        </is>
      </c>
      <c r="C40" s="35" t="inlineStr">
        <is>
          <t>Not Started</t>
        </is>
      </c>
      <c r="D40" s="46" t="inlineStr">
        <is>
          <t>HIGH</t>
        </is>
      </c>
      <c r="E40" s="42" t="n"/>
      <c r="F40" s="79" t="n"/>
      <c r="G40" s="79" t="n"/>
      <c r="H40" s="44" t="inlineStr">
        <is>
          <t>RTS Art. 12(6); TIBER-EU Section 6.3</t>
        </is>
      </c>
      <c r="I40" s="45" t="n"/>
      <c r="J40" s="35" t="n"/>
    </row>
    <row r="41">
      <c r="A41" s="26" t="n"/>
      <c r="B41" s="47" t="inlineStr">
        <is>
          <t>TIP: Purple teaming is where the real value is. The red team operation reveals gaps - but purple teaming transfers knowledge to your defenders. If your blue team doesn't understand HOW the attack worked and WHY their detection failed, the remediation plan will address symptoms, not root causes.</t>
        </is>
      </c>
      <c r="C41" s="26" t="n"/>
      <c r="D41" s="26" t="n"/>
      <c r="E41" s="26" t="n"/>
      <c r="F41" s="26" t="n"/>
      <c r="G41" s="26" t="n"/>
      <c r="H41" s="26" t="n"/>
      <c r="I41" s="26" t="n"/>
      <c r="J41" s="26" t="n"/>
    </row>
    <row r="42">
      <c r="A42" s="48" t="inlineStr">
        <is>
          <t>7D: Test Summary Report (Annex VII) - within 8 weeks of TM assessment notification</t>
        </is>
      </c>
      <c r="B42" s="76" t="n"/>
      <c r="C42" s="76" t="n"/>
      <c r="D42" s="76" t="n"/>
      <c r="E42" s="76" t="n"/>
      <c r="F42" s="76" t="n"/>
      <c r="G42" s="76" t="n"/>
      <c r="H42" s="76" t="n"/>
      <c r="I42" s="76" t="n"/>
      <c r="J42" s="77" t="n"/>
    </row>
    <row r="43">
      <c r="A43" s="39" t="inlineStr">
        <is>
          <t>7.33</t>
        </is>
      </c>
      <c r="B43" s="40" t="inlineStr">
        <is>
          <t>Involved parties documented</t>
        </is>
      </c>
      <c r="C43" s="35" t="inlineStr">
        <is>
          <t>Not Started</t>
        </is>
      </c>
      <c r="D43" s="41" t="inlineStr">
        <is>
          <t>CRITICAL</t>
        </is>
      </c>
      <c r="E43" s="42" t="n"/>
      <c r="F43" s="79" t="n"/>
      <c r="G43" s="79" t="n"/>
      <c r="H43" s="44" t="inlineStr">
        <is>
          <t>RTS Art. 12(7); RTS Annex VII(a)</t>
        </is>
      </c>
      <c r="I43" s="45" t="n"/>
      <c r="J43" s="35" t="n"/>
    </row>
    <row r="44">
      <c r="A44" s="39" t="inlineStr">
        <is>
          <t>7.34</t>
        </is>
      </c>
      <c r="B44" s="40" t="inlineStr">
        <is>
          <t>Project plan documented</t>
        </is>
      </c>
      <c r="C44" s="35" t="inlineStr">
        <is>
          <t>Not Started</t>
        </is>
      </c>
      <c r="D44" s="41" t="inlineStr">
        <is>
          <t>CRITICAL</t>
        </is>
      </c>
      <c r="E44" s="42" t="n"/>
      <c r="F44" s="79" t="n"/>
      <c r="G44" s="79" t="n"/>
      <c r="H44" s="44" t="inlineStr">
        <is>
          <t>RTS Annex VII(b)</t>
        </is>
      </c>
      <c r="I44" s="45" t="n"/>
      <c r="J44" s="35" t="n"/>
    </row>
    <row r="45">
      <c r="A45" s="39" t="inlineStr">
        <is>
          <t>7.35</t>
        </is>
      </c>
      <c r="B45" s="40" t="inlineStr">
        <is>
          <t>Validated scope with CIF rationale</t>
        </is>
      </c>
      <c r="C45" s="35" t="inlineStr">
        <is>
          <t>Not Started</t>
        </is>
      </c>
      <c r="D45" s="41" t="inlineStr">
        <is>
          <t>CRITICAL</t>
        </is>
      </c>
      <c r="E45" s="42" t="n"/>
      <c r="F45" s="79" t="n"/>
      <c r="G45" s="79" t="n"/>
      <c r="H45" s="44" t="inlineStr">
        <is>
          <t>RTS Annex VII(c)</t>
        </is>
      </c>
      <c r="I45" s="45" t="n"/>
      <c r="J45" s="35" t="n"/>
    </row>
    <row r="46">
      <c r="A46" s="39" t="inlineStr">
        <is>
          <t>7.36</t>
        </is>
      </c>
      <c r="B46" s="40" t="inlineStr">
        <is>
          <t>Selected scenarios and TTIR deviations</t>
        </is>
      </c>
      <c r="C46" s="35" t="inlineStr">
        <is>
          <t>Not Started</t>
        </is>
      </c>
      <c r="D46" s="41" t="inlineStr">
        <is>
          <t>CRITICAL</t>
        </is>
      </c>
      <c r="E46" s="42" t="n"/>
      <c r="F46" s="79" t="n"/>
      <c r="G46" s="79" t="n"/>
      <c r="H46" s="44" t="inlineStr">
        <is>
          <t>RTS Annex VII(d)</t>
        </is>
      </c>
      <c r="I46" s="45" t="n"/>
      <c r="J46" s="35" t="n"/>
    </row>
    <row r="47">
      <c r="A47" s="39" t="inlineStr">
        <is>
          <t>7.37</t>
        </is>
      </c>
      <c r="B47" s="40" t="inlineStr">
        <is>
          <t>Executed attack paths and TTPs used</t>
        </is>
      </c>
      <c r="C47" s="35" t="inlineStr">
        <is>
          <t>Not Started</t>
        </is>
      </c>
      <c r="D47" s="41" t="inlineStr">
        <is>
          <t>CRITICAL</t>
        </is>
      </c>
      <c r="E47" s="42" t="n"/>
      <c r="F47" s="79" t="n"/>
      <c r="G47" s="79" t="n"/>
      <c r="H47" s="44" t="inlineStr">
        <is>
          <t>RTS Annex VII(e)</t>
        </is>
      </c>
      <c r="I47" s="45" t="n"/>
      <c r="J47" s="35" t="n"/>
    </row>
    <row r="48">
      <c r="A48" s="39" t="inlineStr">
        <is>
          <t>7.38</t>
        </is>
      </c>
      <c r="B48" s="40" t="inlineStr">
        <is>
          <t>Captured and non-captured flags</t>
        </is>
      </c>
      <c r="C48" s="35" t="inlineStr">
        <is>
          <t>Not Started</t>
        </is>
      </c>
      <c r="D48" s="41" t="inlineStr">
        <is>
          <t>CRITICAL</t>
        </is>
      </c>
      <c r="E48" s="42" t="n"/>
      <c r="F48" s="79" t="n"/>
      <c r="G48" s="79" t="n"/>
      <c r="H48" s="44" t="inlineStr">
        <is>
          <t>RTS Annex VII(f)</t>
        </is>
      </c>
      <c r="I48" s="45" t="n"/>
      <c r="J48" s="35" t="n"/>
    </row>
    <row r="49">
      <c r="A49" s="39" t="inlineStr">
        <is>
          <t>7.39</t>
        </is>
      </c>
      <c r="B49" s="40" t="inlineStr">
        <is>
          <t>Deviations from the red team test plan (if any)</t>
        </is>
      </c>
      <c r="C49" s="35" t="inlineStr">
        <is>
          <t>Not Started</t>
        </is>
      </c>
      <c r="D49" s="41" t="inlineStr">
        <is>
          <t>CRITICAL</t>
        </is>
      </c>
      <c r="E49" s="42" t="n"/>
      <c r="F49" s="79" t="n"/>
      <c r="G49" s="79" t="n"/>
      <c r="H49" s="44" t="inlineStr">
        <is>
          <t>RTS Annex VII(g)</t>
        </is>
      </c>
      <c r="I49" s="45" t="n"/>
      <c r="J49" s="35" t="n"/>
    </row>
    <row r="50">
      <c r="A50" s="39" t="inlineStr">
        <is>
          <t>7.40</t>
        </is>
      </c>
      <c r="B50" s="40" t="inlineStr">
        <is>
          <t>Blue team detections</t>
        </is>
      </c>
      <c r="C50" s="35" t="inlineStr">
        <is>
          <t>Not Started</t>
        </is>
      </c>
      <c r="D50" s="41" t="inlineStr">
        <is>
          <t>CRITICAL</t>
        </is>
      </c>
      <c r="E50" s="42" t="n"/>
      <c r="F50" s="79" t="n"/>
      <c r="G50" s="79" t="n"/>
      <c r="H50" s="44" t="inlineStr">
        <is>
          <t>RTS Annex VII(h)</t>
        </is>
      </c>
      <c r="I50" s="45" t="n"/>
      <c r="J50" s="35" t="n"/>
    </row>
    <row r="51">
      <c r="A51" s="39" t="inlineStr">
        <is>
          <t>7.41</t>
        </is>
      </c>
      <c r="B51" s="40" t="inlineStr">
        <is>
          <t>Purple teaming conducted (if during testing phase)</t>
        </is>
      </c>
      <c r="C51" s="35" t="inlineStr">
        <is>
          <t>Not Started</t>
        </is>
      </c>
      <c r="D51" s="41" t="inlineStr">
        <is>
          <t>CRITICAL</t>
        </is>
      </c>
      <c r="E51" s="42" t="n"/>
      <c r="F51" s="79" t="n"/>
      <c r="G51" s="79" t="n"/>
      <c r="H51" s="44" t="inlineStr">
        <is>
          <t>RTS Annex VII(i)</t>
        </is>
      </c>
      <c r="I51" s="45" t="n"/>
      <c r="J51" s="35" t="n"/>
    </row>
    <row r="52">
      <c r="A52" s="39" t="inlineStr">
        <is>
          <t>7.42</t>
        </is>
      </c>
      <c r="B52" s="40" t="inlineStr">
        <is>
          <t>Leg-ups documented</t>
        </is>
      </c>
      <c r="C52" s="35" t="inlineStr">
        <is>
          <t>Not Started</t>
        </is>
      </c>
      <c r="D52" s="41" t="inlineStr">
        <is>
          <t>CRITICAL</t>
        </is>
      </c>
      <c r="E52" s="42" t="n"/>
      <c r="F52" s="79" t="n"/>
      <c r="G52" s="79" t="n"/>
      <c r="H52" s="44" t="inlineStr">
        <is>
          <t>RTS Annex VII(j)</t>
        </is>
      </c>
      <c r="I52" s="45" t="n"/>
      <c r="J52" s="35" t="n"/>
    </row>
    <row r="53">
      <c r="A53" s="39" t="inlineStr">
        <is>
          <t>7.43</t>
        </is>
      </c>
      <c r="B53" s="40" t="inlineStr">
        <is>
          <t>Risk management measures taken</t>
        </is>
      </c>
      <c r="C53" s="35" t="inlineStr">
        <is>
          <t>Not Started</t>
        </is>
      </c>
      <c r="D53" s="41" t="inlineStr">
        <is>
          <t>CRITICAL</t>
        </is>
      </c>
      <c r="E53" s="42" t="n"/>
      <c r="F53" s="79" t="n"/>
      <c r="G53" s="79" t="n"/>
      <c r="H53" s="44" t="inlineStr">
        <is>
          <t>RTS Annex VII(k)</t>
        </is>
      </c>
      <c r="I53" s="45" t="n"/>
      <c r="J53" s="35" t="n"/>
    </row>
    <row r="54">
      <c r="A54" s="39" t="inlineStr">
        <is>
          <t>7.44</t>
        </is>
      </c>
      <c r="B54" s="40" t="inlineStr">
        <is>
          <t>Vulnerabilities with criticality ratings</t>
        </is>
      </c>
      <c r="C54" s="35" t="inlineStr">
        <is>
          <t>Not Started</t>
        </is>
      </c>
      <c r="D54" s="41" t="inlineStr">
        <is>
          <t>CRITICAL</t>
        </is>
      </c>
      <c r="E54" s="42" t="n"/>
      <c r="F54" s="79" t="n"/>
      <c r="G54" s="79" t="n"/>
      <c r="H54" s="44" t="inlineStr">
        <is>
          <t>RTS Annex VII(l)</t>
        </is>
      </c>
      <c r="I54" s="45" t="n"/>
      <c r="J54" s="35" t="n"/>
    </row>
    <row r="55">
      <c r="A55" s="39" t="inlineStr">
        <is>
          <t>7.45</t>
        </is>
      </c>
      <c r="B55" s="40" t="inlineStr">
        <is>
          <t>Root cause analysis of successful attacks</t>
        </is>
      </c>
      <c r="C55" s="35" t="inlineStr">
        <is>
          <t>Not Started</t>
        </is>
      </c>
      <c r="D55" s="41" t="inlineStr">
        <is>
          <t>CRITICAL</t>
        </is>
      </c>
      <c r="E55" s="42" t="n"/>
      <c r="F55" s="79" t="n"/>
      <c r="G55" s="79" t="n"/>
      <c r="H55" s="44" t="inlineStr">
        <is>
          <t>RTS Annex VII(m)</t>
        </is>
      </c>
      <c r="I55" s="45" t="n"/>
      <c r="J55" s="35" t="n"/>
    </row>
    <row r="56">
      <c r="A56" s="39" t="inlineStr">
        <is>
          <t>7.46</t>
        </is>
      </c>
      <c r="B56" s="40" t="inlineStr">
        <is>
          <t>High-level remediation plan</t>
        </is>
      </c>
      <c r="C56" s="35" t="inlineStr">
        <is>
          <t>Not Started</t>
        </is>
      </c>
      <c r="D56" s="41" t="inlineStr">
        <is>
          <t>CRITICAL</t>
        </is>
      </c>
      <c r="E56" s="42" t="n"/>
      <c r="F56" s="79" t="n"/>
      <c r="G56" s="79" t="n"/>
      <c r="H56" s="44" t="inlineStr">
        <is>
          <t>RTS Annex VII(n)</t>
        </is>
      </c>
      <c r="I56" s="45" t="n"/>
      <c r="J56" s="35" t="n"/>
    </row>
    <row r="57">
      <c r="A57" s="39" t="inlineStr">
        <is>
          <t>7.47</t>
        </is>
      </c>
      <c r="B57" s="40" t="inlineStr">
        <is>
          <t>Lessons learned from feedback</t>
        </is>
      </c>
      <c r="C57" s="35" t="inlineStr">
        <is>
          <t>Not Started</t>
        </is>
      </c>
      <c r="D57" s="46" t="inlineStr">
        <is>
          <t>HIGH</t>
        </is>
      </c>
      <c r="E57" s="42" t="n"/>
      <c r="F57" s="79" t="n"/>
      <c r="G57" s="79" t="n"/>
      <c r="H57" s="44" t="inlineStr">
        <is>
          <t>RTS Annex VII(o)</t>
        </is>
      </c>
      <c r="I57" s="45" t="n"/>
      <c r="J57" s="35" t="n"/>
    </row>
    <row r="58">
      <c r="A58" s="39" t="inlineStr">
        <is>
          <t>7.48</t>
        </is>
      </c>
      <c r="B58" s="40" t="inlineStr">
        <is>
          <t>Submitted to TLPT Authority</t>
        </is>
      </c>
      <c r="C58" s="35" t="inlineStr">
        <is>
          <t>Not Started</t>
        </is>
      </c>
      <c r="D58" s="41" t="inlineStr">
        <is>
          <t>CRITICAL</t>
        </is>
      </c>
      <c r="E58" s="42" t="n"/>
      <c r="F58" s="79" t="n"/>
      <c r="G58" s="79" t="n"/>
      <c r="H58" s="44" t="inlineStr">
        <is>
          <t>RTS Art. 12(7); DORA Art. 26(6)</t>
        </is>
      </c>
      <c r="I58" s="45" t="n"/>
      <c r="J58" s="35" t="n"/>
    </row>
  </sheetData>
  <sheetProtection selectLockedCells="0" selectUnlockedCells="0" sheet="1" objects="0" insertRows="1" insertHyperlinks="1" autoFilter="0" scenarios="0" formatColumns="0" deleteColumns="1" insertColumns="1" pivotTables="1" deleteRows="1" formatCells="1" formatRows="0" sort="0" password="CE4B"/>
  <mergeCells count="6">
    <mergeCell ref="A1:J1"/>
    <mergeCell ref="A9:J9"/>
    <mergeCell ref="A3:J3"/>
    <mergeCell ref="A42:J42"/>
    <mergeCell ref="A4:J4"/>
    <mergeCell ref="A28:J28"/>
  </mergeCells>
  <conditionalFormatting sqref="A5:J58">
    <cfRule type="expression" priority="1" dxfId="4" stopIfTrue="1">
      <formula>$C5="N/A"</formula>
    </cfRule>
    <cfRule type="expression" priority="2" dxfId="5" stopIfTrue="1">
      <formula>AND($C5&lt;&gt;"Complete",$C5&lt;&gt;"N/A",$C5&lt;&gt;"",$F5&lt;&gt;"",$F5&lt;TODAY())</formula>
    </cfRule>
    <cfRule type="expression" priority="3" dxfId="0" stopIfTrue="1">
      <formula>$C5="Complete"</formula>
    </cfRule>
  </conditionalFormatting>
  <dataValidations count="4">
    <dataValidation sqref="C5:C58" showDropDown="0" showInputMessage="0" showErrorMessage="0" allowBlank="1" errorTitle="Invalid Status" error="Select: Not Started, In Progress, Complete, N/A" type="list">
      <formula1>"Not Started,In Progress,Complete,N/A"</formula1>
    </dataValidation>
    <dataValidation sqref="J5:J58" showDropDown="0" showInputMessage="0" showErrorMessage="0" allowBlank="1" errorTitle="Invalid Risk" error="Select: High, Medium, Low" type="list">
      <formula1>"High,Medium,Low"</formula1>
    </dataValidation>
    <dataValidation sqref="F5:F58" showDropDown="0" showInputMessage="0" showErrorMessage="1" allowBlank="1" errorTitle="Invalid Date" error="Please enter a valid date" type="date" operator="greaterThan">
      <formula1>2020-01-01</formula1>
    </dataValidation>
    <dataValidation sqref="G5:G58" showDropDown="0" showInputMessage="0" showErrorMessage="1" allowBlank="1" errorTitle="Invalid Date" error="Please enter a valid date" type="date" operator="greaterThan">
      <formula1>2020-01-01</formula1>
    </dataValidation>
  </dataValidations>
  <hyperlinks>
    <hyperlink xmlns:r="http://schemas.openxmlformats.org/officeDocument/2006/relationships" ref="H5" r:id="rId1"/>
    <hyperlink xmlns:r="http://schemas.openxmlformats.org/officeDocument/2006/relationships" ref="H6" r:id="rId2"/>
    <hyperlink xmlns:r="http://schemas.openxmlformats.org/officeDocument/2006/relationships" ref="H7" r:id="rId3"/>
    <hyperlink xmlns:r="http://schemas.openxmlformats.org/officeDocument/2006/relationships" ref="H10" r:id="rId4"/>
    <hyperlink xmlns:r="http://schemas.openxmlformats.org/officeDocument/2006/relationships" ref="H11" r:id="rId5"/>
    <hyperlink xmlns:r="http://schemas.openxmlformats.org/officeDocument/2006/relationships" ref="H12" r:id="rId6"/>
    <hyperlink xmlns:r="http://schemas.openxmlformats.org/officeDocument/2006/relationships" ref="H13" r:id="rId7"/>
    <hyperlink xmlns:r="http://schemas.openxmlformats.org/officeDocument/2006/relationships" ref="H14" r:id="rId8"/>
    <hyperlink xmlns:r="http://schemas.openxmlformats.org/officeDocument/2006/relationships" ref="H15" r:id="rId9"/>
    <hyperlink xmlns:r="http://schemas.openxmlformats.org/officeDocument/2006/relationships" ref="H16" r:id="rId10"/>
    <hyperlink xmlns:r="http://schemas.openxmlformats.org/officeDocument/2006/relationships" ref="H17" r:id="rId11"/>
    <hyperlink xmlns:r="http://schemas.openxmlformats.org/officeDocument/2006/relationships" ref="H18" r:id="rId12"/>
    <hyperlink xmlns:r="http://schemas.openxmlformats.org/officeDocument/2006/relationships" ref="H19" r:id="rId13"/>
    <hyperlink xmlns:r="http://schemas.openxmlformats.org/officeDocument/2006/relationships" ref="H20" r:id="rId14"/>
    <hyperlink xmlns:r="http://schemas.openxmlformats.org/officeDocument/2006/relationships" ref="H21" r:id="rId15"/>
    <hyperlink xmlns:r="http://schemas.openxmlformats.org/officeDocument/2006/relationships" ref="H22" r:id="rId16"/>
    <hyperlink xmlns:r="http://schemas.openxmlformats.org/officeDocument/2006/relationships" ref="H23" r:id="rId17"/>
    <hyperlink xmlns:r="http://schemas.openxmlformats.org/officeDocument/2006/relationships" ref="H24" r:id="rId18"/>
    <hyperlink xmlns:r="http://schemas.openxmlformats.org/officeDocument/2006/relationships" ref="H25" r:id="rId19"/>
    <hyperlink xmlns:r="http://schemas.openxmlformats.org/officeDocument/2006/relationships" ref="H26" r:id="rId20"/>
    <hyperlink xmlns:r="http://schemas.openxmlformats.org/officeDocument/2006/relationships" ref="H27" r:id="rId21"/>
    <hyperlink xmlns:r="http://schemas.openxmlformats.org/officeDocument/2006/relationships" ref="H29" r:id="rId22"/>
    <hyperlink xmlns:r="http://schemas.openxmlformats.org/officeDocument/2006/relationships" ref="H30" r:id="rId23"/>
    <hyperlink xmlns:r="http://schemas.openxmlformats.org/officeDocument/2006/relationships" ref="H31" r:id="rId24"/>
    <hyperlink xmlns:r="http://schemas.openxmlformats.org/officeDocument/2006/relationships" ref="H32" r:id="rId25"/>
    <hyperlink xmlns:r="http://schemas.openxmlformats.org/officeDocument/2006/relationships" ref="H34" r:id="rId26"/>
    <hyperlink xmlns:r="http://schemas.openxmlformats.org/officeDocument/2006/relationships" ref="H35" r:id="rId27"/>
    <hyperlink xmlns:r="http://schemas.openxmlformats.org/officeDocument/2006/relationships" ref="H36" r:id="rId28"/>
    <hyperlink xmlns:r="http://schemas.openxmlformats.org/officeDocument/2006/relationships" ref="H37" r:id="rId29"/>
    <hyperlink xmlns:r="http://schemas.openxmlformats.org/officeDocument/2006/relationships" ref="H38" r:id="rId30"/>
    <hyperlink xmlns:r="http://schemas.openxmlformats.org/officeDocument/2006/relationships" ref="H39" r:id="rId31"/>
    <hyperlink xmlns:r="http://schemas.openxmlformats.org/officeDocument/2006/relationships" ref="H40" r:id="rId32"/>
    <hyperlink xmlns:r="http://schemas.openxmlformats.org/officeDocument/2006/relationships" ref="H43" r:id="rId33"/>
    <hyperlink xmlns:r="http://schemas.openxmlformats.org/officeDocument/2006/relationships" ref="H44" r:id="rId34"/>
    <hyperlink xmlns:r="http://schemas.openxmlformats.org/officeDocument/2006/relationships" ref="H45" r:id="rId35"/>
    <hyperlink xmlns:r="http://schemas.openxmlformats.org/officeDocument/2006/relationships" ref="H46" r:id="rId36"/>
    <hyperlink xmlns:r="http://schemas.openxmlformats.org/officeDocument/2006/relationships" ref="H47" r:id="rId37"/>
    <hyperlink xmlns:r="http://schemas.openxmlformats.org/officeDocument/2006/relationships" ref="H48" r:id="rId38"/>
    <hyperlink xmlns:r="http://schemas.openxmlformats.org/officeDocument/2006/relationships" ref="H49" r:id="rId39"/>
    <hyperlink xmlns:r="http://schemas.openxmlformats.org/officeDocument/2006/relationships" ref="H50" r:id="rId40"/>
    <hyperlink xmlns:r="http://schemas.openxmlformats.org/officeDocument/2006/relationships" ref="H51" r:id="rId41"/>
    <hyperlink xmlns:r="http://schemas.openxmlformats.org/officeDocument/2006/relationships" ref="H52" r:id="rId42"/>
    <hyperlink xmlns:r="http://schemas.openxmlformats.org/officeDocument/2006/relationships" ref="H53" r:id="rId43"/>
    <hyperlink xmlns:r="http://schemas.openxmlformats.org/officeDocument/2006/relationships" ref="H54" r:id="rId44"/>
    <hyperlink xmlns:r="http://schemas.openxmlformats.org/officeDocument/2006/relationships" ref="H55" r:id="rId45"/>
    <hyperlink xmlns:r="http://schemas.openxmlformats.org/officeDocument/2006/relationships" ref="H56" r:id="rId46"/>
    <hyperlink xmlns:r="http://schemas.openxmlformats.org/officeDocument/2006/relationships" ref="H57" r:id="rId47"/>
    <hyperlink xmlns:r="http://schemas.openxmlformats.org/officeDocument/2006/relationships" ref="H58" r:id="rId48"/>
  </hyperlinks>
  <pageMargins left="0.75" right="0.75" top="1" bottom="1" header="0.5" footer="0.5"/>
  <pageSetup orientation="landscape" fitToHeight="0" fitToWidth="1"/>
  <headerFooter>
    <oddHeader>&amp;LAFINE | TLPT DORA Readiness Tracker&amp;RPage &amp;P of &amp;N</oddHeader>
    <oddFooter>&amp;CAFINE sp. z o.o. | afine.com</oddFooter>
    <evenHeader/>
    <evenFooter/>
    <firstHeader/>
    <firstFooter/>
  </headerFooter>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2026-03-26T00:24:25Z</dcterms:created>
  <dcterms:modified xsi:type="dcterms:W3CDTF">2026-03-26T13:49:35Z</dcterms:modified>
</cp:coreProperties>
</file>