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structions" sheetId="1" state="visible" r:id="rId1"/>
    <sheet name="Dashboard" sheetId="2" state="visible" r:id="rId2"/>
    <sheet name="M1-Scope" sheetId="3" state="visible" r:id="rId3"/>
    <sheet name="M2-Governance" sheetId="4" state="visible" r:id="rId4"/>
    <sheet name="M3-Providers" sheetId="5" state="visible" r:id="rId5"/>
    <sheet name="M4-Preparation" sheetId="6" state="visible" r:id="rId6"/>
    <sheet name="M5-ThreatIntel" sheetId="7" state="visible" r:id="rId7"/>
    <sheet name="M6-RedTeam" sheetId="8" state="visible" r:id="rId8"/>
    <sheet name="M7-Closure" sheetId="9" state="visible" r:id="rId9"/>
    <sheet name="M8-Remediation" sheetId="10" state="visible" r:id="rId10"/>
    <sheet name="Timeline" sheetId="11" state="visible" r:id="rId11"/>
    <sheet name="Provider Scorecard" sheetId="12" state="visible" r:id="rId12"/>
    <sheet name="Risk Register" sheetId="13" state="visible" r:id="rId13"/>
    <sheet name="National Comparison" sheetId="14" state="visible" r:id="rId14"/>
  </sheets>
  <definedNames>
    <definedName name="NotificationDate">'Dashboard'!$B$17</definedName>
    <definedName name="_xlnm.Print_Area" localSheetId="0">'Instructions'!$A$1:$B$44</definedName>
    <definedName name="_xlnm.Print_Area" localSheetId="1">'Dashboard'!$A$1:$H$32</definedName>
    <definedName name="_xlnm.Print_Titles" localSheetId="2">'M1-Scope'!$1:$3</definedName>
    <definedName name="_xlnm.Print_Area" localSheetId="2">'M1-Scope'!$A$1:$J$9</definedName>
    <definedName name="_xlnm.Print_Titles" localSheetId="3">'M2-Governance'!$1:$3</definedName>
    <definedName name="_xlnm.Print_Area" localSheetId="3">'M2-Governance'!$A$1:$J$43</definedName>
    <definedName name="_xlnm.Print_Titles" localSheetId="4">'M3-Providers'!$1:$3</definedName>
    <definedName name="_xlnm.Print_Area" localSheetId="4">'M3-Providers'!$A$1:$J$50</definedName>
    <definedName name="_xlnm.Print_Titles" localSheetId="5">'M4-Preparation'!$1:$3</definedName>
    <definedName name="_xlnm.Print_Area" localSheetId="5">'M4-Preparation'!$A$1:$J$57</definedName>
    <definedName name="_xlnm.Print_Titles" localSheetId="6">'M5-ThreatIntel'!$1:$3</definedName>
    <definedName name="_xlnm.Print_Area" localSheetId="6">'M5-ThreatIntel'!$A$1:$J$44</definedName>
    <definedName name="_xlnm.Print_Titles" localSheetId="7">'M6-RedTeam'!$1:$3</definedName>
    <definedName name="_xlnm.Print_Area" localSheetId="7">'M6-RedTeam'!$A$1:$J$38</definedName>
    <definedName name="_xlnm.Print_Titles" localSheetId="8">'M7-Closure'!$1:$3</definedName>
    <definedName name="_xlnm.Print_Area" localSheetId="8">'M7-Closure'!$A$1:$J$58</definedName>
    <definedName name="_xlnm.Print_Titles" localSheetId="9">'M8-Remediation'!$1:$3</definedName>
    <definedName name="_xlnm.Print_Area" localSheetId="9">'M8-Remediation'!$A$1:$J$30</definedName>
    <definedName name="_xlnm.Print_Titles" localSheetId="10">'Timeline'!$1:$2</definedName>
    <definedName name="_xlnm.Print_Area" localSheetId="10">'Timeline'!$A$1:$H$22</definedName>
    <definedName name="_xlnm.Print_Area" localSheetId="11">'Provider Scorecard'!$A$1:$I$96</definedName>
    <definedName name="_xlnm.Print_Titles" localSheetId="12">'Risk Register'!$1:$2</definedName>
    <definedName name="_xlnm.Print_Area" localSheetId="12">'Risk Register'!$A$1:$N$26</definedName>
    <definedName name="_xlnm.Print_Titles" localSheetId="13">'National Comparison'!$1:$2</definedName>
    <definedName name="_xlnm.Print_Area" localSheetId="13">'National Comparison'!$A$1:$G$34</definedName>
  </definedNames>
  <calcPr calcId="124519" fullCalcOnLoad="1"/>
</workbook>
</file>

<file path=xl/styles.xml><?xml version="1.0" encoding="utf-8"?>
<styleSheet xmlns="http://schemas.openxmlformats.org/spreadsheetml/2006/main">
  <numFmts count="3">
    <numFmt numFmtId="164" formatCode="0&quot;%&quot;"/>
    <numFmt numFmtId="165" formatCode="DD-MMM-YYYY"/>
    <numFmt numFmtId="166" formatCode="D-MMM"/>
  </numFmts>
  <fonts count="29">
    <font>
      <name val="Calibri"/>
      <family val="2"/>
      <color theme="1"/>
      <sz val="11"/>
      <scheme val="minor"/>
    </font>
    <font>
      <name val="Red Hat Display"/>
      <b val="1"/>
      <color rgb="00FFFFFF"/>
      <sz val="14"/>
    </font>
    <font>
      <name val="Red Hat Display"/>
      <b val="1"/>
      <color rgb="00FFFFFF"/>
      <sz val="10"/>
    </font>
    <font>
      <name val="Red Hat Display"/>
      <color rgb="00666666"/>
      <sz val="10"/>
    </font>
    <font>
      <name val="Red Hat Display"/>
      <color rgb="002C2C2E"/>
      <sz val="10"/>
    </font>
    <font>
      <name val="Red Hat Display"/>
      <b val="1"/>
      <color rgb="00DA250D"/>
      <sz val="10"/>
    </font>
    <font>
      <name val="Red Hat Display"/>
      <color rgb="000066CC"/>
      <sz val="9"/>
      <u val="single"/>
    </font>
    <font>
      <name val="Red Hat Display"/>
      <b val="1"/>
      <color rgb="00F2994A"/>
      <sz val="10"/>
    </font>
    <font>
      <name val="Red Hat Display"/>
      <i val="1"/>
      <color rgb="002C2C2E"/>
      <sz val="9"/>
    </font>
    <font>
      <name val="Red Hat Display"/>
      <b val="1"/>
      <color rgb="002C2C2E"/>
      <sz val="11"/>
    </font>
    <font>
      <name val="Red Hat Display"/>
      <b val="1"/>
      <color rgb="00FFFFFF"/>
      <sz val="11"/>
    </font>
    <font>
      <name val="Red Hat Display"/>
      <color rgb="00666666"/>
      <sz val="9"/>
    </font>
    <font>
      <name val="Red Hat Display"/>
      <color rgb="0027AE60"/>
      <sz val="10"/>
    </font>
    <font>
      <name val="Red Hat Display"/>
      <color rgb="00FFFFFF"/>
      <sz val="7"/>
    </font>
    <font>
      <name val="Red Hat Display"/>
      <b val="1"/>
      <color rgb="002C2C2E"/>
      <sz val="10"/>
    </font>
    <font>
      <name val="Red Hat Display"/>
      <b val="1"/>
      <color rgb="002C2C2E"/>
      <sz val="12"/>
    </font>
    <font>
      <name val="Red Hat Display"/>
      <color rgb="002C2C2E"/>
      <sz val="9"/>
    </font>
    <font>
      <name val="Red Hat Display"/>
      <b val="1"/>
      <color rgb="002C2C2E"/>
      <sz val="9"/>
    </font>
    <font>
      <name val="Red Hat Display"/>
      <b val="1"/>
      <color rgb="00333333"/>
      <sz val="14"/>
    </font>
    <font>
      <name val="Red Hat Display"/>
      <b val="1"/>
      <color rgb="00333333"/>
      <sz val="11"/>
    </font>
    <font>
      <name val="Red Hat Display"/>
      <b val="1"/>
      <color rgb="00FFFFFF"/>
      <sz val="9"/>
    </font>
    <font>
      <name val="Red Hat Display"/>
      <b val="1"/>
      <color rgb="002C2C2E"/>
      <sz val="11"/>
      <u val="single"/>
    </font>
    <font>
      <name val="Red Hat Display"/>
      <color rgb="003366CC"/>
      <sz val="11"/>
      <u val="single"/>
    </font>
    <font>
      <name val="Red Hat Display"/>
      <b val="1"/>
      <color rgb="00FFFFFF"/>
      <sz val="20"/>
    </font>
    <font>
      <name val="Red Hat Display"/>
      <color rgb="00999999"/>
      <sz val="10"/>
    </font>
    <font>
      <name val="Red Hat Display"/>
      <b val="1"/>
      <color rgb="002C2C2E"/>
      <sz val="14"/>
    </font>
    <font>
      <name val="Red Hat Display"/>
      <b val="1"/>
      <color rgb="00FFFFFF"/>
      <sz val="12"/>
    </font>
    <font>
      <name val="Red Hat Display"/>
      <b val="1"/>
      <color rgb="00333333"/>
      <sz val="12"/>
    </font>
    <font>
      <name val="Red Hat Display"/>
      <i val="1"/>
      <color rgb="00666666"/>
      <sz val="9"/>
    </font>
  </fonts>
  <fills count="12">
    <fill>
      <patternFill/>
    </fill>
    <fill>
      <patternFill patternType="gray125"/>
    </fill>
    <fill>
      <patternFill patternType="solid">
        <fgColor rgb="00333333"/>
        <bgColor rgb="00333333"/>
      </patternFill>
    </fill>
    <fill>
      <patternFill patternType="solid">
        <fgColor rgb="00F5F5F7"/>
        <bgColor rgb="00F5F5F7"/>
      </patternFill>
    </fill>
    <fill>
      <patternFill patternType="solid">
        <fgColor rgb="005C5C5C"/>
        <bgColor rgb="005C5C5C"/>
      </patternFill>
    </fill>
    <fill>
      <patternFill patternType="solid">
        <fgColor rgb="00FFF3E0"/>
        <bgColor rgb="00FFF3E0"/>
      </patternFill>
    </fill>
    <fill>
      <patternFill patternType="solid">
        <fgColor rgb="00FFEBEE"/>
        <bgColor rgb="00FFEBEE"/>
      </patternFill>
    </fill>
    <fill>
      <patternFill patternType="solid">
        <fgColor rgb="00DA250D"/>
        <bgColor rgb="00DA250D"/>
      </patternFill>
    </fill>
    <fill>
      <patternFill patternType="solid">
        <fgColor rgb="00E8F5E9"/>
        <bgColor rgb="00E8F5E9"/>
      </patternFill>
    </fill>
    <fill>
      <patternFill patternType="solid">
        <fgColor rgb="00F2994A"/>
        <bgColor rgb="00F2994A"/>
      </patternFill>
    </fill>
    <fill>
      <patternFill patternType="solid">
        <fgColor rgb="0027AE60"/>
        <bgColor rgb="0027AE60"/>
      </patternFill>
    </fill>
    <fill>
      <patternFill patternType="solid">
        <fgColor rgb="00FFFDE7"/>
        <bgColor rgb="00FFFDE7"/>
      </patternFill>
    </fill>
  </fills>
  <borders count="8">
    <border>
      <left/>
      <right/>
      <top/>
      <bottom/>
      <diagonal/>
    </border>
    <border>
      <left style="thin">
        <color rgb="00E0E0E0"/>
      </left>
      <right style="thin">
        <color rgb="00E0E0E0"/>
      </right>
      <top style="thin">
        <color rgb="00E0E0E0"/>
      </top>
      <bottom style="thin">
        <color rgb="00E0E0E0"/>
      </bottom>
    </border>
    <border>
      <left style="medium">
        <color rgb="003F51B5"/>
      </left>
      <right style="thin">
        <color rgb="00E0E0E0"/>
      </right>
      <top style="thin">
        <color rgb="00E0E0E0"/>
      </top>
      <bottom style="thin">
        <color rgb="00E0E0E0"/>
      </bottom>
    </border>
    <border>
      <left style="medium">
        <color rgb="00E94560"/>
      </left>
      <right style="medium">
        <color rgb="00E94560"/>
      </right>
      <top style="medium">
        <color rgb="00E94560"/>
      </top>
      <bottom style="medium">
        <color rgb="00E94560"/>
      </bottom>
    </border>
    <border>
      <left/>
      <right/>
      <top style="thin">
        <color rgb="00E0E0E0"/>
      </top>
      <bottom/>
      <diagonal/>
    </border>
    <border>
      <left/>
      <right style="thin">
        <color rgb="00E0E0E0"/>
      </right>
      <top style="thin">
        <color rgb="00E0E0E0"/>
      </top>
      <bottom/>
      <diagonal/>
    </border>
    <border>
      <left/>
      <right/>
      <top style="thin">
        <color rgb="00E0E0E0"/>
      </top>
      <bottom style="thin">
        <color rgb="00E0E0E0"/>
      </bottom>
      <diagonal/>
    </border>
    <border>
      <left/>
      <right style="thin">
        <color rgb="00E0E0E0"/>
      </right>
      <top style="thin">
        <color rgb="00E0E0E0"/>
      </top>
      <bottom style="thin">
        <color rgb="00E0E0E0"/>
      </bottom>
      <diagonal/>
    </border>
  </borders>
  <cellStyleXfs count="1">
    <xf numFmtId="0" fontId="0" fillId="0" borderId="0"/>
  </cellStyleXfs>
  <cellXfs count="81">
    <xf numFmtId="0" fontId="0" fillId="0" borderId="0" pivotButton="0" quotePrefix="0" xfId="0"/>
    <xf numFmtId="0" fontId="18" fillId="0" borderId="0" applyAlignment="1" pivotButton="0" quotePrefix="0" xfId="0">
      <alignment horizontal="left" vertical="center"/>
    </xf>
    <xf numFmtId="0" fontId="11" fillId="0" borderId="0" applyAlignment="1" pivotButton="0" quotePrefix="0" xfId="0">
      <alignment horizontal="left" vertical="center"/>
    </xf>
    <xf numFmtId="0" fontId="19" fillId="0" borderId="0" pivotButton="0" quotePrefix="0" xfId="0"/>
    <xf numFmtId="0" fontId="4" fillId="0" borderId="0" applyAlignment="1" pivotButton="0" quotePrefix="0" xfId="0">
      <alignment horizontal="left" vertical="top" wrapText="1"/>
    </xf>
    <xf numFmtId="0" fontId="20" fillId="7" borderId="1" applyAlignment="1" pivotButton="0" quotePrefix="0" xfId="0">
      <alignment horizontal="center" vertical="center"/>
    </xf>
    <xf numFmtId="0" fontId="4" fillId="0" borderId="1" pivotButton="0" quotePrefix="0" xfId="0"/>
    <xf numFmtId="0" fontId="20" fillId="9" borderId="1" applyAlignment="1" pivotButton="0" quotePrefix="0" xfId="0">
      <alignment horizontal="center" vertical="center"/>
    </xf>
    <xf numFmtId="0" fontId="20" fillId="10" borderId="1" applyAlignment="1" pivotButton="0" quotePrefix="0" xfId="0">
      <alignment horizontal="center" vertical="center"/>
    </xf>
    <xf numFmtId="0" fontId="17" fillId="8" borderId="1" applyAlignment="1" pivotButton="0" quotePrefix="0" xfId="0">
      <alignment horizontal="center" vertical="center"/>
    </xf>
    <xf numFmtId="0" fontId="17" fillId="6" borderId="1" applyAlignment="1" pivotButton="0" quotePrefix="0" xfId="0">
      <alignment horizontal="center" vertical="center"/>
    </xf>
    <xf numFmtId="0" fontId="17" fillId="3" borderId="1" applyAlignment="1" pivotButton="0" quotePrefix="0" xfId="0">
      <alignment horizontal="center" vertical="center"/>
    </xf>
    <xf numFmtId="0" fontId="21" fillId="0" borderId="0" applyAlignment="1" pivotButton="0" quotePrefix="0" xfId="0">
      <alignment horizontal="left" vertical="center"/>
    </xf>
    <xf numFmtId="0" fontId="22" fillId="0" borderId="0" applyAlignment="1" pivotButton="0" quotePrefix="0" xfId="0">
      <alignment horizontal="left" vertical="center"/>
    </xf>
    <xf numFmtId="0" fontId="23" fillId="2" borderId="0" applyAlignment="1" pivotButton="0" quotePrefix="0" xfId="0">
      <alignment horizontal="center" vertical="center"/>
    </xf>
    <xf numFmtId="0" fontId="0" fillId="2" borderId="0" pivotButton="0" quotePrefix="0" xfId="0"/>
    <xf numFmtId="0" fontId="24" fillId="2" borderId="0" applyAlignment="1" pivotButton="0" quotePrefix="0" xfId="0">
      <alignment horizontal="center" vertical="center"/>
    </xf>
    <xf numFmtId="0" fontId="25" fillId="0" borderId="0" pivotButton="0" quotePrefix="0" xfId="0"/>
    <xf numFmtId="0" fontId="26" fillId="2" borderId="0" applyAlignment="1" pivotButton="0" quotePrefix="0" xfId="0">
      <alignment horizontal="left" vertical="center"/>
    </xf>
    <xf numFmtId="0" fontId="14" fillId="3" borderId="1" applyAlignment="1" pivotButton="0" quotePrefix="0" xfId="0">
      <alignment horizontal="center" vertical="center"/>
    </xf>
    <xf numFmtId="0" fontId="14" fillId="0" borderId="1" applyAlignment="1" pivotButton="0" quotePrefix="0" xfId="0">
      <alignment horizontal="left" vertical="center"/>
    </xf>
    <xf numFmtId="0" fontId="4" fillId="0" borderId="1" applyAlignment="1" pivotButton="0" quotePrefix="0" xfId="0">
      <alignment horizontal="center" vertical="center"/>
    </xf>
    <xf numFmtId="164" fontId="4" fillId="0" borderId="1" applyAlignment="1" pivotButton="0" quotePrefix="0" xfId="0">
      <alignment horizontal="center" vertical="center"/>
    </xf>
    <xf numFmtId="9" fontId="4" fillId="0" borderId="1" applyAlignment="1" pivotButton="0" quotePrefix="0" xfId="0">
      <alignment horizontal="center" vertical="center"/>
    </xf>
    <xf numFmtId="0" fontId="14" fillId="0" borderId="1" applyAlignment="1" pivotButton="0" quotePrefix="0" xfId="0">
      <alignment horizontal="center" vertical="center"/>
    </xf>
    <xf numFmtId="165" fontId="0" fillId="0" borderId="1" applyProtection="1" pivotButton="0" quotePrefix="0" xfId="0">
      <protection locked="0" hidden="0"/>
    </xf>
    <xf numFmtId="0" fontId="0" fillId="0" borderId="1" pivotButton="0" quotePrefix="0" xfId="0"/>
    <xf numFmtId="0" fontId="26" fillId="2" borderId="0" pivotButton="0" quotePrefix="0" xfId="0"/>
    <xf numFmtId="0" fontId="9" fillId="0" borderId="1" applyAlignment="1" pivotButton="0" quotePrefix="0" xfId="0">
      <alignment horizontal="left" vertical="center"/>
    </xf>
    <xf numFmtId="165" fontId="27" fillId="11" borderId="3" applyAlignment="1" applyProtection="1" pivotButton="0" quotePrefix="0" xfId="0">
      <alignment horizontal="center" vertical="center"/>
      <protection locked="0" hidden="0"/>
    </xf>
    <xf numFmtId="0" fontId="28" fillId="0" borderId="1" applyAlignment="1" pivotButton="0" quotePrefix="0" xfId="0">
      <alignment horizontal="left" vertical="center"/>
    </xf>
    <xf numFmtId="0" fontId="0" fillId="3" borderId="1" pivotButton="0" quotePrefix="0" xfId="0"/>
    <xf numFmtId="0" fontId="4" fillId="0" borderId="1" applyAlignment="1" pivotButton="0" quotePrefix="0" xfId="0">
      <alignment horizontal="left" vertical="center"/>
    </xf>
    <xf numFmtId="165" fontId="4" fillId="0" borderId="1" applyAlignment="1" pivotButton="0" quotePrefix="0" xfId="0">
      <alignment horizontal="center" vertical="center"/>
    </xf>
    <xf numFmtId="0" fontId="9" fillId="0" borderId="1" pivotButton="0" quotePrefix="0" xfId="0"/>
    <xf numFmtId="0" fontId="4" fillId="0" borderId="1" applyAlignment="1" applyProtection="1" pivotButton="0" quotePrefix="0" xfId="0">
      <alignment horizontal="center" vertical="center"/>
      <protection locked="0" hidden="0"/>
    </xf>
    <xf numFmtId="0" fontId="1" fillId="2" borderId="0" applyAlignment="1" pivotButton="0" quotePrefix="0" xfId="0">
      <alignment horizontal="center" vertical="center"/>
    </xf>
    <xf numFmtId="0" fontId="2" fillId="2" borderId="1" applyAlignment="1" pivotButton="0" quotePrefix="0" xfId="0">
      <alignment horizontal="center" vertical="center" wrapText="1"/>
    </xf>
    <xf numFmtId="0" fontId="9" fillId="3" borderId="1" applyAlignment="1" pivotButton="0" quotePrefix="0" xfId="0">
      <alignment horizontal="center" vertical="center"/>
    </xf>
    <xf numFmtId="0" fontId="3" fillId="0" borderId="1" applyAlignment="1" pivotButton="0" quotePrefix="0" xfId="0">
      <alignment horizontal="center" vertical="center"/>
    </xf>
    <xf numFmtId="0" fontId="4" fillId="0" borderId="1" applyAlignment="1" pivotButton="0" quotePrefix="0" xfId="0">
      <alignment horizontal="left" vertical="top" wrapText="1"/>
    </xf>
    <xf numFmtId="0" fontId="5" fillId="0" borderId="1" applyAlignment="1" pivotButton="0" quotePrefix="0" xfId="0">
      <alignment horizontal="center" vertical="center"/>
    </xf>
    <xf numFmtId="0" fontId="4" fillId="0" borderId="1" applyAlignment="1" applyProtection="1" pivotButton="0" quotePrefix="0" xfId="0">
      <alignment horizontal="left" vertical="center"/>
      <protection locked="0" hidden="0"/>
    </xf>
    <xf numFmtId="165" fontId="4" fillId="0" borderId="1" applyAlignment="1" applyProtection="1" pivotButton="0" quotePrefix="0" xfId="0">
      <alignment horizontal="center" vertical="center"/>
      <protection locked="0" hidden="0"/>
    </xf>
    <xf numFmtId="0" fontId="6" fillId="0" borderId="1" applyAlignment="1" pivotButton="0" quotePrefix="0" xfId="0">
      <alignment horizontal="left" vertical="top" wrapText="1"/>
    </xf>
    <xf numFmtId="0" fontId="4" fillId="0" borderId="1" applyAlignment="1" applyProtection="1" pivotButton="0" quotePrefix="0" xfId="0">
      <alignment horizontal="left" vertical="top" wrapText="1"/>
      <protection locked="0" hidden="0"/>
    </xf>
    <xf numFmtId="0" fontId="7" fillId="0" borderId="1" applyAlignment="1" pivotButton="0" quotePrefix="0" xfId="0">
      <alignment horizontal="center" vertical="center"/>
    </xf>
    <xf numFmtId="0" fontId="8" fillId="3" borderId="2" applyAlignment="1" pivotButton="0" quotePrefix="0" xfId="0">
      <alignment horizontal="left" vertical="top" wrapText="1"/>
    </xf>
    <xf numFmtId="0" fontId="10" fillId="4" borderId="1" applyAlignment="1" pivotButton="0" quotePrefix="0" xfId="0">
      <alignment horizontal="left" vertical="center"/>
    </xf>
    <xf numFmtId="0" fontId="0" fillId="4" borderId="1" pivotButton="0" quotePrefix="0" xfId="0"/>
    <xf numFmtId="0" fontId="11" fillId="0" borderId="1" applyAlignment="1" pivotButton="0" quotePrefix="0" xfId="0">
      <alignment horizontal="left" vertical="top" wrapText="1"/>
    </xf>
    <xf numFmtId="0" fontId="12" fillId="0" borderId="1" applyAlignment="1" pivotButton="0" quotePrefix="0" xfId="0">
      <alignment horizontal="center" vertical="center"/>
    </xf>
    <xf numFmtId="166" fontId="13" fillId="2" borderId="1" applyAlignment="1" pivotButton="0" quotePrefix="0" xfId="0">
      <alignment horizontal="center" vertical="center"/>
    </xf>
    <xf numFmtId="0" fontId="15" fillId="0" borderId="0" pivotButton="0" quotePrefix="0" xfId="0"/>
    <xf numFmtId="0" fontId="0" fillId="2" borderId="1" pivotButton="0" quotePrefix="0" xfId="0"/>
    <xf numFmtId="0" fontId="0" fillId="0" borderId="1" applyAlignment="1" applyProtection="1" pivotButton="0" quotePrefix="0" xfId="0">
      <alignment horizontal="center" vertical="center"/>
      <protection locked="0" hidden="0"/>
    </xf>
    <xf numFmtId="0" fontId="14" fillId="0" borderId="1" pivotButton="0" quotePrefix="0" xfId="0"/>
    <xf numFmtId="0" fontId="9" fillId="0" borderId="1" applyAlignment="1" pivotButton="0" quotePrefix="0" xfId="0">
      <alignment horizontal="center" vertical="center"/>
    </xf>
    <xf numFmtId="0" fontId="15" fillId="0" borderId="1" applyAlignment="1" pivotButton="0" quotePrefix="0" xfId="0">
      <alignment horizontal="center" vertical="center"/>
    </xf>
    <xf numFmtId="0" fontId="16" fillId="0" borderId="1" applyAlignment="1" applyProtection="1" pivotButton="0" quotePrefix="0" xfId="0">
      <alignment horizontal="left" vertical="top" wrapText="1"/>
      <protection locked="0" hidden="0"/>
    </xf>
    <xf numFmtId="0" fontId="4" fillId="3" borderId="1" applyAlignment="1" pivotButton="0" quotePrefix="0" xfId="0">
      <alignment horizontal="left" vertical="top" wrapText="1"/>
    </xf>
    <xf numFmtId="0" fontId="4" fillId="3" borderId="1" applyAlignment="1" applyProtection="1" pivotButton="0" quotePrefix="0" xfId="0">
      <alignment horizontal="center" vertical="center"/>
      <protection locked="0" hidden="0"/>
    </xf>
    <xf numFmtId="0" fontId="16" fillId="3" borderId="1" applyAlignment="1" applyProtection="1" pivotButton="0" quotePrefix="0" xfId="0">
      <alignment horizontal="left" vertical="top" wrapText="1"/>
      <protection locked="0" hidden="0"/>
    </xf>
    <xf numFmtId="0" fontId="4" fillId="3" borderId="1" applyAlignment="1" applyProtection="1" pivotButton="0" quotePrefix="0" xfId="0">
      <alignment horizontal="left" vertical="top" wrapText="1"/>
      <protection locked="0" hidden="0"/>
    </xf>
    <xf numFmtId="0" fontId="17" fillId="0" borderId="0" pivotButton="0" quotePrefix="0" xfId="0"/>
    <xf numFmtId="0" fontId="14" fillId="5" borderId="1" applyAlignment="1" pivotButton="0" quotePrefix="0" xfId="0">
      <alignment horizontal="center" vertical="center"/>
    </xf>
    <xf numFmtId="0" fontId="14" fillId="6" borderId="1" applyAlignment="1" pivotButton="0" quotePrefix="0" xfId="0">
      <alignment horizontal="center" vertical="center"/>
    </xf>
    <xf numFmtId="0" fontId="2" fillId="7" borderId="1" applyAlignment="1" pivotButton="0" quotePrefix="0" xfId="0">
      <alignment horizontal="center" vertical="center"/>
    </xf>
    <xf numFmtId="0" fontId="14" fillId="8" borderId="1" applyAlignment="1" pivotButton="0" quotePrefix="0" xfId="0">
      <alignment horizontal="center" vertical="center"/>
    </xf>
    <xf numFmtId="0" fontId="16" fillId="0" borderId="1" applyAlignment="1" pivotButton="0" quotePrefix="0" xfId="0">
      <alignment horizontal="left" vertical="top" wrapText="1"/>
    </xf>
    <xf numFmtId="0" fontId="14" fillId="3" borderId="1" applyAlignment="1" pivotButton="0" quotePrefix="0" xfId="0">
      <alignment horizontal="left" vertical="center"/>
    </xf>
    <xf numFmtId="0" fontId="16" fillId="3" borderId="1" applyAlignment="1" pivotButton="0" quotePrefix="0" xfId="0">
      <alignment horizontal="left" vertical="top" wrapText="1"/>
    </xf>
    <xf numFmtId="0" fontId="6" fillId="3" borderId="1" applyAlignment="1" pivotButton="0" quotePrefix="0" xfId="0">
      <alignment horizontal="left" vertical="top" wrapText="1"/>
    </xf>
    <xf numFmtId="164" fontId="4" fillId="0" borderId="1" applyAlignment="1" pivotButton="0" quotePrefix="0" xfId="0">
      <alignment horizontal="center" vertical="center"/>
    </xf>
    <xf numFmtId="165" fontId="0" fillId="0" borderId="1" applyProtection="1" pivotButton="0" quotePrefix="0" xfId="0">
      <protection locked="0" hidden="0"/>
    </xf>
    <xf numFmtId="165" fontId="27" fillId="11" borderId="3" applyAlignment="1" applyProtection="1" pivotButton="0" quotePrefix="0" xfId="0">
      <alignment horizontal="center" vertical="center"/>
      <protection locked="0" hidden="0"/>
    </xf>
    <xf numFmtId="0" fontId="0" fillId="0" borderId="6" pivotButton="0" quotePrefix="0" xfId="0"/>
    <xf numFmtId="0" fontId="0" fillId="0" borderId="7" pivotButton="0" quotePrefix="0" xfId="0"/>
    <xf numFmtId="165" fontId="4" fillId="0" borderId="1" applyAlignment="1" pivotButton="0" quotePrefix="0" xfId="0">
      <alignment horizontal="center" vertical="center"/>
    </xf>
    <xf numFmtId="165" fontId="4" fillId="0" borderId="1" applyAlignment="1" applyProtection="1" pivotButton="0" quotePrefix="0" xfId="0">
      <alignment horizontal="center" vertical="center"/>
      <protection locked="0" hidden="0"/>
    </xf>
    <xf numFmtId="166" fontId="13" fillId="2" borderId="1" applyAlignment="1" pivotButton="0" quotePrefix="0" xfId="0">
      <alignment horizontal="center" vertical="center"/>
    </xf>
  </cellXfs>
  <cellStyles count="1">
    <cellStyle name="Normal" xfId="0" builtinId="0" hidden="0"/>
  </cellStyles>
  <dxfs count="14">
    <dxf>
      <fill>
        <patternFill patternType="solid">
          <fgColor rgb="00E8F5E9"/>
          <bgColor rgb="00E8F5E9"/>
        </patternFill>
      </fill>
    </dxf>
    <dxf>
      <font>
        <name val="Red Hat Display"/>
        <b val="1"/>
        <color rgb="00DA250D"/>
        <sz val="10"/>
      </font>
      <fill>
        <patternFill patternType="solid">
          <fgColor rgb="00FFEBEE"/>
          <bgColor rgb="00FFEBEE"/>
        </patternFill>
      </fill>
    </dxf>
    <dxf>
      <font>
        <name val="Red Hat Display"/>
        <b val="1"/>
        <color rgb="00F2994A"/>
        <sz val="10"/>
      </font>
      <fill>
        <patternFill patternType="solid">
          <fgColor rgb="00FFF3E0"/>
          <bgColor rgb="00FFF3E0"/>
        </patternFill>
      </fill>
    </dxf>
    <dxf>
      <font>
        <name val="Red Hat Display"/>
        <color rgb="0027AE60"/>
        <sz val="10"/>
      </font>
      <fill>
        <patternFill patternType="solid">
          <fgColor rgb="00E8F5E9"/>
          <bgColor rgb="00E8F5E9"/>
        </patternFill>
      </fill>
    </dxf>
    <dxf>
      <font>
        <name val="Red Hat Display"/>
        <color rgb="00999999"/>
        <sz val="10"/>
      </font>
      <fill>
        <patternFill patternType="solid">
          <fgColor rgb="00F5F5F7"/>
          <bgColor rgb="00F5F5F7"/>
        </patternFill>
      </fill>
    </dxf>
    <dxf>
      <fill>
        <patternFill patternType="solid">
          <fgColor rgb="00FFEBEE"/>
          <bgColor rgb="00FFEBEE"/>
        </patternFill>
      </fill>
    </dxf>
    <dxf>
      <fill>
        <patternFill patternType="solid">
          <fgColor rgb="0027AE60"/>
          <bgColor rgb="0027AE60"/>
        </patternFill>
      </fill>
    </dxf>
    <dxf>
      <font>
        <name val="Red Hat Display"/>
        <b val="1"/>
        <color rgb="00DA250D"/>
        <sz val="11"/>
      </font>
      <fill>
        <patternFill patternType="solid">
          <fgColor rgb="00FFEBEE"/>
          <bgColor rgb="00FFEBEE"/>
        </patternFill>
      </fill>
    </dxf>
    <dxf>
      <font>
        <name val="Red Hat Display"/>
        <b val="1"/>
        <color rgb="0027AE60"/>
        <sz val="11"/>
      </font>
      <fill>
        <patternFill patternType="solid">
          <fgColor rgb="00E8F5E9"/>
          <bgColor rgb="00E8F5E9"/>
        </patternFill>
      </fill>
    </dxf>
    <dxf>
      <font>
        <name val="Red Hat Display"/>
        <color rgb="00F2994A"/>
        <sz val="10"/>
      </font>
      <fill>
        <patternFill patternType="solid">
          <fgColor rgb="00FFF3E0"/>
          <bgColor rgb="00FFF3E0"/>
        </patternFill>
      </fill>
    </dxf>
    <dxf>
      <font>
        <name val="Red Hat Display"/>
        <color rgb="00DA250D"/>
        <sz val="10"/>
      </font>
      <fill>
        <patternFill patternType="solid">
          <fgColor rgb="00FFEBEE"/>
          <bgColor rgb="00FFEBEE"/>
        </patternFill>
      </fill>
    </dxf>
    <dxf>
      <font>
        <name val="Red Hat Display"/>
        <b val="1"/>
        <color rgb="00FFFFFF"/>
        <sz val="10"/>
      </font>
      <fill>
        <patternFill patternType="solid">
          <fgColor rgb="00DA250D"/>
          <bgColor rgb="00DA250D"/>
        </patternFill>
      </fill>
    </dxf>
    <dxf>
      <fill>
        <patternFill patternType="solid">
          <fgColor rgb="00FFF3E0"/>
          <bgColor rgb="00FFF3E0"/>
        </patternFill>
      </fill>
    </dxf>
    <dxf>
      <fill>
        <patternFill patternType="solid">
          <fgColor rgb="00FFFDE7"/>
          <bgColor rgb="00FFFD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styles" Target="styles.xml" Id="rId15" /><Relationship Type="http://schemas.openxmlformats.org/officeDocument/2006/relationships/theme" Target="theme/theme1.xml" Id="rId1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afine.com" TargetMode="External" Id="rId1" /><Relationship Type="http://schemas.openxmlformats.org/officeDocument/2006/relationships/hyperlink" Target="https://app.iclosed.io/e/afine/tlpt-dora-consultation" TargetMode="External" Id="rId2" /></Relationships>
</file>

<file path=xl/worksheets/_rels/sheet10.xml.rels><Relationships xmlns="http://schemas.openxmlformats.org/package/2006/relationships"><Relationship Type="http://schemas.openxmlformats.org/officeDocument/2006/relationships/hyperlink" Target="https://eur-lex.europa.eu/legal-content/EN/TXT/HTML/?uri=CELEX:32025R1190#art_13" TargetMode="External" Id="rId1" /><Relationship Type="http://schemas.openxmlformats.org/officeDocument/2006/relationships/hyperlink" Target="https://eur-lex.europa.eu/legal-content/EN/TXT/HTML/?uri=CELEX:32025R1190#art_13" TargetMode="External" Id="rId2" /><Relationship Type="http://schemas.openxmlformats.org/officeDocument/2006/relationships/hyperlink" Target="https://eur-lex.europa.eu/legal-content/EN/TXT/HTML/?uri=CELEX:32025R1190#art_13" TargetMode="External" Id="rId3" /><Relationship Type="http://schemas.openxmlformats.org/officeDocument/2006/relationships/hyperlink" Target="https://eur-lex.europa.eu/legal-content/EN/TXT/HTML/?uri=CELEX:32025R1190#art_13" TargetMode="External" Id="rId4" /><Relationship Type="http://schemas.openxmlformats.org/officeDocument/2006/relationships/hyperlink" Target="https://eur-lex.europa.eu/legal-content/EN/TXT/HTML/?uri=CELEX:32025R1190#art_13" TargetMode="External" Id="rId5" /><Relationship Type="http://schemas.openxmlformats.org/officeDocument/2006/relationships/hyperlink" Target="https://eur-lex.europa.eu/legal-content/EN/TXT/HTML/?uri=CELEX:32025R1190#art_13" TargetMode="External" Id="rId6" /><Relationship Type="http://schemas.openxmlformats.org/officeDocument/2006/relationships/hyperlink" Target="https://eur-lex.europa.eu/legal-content/EN/TXT/HTML/?uri=CELEX:32025R1190#art_13" TargetMode="External" Id="rId7" /><Relationship Type="http://schemas.openxmlformats.org/officeDocument/2006/relationships/hyperlink" Target="https://eur-lex.europa.eu/legal-content/EN/TXT/HTML/?uri=CELEX:32025R1190#art_13" TargetMode="External" Id="rId8" /><Relationship Type="http://schemas.openxmlformats.org/officeDocument/2006/relationships/hyperlink" Target="https://eur-lex.europa.eu/legal-content/EN/TXT/HTML/?uri=CELEX:32025R1190#art_13" TargetMode="External" Id="rId9" /><Relationship Type="http://schemas.openxmlformats.org/officeDocument/2006/relationships/hyperlink" Target="https://eur-lex.europa.eu/legal-content/EN/TXT/HTML/?uri=CELEX:32022R2554#art_26" TargetMode="External" Id="rId10" /><Relationship Type="http://schemas.openxmlformats.org/officeDocument/2006/relationships/hyperlink" Target="https://eur-lex.europa.eu/legal-content/EN/TXT/HTML/?uri=CELEX:32025R1190#art_14" TargetMode="External" Id="rId11" /><Relationship Type="http://schemas.openxmlformats.org/officeDocument/2006/relationships/hyperlink" Target="https://eur-lex.europa.eu/legal-content/EN/TXT/HTML/?uri=CELEX:32025R1190#art_14" TargetMode="External" Id="rId12" /><Relationship Type="http://schemas.openxmlformats.org/officeDocument/2006/relationships/hyperlink" Target="https://eur-lex.europa.eu/legal-content/EN/TXT/HTML/?uri=CELEX:32025R1190#anx_VIII" TargetMode="External" Id="rId13" /><Relationship Type="http://schemas.openxmlformats.org/officeDocument/2006/relationships/hyperlink" Target="https://eur-lex.europa.eu/legal-content/EN/TXT/HTML/?uri=CELEX:32025R1190#anx_VIII" TargetMode="External" Id="rId14" /><Relationship Type="http://schemas.openxmlformats.org/officeDocument/2006/relationships/hyperlink" Target="https://eur-lex.europa.eu/legal-content/EN/TXT/HTML/?uri=CELEX:32025R1190#anx_VIII" TargetMode="External" Id="rId15" /><Relationship Type="http://schemas.openxmlformats.org/officeDocument/2006/relationships/hyperlink" Target="https://eur-lex.europa.eu/legal-content/EN/TXT/HTML/?uri=CELEX:32025R1190#anx_VIII" TargetMode="External" Id="rId16" /><Relationship Type="http://schemas.openxmlformats.org/officeDocument/2006/relationships/hyperlink" Target="https://eur-lex.europa.eu/legal-content/EN/TXT/HTML/?uri=CELEX:32025R1190#anx_VIII" TargetMode="External" Id="rId17" /><Relationship Type="http://schemas.openxmlformats.org/officeDocument/2006/relationships/hyperlink" Target="https://eur-lex.europa.eu/legal-content/EN/TXT/HTML/?uri=CELEX:32025R1190#anx_VIII" TargetMode="External" Id="rId18" /><Relationship Type="http://schemas.openxmlformats.org/officeDocument/2006/relationships/hyperlink" Target="https://eur-lex.europa.eu/legal-content/EN/TXT/HTML/?uri=CELEX:32025R1190#anx_VIII" TargetMode="External" Id="rId19" /><Relationship Type="http://schemas.openxmlformats.org/officeDocument/2006/relationships/hyperlink" Target="https://eur-lex.europa.eu/legal-content/EN/TXT/HTML/?uri=CELEX:32025R1190#anx_VIII" TargetMode="External" Id="rId20" /><Relationship Type="http://schemas.openxmlformats.org/officeDocument/2006/relationships/hyperlink" Target="https://eur-lex.europa.eu/legal-content/EN/TXT/HTML/?uri=CELEX:32025R1190#anx_VIII" TargetMode="External" Id="rId21" /><Relationship Type="http://schemas.openxmlformats.org/officeDocument/2006/relationships/hyperlink" Target="https://eur-lex.europa.eu/legal-content/EN/TXT/HTML/?uri=CELEX:32025R1190#art_16" TargetMode="External" Id="rId22" /><Relationship Type="http://schemas.openxmlformats.org/officeDocument/2006/relationships/hyperlink" Target="https://eur-lex.europa.eu/legal-content/EN/TXT/HTML/?uri=CELEX:32022R2554#art_26" TargetMode="External" Id="rId23" /></Relationships>
</file>

<file path=xl/worksheets/_rels/sheet11.xml.rels><Relationships xmlns="http://schemas.openxmlformats.org/package/2006/relationships"><Relationship Type="http://schemas.openxmlformats.org/officeDocument/2006/relationships/hyperlink" Target="https://eur-lex.europa.eu/legal-content/EN/TXT/HTML/?uri=CELEX:32025R1190#art_9" TargetMode="External" Id="rId1" /><Relationship Type="http://schemas.openxmlformats.org/officeDocument/2006/relationships/hyperlink" Target="https://eur-lex.europa.eu/legal-content/EN/TXT/HTML/?uri=CELEX:32025R1190#art_9" TargetMode="External" Id="rId2" /><Relationship Type="http://schemas.openxmlformats.org/officeDocument/2006/relationships/hyperlink" Target="https://eur-lex.europa.eu/legal-content/EN/TXT/HTML/?uri=CELEX:32025R1190#art_9" TargetMode="External" Id="rId3" /><Relationship Type="http://schemas.openxmlformats.org/officeDocument/2006/relationships/hyperlink" Target="https://eur-lex.europa.eu/legal-content/EN/TXT/HTML/?uri=CELEX:32025R1190#art_16" TargetMode="External" Id="rId4" /><Relationship Type="http://schemas.openxmlformats.org/officeDocument/2006/relationships/hyperlink" Target="https://eur-lex.europa.eu/legal-content/EN/TXT/HTML/?uri=CELEX:32025R1190#art_9" TargetMode="External" Id="rId5" /><Relationship Type="http://schemas.openxmlformats.org/officeDocument/2006/relationships/hyperlink" Target="https://eur-lex.europa.eu/legal-content/EN/TXT/HTML/?uri=CELEX:32025R1190#art_5" TargetMode="External" Id="rId6" /><Relationship Type="http://schemas.openxmlformats.org/officeDocument/2006/relationships/hyperlink" Target="https://eur-lex.europa.eu/legal-content/EN/TXT/HTML/?uri=CELEX:32025R1190#art_10" TargetMode="External" Id="rId7" /><Relationship Type="http://schemas.openxmlformats.org/officeDocument/2006/relationships/hyperlink" Target="https://eur-lex.europa.eu/legal-content/EN/TXT/HTML/?uri=CELEX:32025R1190#art_10" TargetMode="External" Id="rId8" /><Relationship Type="http://schemas.openxmlformats.org/officeDocument/2006/relationships/hyperlink" Target="https://eur-lex.europa.eu/legal-content/EN/TXT/HTML/?uri=CELEX:32025R1190#art_10" TargetMode="External" Id="rId9" /><Relationship Type="http://schemas.openxmlformats.org/officeDocument/2006/relationships/hyperlink" Target="https://eur-lex.europa.eu/legal-content/EN/TXT/HTML/?uri=CELEX:32025R1190#art_10" TargetMode="External" Id="rId10" /><Relationship Type="http://schemas.openxmlformats.org/officeDocument/2006/relationships/hyperlink" Target="https://eur-lex.europa.eu/legal-content/EN/TXT/HTML/?uri=CELEX:32025R1190#art_11" TargetMode="External" Id="rId11" /><Relationship Type="http://schemas.openxmlformats.org/officeDocument/2006/relationships/hyperlink" Target="https://eur-lex.europa.eu/legal-content/EN/TXT/HTML/?uri=CELEX:32025R1190#art_11" TargetMode="External" Id="rId12" /><Relationship Type="http://schemas.openxmlformats.org/officeDocument/2006/relationships/hyperlink" Target="https://eur-lex.europa.eu/legal-content/EN/TXT/HTML/?uri=CELEX:32025R1190#art_12" TargetMode="External" Id="rId13" /><Relationship Type="http://schemas.openxmlformats.org/officeDocument/2006/relationships/hyperlink" Target="https://eur-lex.europa.eu/legal-content/EN/TXT/HTML/?uri=CELEX:32025R1190#art_12" TargetMode="External" Id="rId14" /><Relationship Type="http://schemas.openxmlformats.org/officeDocument/2006/relationships/hyperlink" Target="https://eur-lex.europa.eu/legal-content/EN/TXT/HTML/?uri=CELEX:32025R1190#art_12" TargetMode="External" Id="rId15" /><Relationship Type="http://schemas.openxmlformats.org/officeDocument/2006/relationships/hyperlink" Target="https://eur-lex.europa.eu/legal-content/EN/TXT/HTML/?uri=CELEX:32025R1190#art_12" TargetMode="External" Id="rId16" /><Relationship Type="http://schemas.openxmlformats.org/officeDocument/2006/relationships/hyperlink" Target="https://eur-lex.europa.eu/legal-content/EN/TXT/HTML/?uri=CELEX:32025R1190#art_12" TargetMode="External" Id="rId17" /><Relationship Type="http://schemas.openxmlformats.org/officeDocument/2006/relationships/hyperlink" Target="https://eur-lex.europa.eu/legal-content/EN/TXT/HTML/?uri=CELEX:32025R1190#art_12" TargetMode="External" Id="rId18" /><Relationship Type="http://schemas.openxmlformats.org/officeDocument/2006/relationships/hyperlink" Target="https://eur-lex.europa.eu/legal-content/EN/TXT/HTML/?uri=CELEX:32025R1190#art_13" TargetMode="External" Id="rId19" /><Relationship Type="http://schemas.openxmlformats.org/officeDocument/2006/relationships/hyperlink" Target="https://eur-lex.europa.eu/legal-content/EN/TXT/HTML/?uri=CELEX:32025R1190#art_14" TargetMode="External" Id="rId20" /></Relationships>
</file>

<file path=xl/worksheets/_rels/sheet12.xml.rels><Relationships xmlns="http://schemas.openxmlformats.org/package/2006/relationships"><Relationship Type="http://schemas.openxmlformats.org/officeDocument/2006/relationships/hyperlink" Target="https://eur-lex.europa.eu/legal-content/EN/TXT/HTML/?uri=CELEX:32022R2554#art_27" TargetMode="External" Id="rId1" /><Relationship Type="http://schemas.openxmlformats.org/officeDocument/2006/relationships/hyperlink" Target="https://eur-lex.europa.eu/legal-content/EN/TXT/HTML/?uri=CELEX:32025R1190#art_7" TargetMode="External" Id="rId2" /><Relationship Type="http://schemas.openxmlformats.org/officeDocument/2006/relationships/hyperlink" Target="https://eur-lex.europa.eu/legal-content/EN/TXT/HTML/?uri=CELEX:32025R1190#art_7" TargetMode="External" Id="rId3" /><Relationship Type="http://schemas.openxmlformats.org/officeDocument/2006/relationships/hyperlink" Target="https://www.ecb.europa.eu/paym/cyber-resilience/tiber-eu/html/index.en.html" TargetMode="External" Id="rId4" /><Relationship Type="http://schemas.openxmlformats.org/officeDocument/2006/relationships/hyperlink" Target="https://www.ecb.europa.eu/paym/cyber-resilience/tiber-eu/html/index.en.html" TargetMode="External" Id="rId5" /><Relationship Type="http://schemas.openxmlformats.org/officeDocument/2006/relationships/hyperlink" Target="https://eur-lex.europa.eu/legal-content/EN/TXT/HTML/?uri=CELEX:32022R2554#art_27" TargetMode="External" Id="rId6" /><Relationship Type="http://schemas.openxmlformats.org/officeDocument/2006/relationships/hyperlink" Target="https://eur-lex.europa.eu/legal-content/EN/TXT/HTML/?uri=CELEX:32022R2554#art_27" TargetMode="External" Id="rId7" /><Relationship Type="http://schemas.openxmlformats.org/officeDocument/2006/relationships/hyperlink" Target="https://eur-lex.europa.eu/legal-content/EN/TXT/HTML/?uri=CELEX:32025R1190#art_7" TargetMode="External" Id="rId8" /><Relationship Type="http://schemas.openxmlformats.org/officeDocument/2006/relationships/hyperlink" Target="https://www.ecb.europa.eu/paym/cyber-resilience/tiber-eu/html/index.en.html" TargetMode="External" Id="rId9" /><Relationship Type="http://schemas.openxmlformats.org/officeDocument/2006/relationships/hyperlink" Target="https://eur-lex.europa.eu/legal-content/EN/TXT/HTML/?uri=CELEX:32025R1190#art_7" TargetMode="External" Id="rId10" /><Relationship Type="http://schemas.openxmlformats.org/officeDocument/2006/relationships/hyperlink" Target="https://eur-lex.europa.eu/legal-content/EN/TXT/HTML/?uri=CELEX:32025R1190#art_7" TargetMode="External" Id="rId11" /><Relationship Type="http://schemas.openxmlformats.org/officeDocument/2006/relationships/hyperlink" Target="https://eur-lex.europa.eu/legal-content/EN/TXT/HTML/?uri=CELEX:32022R2554#art_27" TargetMode="External" Id="rId12" /><Relationship Type="http://schemas.openxmlformats.org/officeDocument/2006/relationships/hyperlink" Target="https://eur-lex.europa.eu/legal-content/EN/TXT/HTML/?uri=CELEX:32025R1190#art_7" TargetMode="External" Id="rId13" /><Relationship Type="http://schemas.openxmlformats.org/officeDocument/2006/relationships/hyperlink" Target="https://eur-lex.europa.eu/legal-content/EN/TXT/HTML/?uri=CELEX:32025R1190#art_7" TargetMode="External" Id="rId14" /><Relationship Type="http://schemas.openxmlformats.org/officeDocument/2006/relationships/hyperlink" Target="https://www.ecb.europa.eu/paym/cyber-resilience/tiber-eu/html/index.en.html" TargetMode="External" Id="rId15" /><Relationship Type="http://schemas.openxmlformats.org/officeDocument/2006/relationships/hyperlink" Target="https://www.ecb.europa.eu/paym/cyber-resilience/tiber-eu/html/index.en.html" TargetMode="External" Id="rId16" /><Relationship Type="http://schemas.openxmlformats.org/officeDocument/2006/relationships/hyperlink" Target="https://www.ecb.europa.eu/paym/cyber-resilience/tiber-eu/html/index.en.html" TargetMode="External" Id="rId17" /><Relationship Type="http://schemas.openxmlformats.org/officeDocument/2006/relationships/hyperlink" Target="https://eur-lex.europa.eu/legal-content/EN/TXT/HTML/?uri=CELEX:32022R2554#art_27" TargetMode="External" Id="rId18" /><Relationship Type="http://schemas.openxmlformats.org/officeDocument/2006/relationships/hyperlink" Target="https://eur-lex.europa.eu/legal-content/EN/TXT/HTML/?uri=CELEX:32022R2554#art_27" TargetMode="External" Id="rId19" /><Relationship Type="http://schemas.openxmlformats.org/officeDocument/2006/relationships/hyperlink" Target="https://eur-lex.europa.eu/legal-content/EN/TXT/HTML/?uri=CELEX:32025R1190#art_7" TargetMode="External" Id="rId20" /><Relationship Type="http://schemas.openxmlformats.org/officeDocument/2006/relationships/hyperlink" Target="https://www.ecb.europa.eu/paym/cyber-resilience/tiber-eu/html/index.en.html" TargetMode="External" Id="rId21" /><Relationship Type="http://schemas.openxmlformats.org/officeDocument/2006/relationships/hyperlink" Target="https://eur-lex.europa.eu/legal-content/EN/TXT/HTML/?uri=CELEX:32025R1190#art_7" TargetMode="External" Id="rId22" /><Relationship Type="http://schemas.openxmlformats.org/officeDocument/2006/relationships/hyperlink" Target="https://eur-lex.europa.eu/legal-content/EN/TXT/HTML/?uri=CELEX:32025R1190#art_7" TargetMode="External" Id="rId23" /><Relationship Type="http://schemas.openxmlformats.org/officeDocument/2006/relationships/hyperlink" Target="https://eur-lex.europa.eu/legal-content/EN/TXT/HTML/?uri=CELEX:32022R2554#art_27" TargetMode="External" Id="rId24" /><Relationship Type="http://schemas.openxmlformats.org/officeDocument/2006/relationships/hyperlink" Target="https://eur-lex.europa.eu/legal-content/EN/TXT/HTML/?uri=CELEX:32022R2554#art_26" TargetMode="External" Id="rId25" /></Relationships>
</file>

<file path=xl/worksheets/_rels/sheet3.xml.rels><Relationships xmlns="http://schemas.openxmlformats.org/package/2006/relationships"><Relationship Type="http://schemas.openxmlformats.org/officeDocument/2006/relationships/hyperlink" Target="https://eur-lex.europa.eu/legal-content/EN/TXT/HTML/?uri=CELEX:32022R2554#art_2" TargetMode="External" Id="rId1" /><Relationship Type="http://schemas.openxmlformats.org/officeDocument/2006/relationships/hyperlink" Target="https://eur-lex.europa.eu/legal-content/EN/TXT/HTML/?uri=CELEX:32025R1190#art_2" TargetMode="External" Id="rId2" /><Relationship Type="http://schemas.openxmlformats.org/officeDocument/2006/relationships/hyperlink" Target="https://eur-lex.europa.eu/legal-content/EN/TXT/HTML/?uri=CELEX:32025R1190#art_2" TargetMode="External" Id="rId3" /><Relationship Type="http://schemas.openxmlformats.org/officeDocument/2006/relationships/hyperlink" Target="https://eur-lex.europa.eu/legal-content/EN/TXT/HTML/?uri=CELEX:32022R2554#art_26" TargetMode="External" Id="rId4" /></Relationships>
</file>

<file path=xl/worksheets/_rels/sheet4.xml.rels><Relationships xmlns="http://schemas.openxmlformats.org/package/2006/relationships"><Relationship Type="http://schemas.openxmlformats.org/officeDocument/2006/relationships/hyperlink" Target="https://eur-lex.europa.eu/legal-content/EN/TXT/HTML/?uri=CELEX:32022R2554#art_26" TargetMode="External" Id="rId1" /><Relationship Type="http://schemas.openxmlformats.org/officeDocument/2006/relationships/hyperlink" Target="https://eur-lex.europa.eu/legal-content/EN/TXT/HTML/?uri=CELEX:32025R1190#art_9" TargetMode="External" Id="rId2" /><Relationship Type="http://schemas.openxmlformats.org/officeDocument/2006/relationships/hyperlink" Target="https://eur-lex.europa.eu/legal-content/EN/TXT/HTML/?uri=CELEX:32025R1190#art_4" TargetMode="External" Id="rId3" /><Relationship Type="http://schemas.openxmlformats.org/officeDocument/2006/relationships/hyperlink" Target="https://eur-lex.europa.eu/legal-content/EN/TXT/HTML/?uri=CELEX:32025R1190#art_4" TargetMode="External" Id="rId4" /><Relationship Type="http://schemas.openxmlformats.org/officeDocument/2006/relationships/hyperlink" Target="https://eur-lex.europa.eu/legal-content/EN/TXT/HTML/?uri=CELEX:32025R1190#art_4" TargetMode="External" Id="rId5" /><Relationship Type="http://schemas.openxmlformats.org/officeDocument/2006/relationships/hyperlink" Target="https://eur-lex.europa.eu/legal-content/EN/TXT/HTML/?uri=CELEX:32025R1190#art_4" TargetMode="External" Id="rId6" /><Relationship Type="http://schemas.openxmlformats.org/officeDocument/2006/relationships/hyperlink" Target="https://eur-lex.europa.eu/legal-content/EN/TXT/HTML/?uri=CELEX:32025R1190#art_9" TargetMode="External" Id="rId7" /><Relationship Type="http://schemas.openxmlformats.org/officeDocument/2006/relationships/hyperlink" Target="https://eur-lex.europa.eu/legal-content/EN/TXT/HTML/?uri=CELEX:32025R1190#art_9" TargetMode="External" Id="rId8" /><Relationship Type="http://schemas.openxmlformats.org/officeDocument/2006/relationships/hyperlink" Target="https://eur-lex.europa.eu/legal-content/EN/TXT/HTML/?uri=CELEX:32025R1190#art_4" TargetMode="External" Id="rId9" /><Relationship Type="http://schemas.openxmlformats.org/officeDocument/2006/relationships/hyperlink" Target="https://eur-lex.europa.eu/legal-content/EN/TXT/HTML/?uri=CELEX:32025R1190#art_9" TargetMode="External" Id="rId10" /><Relationship Type="http://schemas.openxmlformats.org/officeDocument/2006/relationships/hyperlink" Target="https://eur-lex.europa.eu/legal-content/EN/TXT/HTML/?uri=CELEX:32025R1190#art_9" TargetMode="External" Id="rId11" /><Relationship Type="http://schemas.openxmlformats.org/officeDocument/2006/relationships/hyperlink" Target="https://eur-lex.europa.eu/legal-content/EN/TXT/HTML/?uri=CELEX:32025R1190#art_9" TargetMode="External" Id="rId12" /><Relationship Type="http://schemas.openxmlformats.org/officeDocument/2006/relationships/hyperlink" Target="https://eur-lex.europa.eu/legal-content/EN/TXT/HTML/?uri=CELEX:32025R1190#art_4" TargetMode="External" Id="rId13" /><Relationship Type="http://schemas.openxmlformats.org/officeDocument/2006/relationships/hyperlink" Target="https://eur-lex.europa.eu/legal-content/EN/TXT/HTML/?uri=CELEX:32025R1190#art_4" TargetMode="External" Id="rId14" /><Relationship Type="http://schemas.openxmlformats.org/officeDocument/2006/relationships/hyperlink" Target="https://eur-lex.europa.eu/legal-content/EN/TXT/HTML/?uri=CELEX:32025R1190#art_4" TargetMode="External" Id="rId15" /><Relationship Type="http://schemas.openxmlformats.org/officeDocument/2006/relationships/hyperlink" Target="https://eur-lex.europa.eu/legal-content/EN/TXT/HTML/?uri=CELEX:32025R1190#art_4" TargetMode="External" Id="rId16" /><Relationship Type="http://schemas.openxmlformats.org/officeDocument/2006/relationships/hyperlink" Target="https://eur-lex.europa.eu/legal-content/EN/TXT/HTML/?uri=CELEX:32025R1190#art_4" TargetMode="External" Id="rId17" /><Relationship Type="http://schemas.openxmlformats.org/officeDocument/2006/relationships/hyperlink" Target="https://eur-lex.europa.eu/legal-content/EN/TXT/HTML/?uri=CELEX:32025R1190#art_4" TargetMode="External" Id="rId18" /><Relationship Type="http://schemas.openxmlformats.org/officeDocument/2006/relationships/hyperlink" Target="https://eur-lex.europa.eu/legal-content/EN/TXT/HTML/?uri=CELEX:32022R2554#art_3" TargetMode="External" Id="rId19" /><Relationship Type="http://schemas.openxmlformats.org/officeDocument/2006/relationships/hyperlink" Target="https://eur-lex.europa.eu/legal-content/EN/TXT/HTML/?uri=CELEX:32025R1190#art_9" TargetMode="External" Id="rId20" /><Relationship Type="http://schemas.openxmlformats.org/officeDocument/2006/relationships/hyperlink" Target="https://eur-lex.europa.eu/legal-content/EN/TXT/HTML/?uri=CELEX:32025R1190#anx_II" TargetMode="External" Id="rId21" /><Relationship Type="http://schemas.openxmlformats.org/officeDocument/2006/relationships/hyperlink" Target="https://eur-lex.europa.eu/legal-content/EN/TXT/HTML/?uri=CELEX:32025R1190#anx_II" TargetMode="External" Id="rId22" /><Relationship Type="http://schemas.openxmlformats.org/officeDocument/2006/relationships/hyperlink" Target="https://eur-lex.europa.eu/legal-content/EN/TXT/HTML/?uri=CELEX:32025R1190#anx_II" TargetMode="External" Id="rId23" /><Relationship Type="http://schemas.openxmlformats.org/officeDocument/2006/relationships/hyperlink" Target="https://eur-lex.europa.eu/legal-content/EN/TXT/HTML/?uri=CELEX:32025R1190#anx_II" TargetMode="External" Id="rId24" /><Relationship Type="http://schemas.openxmlformats.org/officeDocument/2006/relationships/hyperlink" Target="https://eur-lex.europa.eu/legal-content/EN/TXT/HTML/?uri=CELEX:32025R1190#art_9" TargetMode="External" Id="rId25" /><Relationship Type="http://schemas.openxmlformats.org/officeDocument/2006/relationships/hyperlink" Target="https://eur-lex.europa.eu/legal-content/EN/TXT/HTML/?uri=CELEX:32025R1190#art_9" TargetMode="External" Id="rId26" /><Relationship Type="http://schemas.openxmlformats.org/officeDocument/2006/relationships/hyperlink" Target="https://eur-lex.europa.eu/legal-content/EN/TXT/HTML/?uri=CELEX:32025R1190#art_9" TargetMode="External" Id="rId27" /><Relationship Type="http://schemas.openxmlformats.org/officeDocument/2006/relationships/hyperlink" Target="https://eur-lex.europa.eu/legal-content/EN/TXT/HTML/?uri=CELEX:32025R1190#anx_II" TargetMode="External" Id="rId28" /><Relationship Type="http://schemas.openxmlformats.org/officeDocument/2006/relationships/hyperlink" Target="https://eur-lex.europa.eu/legal-content/EN/TXT/HTML/?uri=CELEX:32025R1190#anx_II" TargetMode="External" Id="rId29" /><Relationship Type="http://schemas.openxmlformats.org/officeDocument/2006/relationships/hyperlink" Target="https://eur-lex.europa.eu/legal-content/EN/TXT/HTML/?uri=CELEX:32025R1190#anx_II" TargetMode="External" Id="rId30" /><Relationship Type="http://schemas.openxmlformats.org/officeDocument/2006/relationships/hyperlink" Target="https://eur-lex.europa.eu/legal-content/EN/TXT/HTML/?uri=CELEX:32025R1190#anx_II" TargetMode="External" Id="rId31" /></Relationships>
</file>

<file path=xl/worksheets/_rels/sheet5.xml.rels><Relationships xmlns="http://schemas.openxmlformats.org/package/2006/relationships"><Relationship Type="http://schemas.openxmlformats.org/officeDocument/2006/relationships/hyperlink" Target="https://eur-lex.europa.eu/legal-content/EN/TXT/HTML/?uri=CELEX:32022R2554#art_27" TargetMode="External" Id="rId1" /><Relationship Type="http://schemas.openxmlformats.org/officeDocument/2006/relationships/hyperlink" Target="https://eur-lex.europa.eu/legal-content/EN/TXT/HTML/?uri=CELEX:32025R1190#art_7" TargetMode="External" Id="rId2" /><Relationship Type="http://schemas.openxmlformats.org/officeDocument/2006/relationships/hyperlink" Target="https://eur-lex.europa.eu/legal-content/EN/TXT/HTML/?uri=CELEX:32025R1190#art_7" TargetMode="External" Id="rId3" /><Relationship Type="http://schemas.openxmlformats.org/officeDocument/2006/relationships/hyperlink" Target="https://www.ecb.europa.eu/paym/cyber-resilience/tiber-eu/html/index.en.html" TargetMode="External" Id="rId4" /><Relationship Type="http://schemas.openxmlformats.org/officeDocument/2006/relationships/hyperlink" Target="https://eur-lex.europa.eu/legal-content/EN/TXT/HTML/?uri=CELEX:32022R2554#art_27" TargetMode="External" Id="rId5" /><Relationship Type="http://schemas.openxmlformats.org/officeDocument/2006/relationships/hyperlink" Target="https://eur-lex.europa.eu/legal-content/EN/TXT/HTML/?uri=CELEX:32022R2554#art_27" TargetMode="External" Id="rId6" /><Relationship Type="http://schemas.openxmlformats.org/officeDocument/2006/relationships/hyperlink" Target="https://eur-lex.europa.eu/legal-content/EN/TXT/HTML/?uri=CELEX:32025R1190#art_7" TargetMode="External" Id="rId7" /><Relationship Type="http://schemas.openxmlformats.org/officeDocument/2006/relationships/hyperlink" Target="https://eur-lex.europa.eu/legal-content/EN/TXT/HTML/?uri=CELEX:32025R1190#art_7" TargetMode="External" Id="rId8" /><Relationship Type="http://schemas.openxmlformats.org/officeDocument/2006/relationships/hyperlink" Target="https://eur-lex.europa.eu/legal-content/EN/TXT/HTML/?uri=CELEX:32025R1190#art_7" TargetMode="External" Id="rId9" /><Relationship Type="http://schemas.openxmlformats.org/officeDocument/2006/relationships/hyperlink" Target="https://eur-lex.europa.eu/legal-content/EN/TXT/HTML/?uri=CELEX:32025R1190#art_7" TargetMode="External" Id="rId10" /><Relationship Type="http://schemas.openxmlformats.org/officeDocument/2006/relationships/hyperlink" Target="https://eur-lex.europa.eu/legal-content/EN/TXT/HTML/?uri=CELEX:32025R1190#art_7" TargetMode="External" Id="rId11" /><Relationship Type="http://schemas.openxmlformats.org/officeDocument/2006/relationships/hyperlink" Target="https://eur-lex.europa.eu/legal-content/EN/TXT/HTML/?uri=CELEX:32025R1190#art_7" TargetMode="External" Id="rId12" /><Relationship Type="http://schemas.openxmlformats.org/officeDocument/2006/relationships/hyperlink" Target="https://www.ecb.europa.eu/paym/cyber-resilience/tiber-eu/html/index.en.html" TargetMode="External" Id="rId13" /><Relationship Type="http://schemas.openxmlformats.org/officeDocument/2006/relationships/hyperlink" Target="https://eur-lex.europa.eu/legal-content/EN/TXT/HTML/?uri=CELEX:32022R2554#art_27" TargetMode="External" Id="rId14" /><Relationship Type="http://schemas.openxmlformats.org/officeDocument/2006/relationships/hyperlink" Target="https://eur-lex.europa.eu/legal-content/EN/TXT/HTML/?uri=CELEX:32022R2554#art_27" TargetMode="External" Id="rId15" /><Relationship Type="http://schemas.openxmlformats.org/officeDocument/2006/relationships/hyperlink" Target="https://eur-lex.europa.eu/legal-content/EN/TXT/HTML/?uri=CELEX:32025R1190#art_7" TargetMode="External" Id="rId16" /><Relationship Type="http://schemas.openxmlformats.org/officeDocument/2006/relationships/hyperlink" Target="https://eur-lex.europa.eu/legal-content/EN/TXT/HTML/?uri=CELEX:32025R1190#art_7" TargetMode="External" Id="rId17" /><Relationship Type="http://schemas.openxmlformats.org/officeDocument/2006/relationships/hyperlink" Target="https://www.ecb.europa.eu/paym/cyber-resilience/tiber-eu/html/index.en.html" TargetMode="External" Id="rId18" /><Relationship Type="http://schemas.openxmlformats.org/officeDocument/2006/relationships/hyperlink" Target="https://www.ecb.europa.eu/paym/cyber-resilience/tiber-eu/html/index.en.html" TargetMode="External" Id="rId19" /><Relationship Type="http://schemas.openxmlformats.org/officeDocument/2006/relationships/hyperlink" Target="https://www.ecb.europa.eu/paym/cyber-resilience/tiber-eu/html/index.en.html" TargetMode="External" Id="rId20" /><Relationship Type="http://schemas.openxmlformats.org/officeDocument/2006/relationships/hyperlink" Target="https://www.ecb.europa.eu/paym/cyber-resilience/tiber-eu/html/index.en.html" TargetMode="External" Id="rId21" /><Relationship Type="http://schemas.openxmlformats.org/officeDocument/2006/relationships/hyperlink" Target="https://www.ecb.europa.eu/paym/cyber-resilience/tiber-eu/html/index.en.html" TargetMode="External" Id="rId22" /><Relationship Type="http://schemas.openxmlformats.org/officeDocument/2006/relationships/hyperlink" Target="https://www.ecb.europa.eu/paym/cyber-resilience/tiber-eu/html/index.en.html" TargetMode="External" Id="rId23" /><Relationship Type="http://schemas.openxmlformats.org/officeDocument/2006/relationships/hyperlink" Target="https://www.ecb.europa.eu/paym/cyber-resilience/tiber-eu/html/index.en.html" TargetMode="External" Id="rId24" /><Relationship Type="http://schemas.openxmlformats.org/officeDocument/2006/relationships/hyperlink" Target="https://www.ecb.europa.eu/paym/cyber-resilience/tiber-eu/html/index.en.html" TargetMode="External" Id="rId25" /><Relationship Type="http://schemas.openxmlformats.org/officeDocument/2006/relationships/hyperlink" Target="https://www.ecb.europa.eu/paym/cyber-resilience/tiber-eu/html/index.en.html" TargetMode="External" Id="rId26" /><Relationship Type="http://schemas.openxmlformats.org/officeDocument/2006/relationships/hyperlink" Target="https://www.ecb.europa.eu/paym/cyber-resilience/tiber-eu/html/index.en.html" TargetMode="External" Id="rId27" /><Relationship Type="http://schemas.openxmlformats.org/officeDocument/2006/relationships/hyperlink" Target="https://www.ecb.europa.eu/paym/cyber-resilience/tiber-eu/html/index.en.html" TargetMode="External" Id="rId28" /><Relationship Type="http://schemas.openxmlformats.org/officeDocument/2006/relationships/hyperlink" Target="https://www.ecb.europa.eu/paym/cyber-resilience/tiber-eu/html/index.en.html" TargetMode="External" Id="rId29" /><Relationship Type="http://schemas.openxmlformats.org/officeDocument/2006/relationships/hyperlink" Target="https://www.ecb.europa.eu/paym/cyber-resilience/tiber-eu/html/index.en.html" TargetMode="External" Id="rId30" /><Relationship Type="http://schemas.openxmlformats.org/officeDocument/2006/relationships/hyperlink" Target="https://www.ecb.europa.eu/paym/cyber-resilience/tiber-eu/html/index.en.html" TargetMode="External" Id="rId31" /><Relationship Type="http://schemas.openxmlformats.org/officeDocument/2006/relationships/hyperlink" Target="https://www.ecb.europa.eu/paym/cyber-resilience/tiber-eu/html/index.en.html" TargetMode="External" Id="rId32" /><Relationship Type="http://schemas.openxmlformats.org/officeDocument/2006/relationships/hyperlink" Target="https://www.ecb.europa.eu/paym/cyber-resilience/tiber-eu/html/index.en.html" TargetMode="External" Id="rId33" /><Relationship Type="http://schemas.openxmlformats.org/officeDocument/2006/relationships/hyperlink" Target="https://eur-lex.europa.eu/legal-content/EN/TXT/HTML/?uri=CELEX:32025R1190#art_11" TargetMode="External" Id="rId34" /><Relationship Type="http://schemas.openxmlformats.org/officeDocument/2006/relationships/hyperlink" Target="https://eur-lex.europa.eu/legal-content/EN/TXT/HTML/?uri=CELEX:32022R2554#art_27" TargetMode="External" Id="rId35" /><Relationship Type="http://schemas.openxmlformats.org/officeDocument/2006/relationships/hyperlink" Target="https://eur-lex.europa.eu/legal-content/EN/TXT/HTML/?uri=CELEX:32025R1190#art_11" TargetMode="External" Id="rId36" /><Relationship Type="http://schemas.openxmlformats.org/officeDocument/2006/relationships/hyperlink" Target="https://eur-lex.europa.eu/legal-content/EN/TXT/HTML/?uri=CELEX:32022R2554#art_27" TargetMode="External" Id="rId37" /><Relationship Type="http://schemas.openxmlformats.org/officeDocument/2006/relationships/hyperlink" Target="https://eur-lex.europa.eu/legal-content/EN/TXT/HTML/?uri=CELEX:32025R1190#art_11" TargetMode="External" Id="rId38" /><Relationship Type="http://schemas.openxmlformats.org/officeDocument/2006/relationships/hyperlink" Target="https://eur-lex.europa.eu/legal-content/EN/TXT/HTML/?uri=CELEX:32025R1190#art_11" TargetMode="External" Id="rId39" /><Relationship Type="http://schemas.openxmlformats.org/officeDocument/2006/relationships/hyperlink" Target="https://eur-lex.europa.eu/legal-content/EN/TXT/HTML/?uri=CELEX:32022R2554#art_27" TargetMode="External" Id="rId40" /><Relationship Type="http://schemas.openxmlformats.org/officeDocument/2006/relationships/hyperlink" Target="https://eur-lex.europa.eu/legal-content/EN/TXT/HTML/?uri=CELEX:32025R1190#art_12" TargetMode="External" Id="rId41" /><Relationship Type="http://schemas.openxmlformats.org/officeDocument/2006/relationships/hyperlink" Target="https://eur-lex.europa.eu/legal-content/EN/TXT/HTML/?uri=CELEX:32025R1190#art_7" TargetMode="External" Id="rId42" /></Relationships>
</file>

<file path=xl/worksheets/_rels/sheet6.xml.rels><Relationships xmlns="http://schemas.openxmlformats.org/package/2006/relationships"><Relationship Type="http://schemas.openxmlformats.org/officeDocument/2006/relationships/hyperlink" Target="https://eur-lex.europa.eu/legal-content/EN/TXT/HTML/?uri=CELEX:32025R1190#art_9" TargetMode="External" Id="rId1" /><Relationship Type="http://schemas.openxmlformats.org/officeDocument/2006/relationships/hyperlink" Target="https://eur-lex.europa.eu/legal-content/EN/TXT/HTML/?uri=CELEX:32025R1190#art_9" TargetMode="External" Id="rId2" /><Relationship Type="http://schemas.openxmlformats.org/officeDocument/2006/relationships/hyperlink" Target="https://eur-lex.europa.eu/legal-content/EN/TXT/HTML/?uri=CELEX:32025R1190#art_9" TargetMode="External" Id="rId3" /><Relationship Type="http://schemas.openxmlformats.org/officeDocument/2006/relationships/hyperlink" Target="https://eur-lex.europa.eu/legal-content/EN/TXT/HTML/?uri=CELEX:32025R1190#art_9" TargetMode="External" Id="rId4" /><Relationship Type="http://schemas.openxmlformats.org/officeDocument/2006/relationships/hyperlink" Target="https://eur-lex.europa.eu/legal-content/EN/TXT/HTML/?uri=CELEX:32025R1190#art_9" TargetMode="External" Id="rId5" /><Relationship Type="http://schemas.openxmlformats.org/officeDocument/2006/relationships/hyperlink" Target="https://eur-lex.europa.eu/legal-content/EN/TXT/HTML/?uri=CELEX:32025R1190#art_9" TargetMode="External" Id="rId6" /><Relationship Type="http://schemas.openxmlformats.org/officeDocument/2006/relationships/hyperlink" Target="https://eur-lex.europa.eu/legal-content/EN/TXT/HTML/?uri=CELEX:32025R1190#art_9" TargetMode="External" Id="rId7" /><Relationship Type="http://schemas.openxmlformats.org/officeDocument/2006/relationships/hyperlink" Target="https://eur-lex.europa.eu/legal-content/EN/TXT/HTML/?uri=CELEX:32025R1190#art_9" TargetMode="External" Id="rId8" /><Relationship Type="http://schemas.openxmlformats.org/officeDocument/2006/relationships/hyperlink" Target="https://eur-lex.europa.eu/legal-content/EN/TXT/HTML/?uri=CELEX:32025R1190#art_4" TargetMode="External" Id="rId9" /><Relationship Type="http://schemas.openxmlformats.org/officeDocument/2006/relationships/hyperlink" Target="https://eur-lex.europa.eu/legal-content/EN/TXT/HTML/?uri=CELEX:32025R1190#art_9" TargetMode="External" Id="rId10" /><Relationship Type="http://schemas.openxmlformats.org/officeDocument/2006/relationships/hyperlink" Target="https://eur-lex.europa.eu/legal-content/EN/TXT/HTML/?uri=CELEX:32025R1190#art_9" TargetMode="External" Id="rId11" /><Relationship Type="http://schemas.openxmlformats.org/officeDocument/2006/relationships/hyperlink" Target="https://eur-lex.europa.eu/legal-content/EN/TXT/HTML/?uri=CELEX:32025R1190#art_9" TargetMode="External" Id="rId12" /><Relationship Type="http://schemas.openxmlformats.org/officeDocument/2006/relationships/hyperlink" Target="https://eur-lex.europa.eu/legal-content/EN/TXT/HTML/?uri=CELEX:32025R1190#art_9" TargetMode="External" Id="rId13" /><Relationship Type="http://schemas.openxmlformats.org/officeDocument/2006/relationships/hyperlink" Target="https://eur-lex.europa.eu/legal-content/EN/TXT/HTML/?uri=CELEX:32025R1190#art_9" TargetMode="External" Id="rId14" /><Relationship Type="http://schemas.openxmlformats.org/officeDocument/2006/relationships/hyperlink" Target="https://eur-lex.europa.eu/legal-content/EN/TXT/HTML/?uri=CELEX:32025R1190#anx_II" TargetMode="External" Id="rId15" /><Relationship Type="http://schemas.openxmlformats.org/officeDocument/2006/relationships/hyperlink" Target="https://eur-lex.europa.eu/legal-content/EN/TXT/HTML/?uri=CELEX:32025R1190#anx_II" TargetMode="External" Id="rId16" /><Relationship Type="http://schemas.openxmlformats.org/officeDocument/2006/relationships/hyperlink" Target="https://eur-lex.europa.eu/legal-content/EN/TXT/HTML/?uri=CELEX:32025R1190#anx_II" TargetMode="External" Id="rId17" /><Relationship Type="http://schemas.openxmlformats.org/officeDocument/2006/relationships/hyperlink" Target="https://eur-lex.europa.eu/legal-content/EN/TXT/HTML/?uri=CELEX:32025R1190#anx_II" TargetMode="External" Id="rId18" /><Relationship Type="http://schemas.openxmlformats.org/officeDocument/2006/relationships/hyperlink" Target="https://eur-lex.europa.eu/legal-content/EN/TXT/HTML/?uri=CELEX:32025R1190#anx_II" TargetMode="External" Id="rId19" /><Relationship Type="http://schemas.openxmlformats.org/officeDocument/2006/relationships/hyperlink" Target="https://eur-lex.europa.eu/legal-content/EN/TXT/HTML/?uri=CELEX:32025R1190#art_9" TargetMode="External" Id="rId20" /><Relationship Type="http://schemas.openxmlformats.org/officeDocument/2006/relationships/hyperlink" Target="https://eur-lex.europa.eu/legal-content/EN/TXT/HTML/?uri=CELEX:32025R1190#art_9" TargetMode="External" Id="rId21" /><Relationship Type="http://schemas.openxmlformats.org/officeDocument/2006/relationships/hyperlink" Target="https://eur-lex.europa.eu/legal-content/EN/TXT/HTML/?uri=CELEX:32025R1190#art_9" TargetMode="External" Id="rId22" /><Relationship Type="http://schemas.openxmlformats.org/officeDocument/2006/relationships/hyperlink" Target="https://eur-lex.europa.eu/legal-content/EN/TXT/HTML/?uri=CELEX:32025R1190#art_5" TargetMode="External" Id="rId23" /><Relationship Type="http://schemas.openxmlformats.org/officeDocument/2006/relationships/hyperlink" Target="https://eur-lex.europa.eu/legal-content/EN/TXT/HTML/?uri=CELEX:32025R1190#art_5" TargetMode="External" Id="rId24" /><Relationship Type="http://schemas.openxmlformats.org/officeDocument/2006/relationships/hyperlink" Target="https://eur-lex.europa.eu/legal-content/EN/TXT/HTML/?uri=CELEX:32025R1190#art_5" TargetMode="External" Id="rId25" /><Relationship Type="http://schemas.openxmlformats.org/officeDocument/2006/relationships/hyperlink" Target="https://eur-lex.europa.eu/legal-content/EN/TXT/HTML/?uri=CELEX:32025R1190#art_5" TargetMode="External" Id="rId26" /><Relationship Type="http://schemas.openxmlformats.org/officeDocument/2006/relationships/hyperlink" Target="https://eur-lex.europa.eu/legal-content/EN/TXT/HTML/?uri=CELEX:32025R1190#art_5" TargetMode="External" Id="rId27" /><Relationship Type="http://schemas.openxmlformats.org/officeDocument/2006/relationships/hyperlink" Target="https://eur-lex.europa.eu/legal-content/EN/TXT/HTML/?uri=CELEX:32025R1190#art_5" TargetMode="External" Id="rId28" /><Relationship Type="http://schemas.openxmlformats.org/officeDocument/2006/relationships/hyperlink" Target="https://eur-lex.europa.eu/legal-content/EN/TXT/HTML/?uri=CELEX:32025R1190#art_5" TargetMode="External" Id="rId29" /><Relationship Type="http://schemas.openxmlformats.org/officeDocument/2006/relationships/hyperlink" Target="https://eur-lex.europa.eu/legal-content/EN/TXT/HTML/?uri=CELEX:32025R1190#art_5" TargetMode="External" Id="rId30" /><Relationship Type="http://schemas.openxmlformats.org/officeDocument/2006/relationships/hyperlink" Target="https://eur-lex.europa.eu/legal-content/EN/TXT/HTML/?uri=CELEX:32025R1190#art_6" TargetMode="External" Id="rId31" /><Relationship Type="http://schemas.openxmlformats.org/officeDocument/2006/relationships/hyperlink" Target="https://eur-lex.europa.eu/legal-content/EN/TXT/HTML/?uri=CELEX:32025R1190#art_9" TargetMode="External" Id="rId32" /><Relationship Type="http://schemas.openxmlformats.org/officeDocument/2006/relationships/hyperlink" Target="https://eur-lex.europa.eu/legal-content/EN/TXT/HTML/?uri=CELEX:32022R2554#art_26" TargetMode="External" Id="rId33" /><Relationship Type="http://schemas.openxmlformats.org/officeDocument/2006/relationships/hyperlink" Target="https://eur-lex.europa.eu/legal-content/EN/TXT/HTML/?uri=CELEX:32022R2554#art_30" TargetMode="External" Id="rId34" /><Relationship Type="http://schemas.openxmlformats.org/officeDocument/2006/relationships/hyperlink" Target="https://eur-lex.europa.eu/legal-content/EN/TXT/HTML/?uri=CELEX:32022R2554#art_30" TargetMode="External" Id="rId35" /><Relationship Type="http://schemas.openxmlformats.org/officeDocument/2006/relationships/hyperlink" Target="https://eur-lex.europa.eu/legal-content/EN/TXT/HTML/?uri=CELEX:32022R2554#art_26" TargetMode="External" Id="rId36" /><Relationship Type="http://schemas.openxmlformats.org/officeDocument/2006/relationships/hyperlink" Target="https://eur-lex.europa.eu/legal-content/EN/TXT/HTML/?uri=CELEX:32022R2554#art_26" TargetMode="External" Id="rId37" /><Relationship Type="http://schemas.openxmlformats.org/officeDocument/2006/relationships/hyperlink" Target="https://eur-lex.europa.eu/legal-content/EN/TXT/HTML/?uri=CELEX:32022R2554#art_26" TargetMode="External" Id="rId38" /><Relationship Type="http://schemas.openxmlformats.org/officeDocument/2006/relationships/hyperlink" Target="https://eur-lex.europa.eu/legal-content/EN/TXT/HTML/?uri=CELEX:32022R2554#art_26" TargetMode="External" Id="rId39" /><Relationship Type="http://schemas.openxmlformats.org/officeDocument/2006/relationships/hyperlink" Target="https://eur-lex.europa.eu/legal-content/EN/TXT/HTML/?uri=CELEX:32025R1190#art_16" TargetMode="External" Id="rId40" /><Relationship Type="http://schemas.openxmlformats.org/officeDocument/2006/relationships/hyperlink" Target="https://eur-lex.europa.eu/legal-content/EN/TXT/HTML/?uri=CELEX:32025R1190#art_16" TargetMode="External" Id="rId41" /><Relationship Type="http://schemas.openxmlformats.org/officeDocument/2006/relationships/hyperlink" Target="https://eur-lex.europa.eu/legal-content/EN/TXT/HTML/?uri=CELEX:32025R1190#art_16" TargetMode="External" Id="rId42" /><Relationship Type="http://schemas.openxmlformats.org/officeDocument/2006/relationships/hyperlink" Target="https://eur-lex.europa.eu/legal-content/EN/TXT/HTML/?uri=CELEX:32025R1190#art_16" TargetMode="External" Id="rId43" /><Relationship Type="http://schemas.openxmlformats.org/officeDocument/2006/relationships/hyperlink" Target="https://eur-lex.europa.eu/legal-content/EN/TXT/HTML/?uri=CELEX:32022R2554#art_26" TargetMode="External" Id="rId44" /><Relationship Type="http://schemas.openxmlformats.org/officeDocument/2006/relationships/hyperlink" Target="https://eur-lex.europa.eu/legal-content/EN/TXT/HTML/?uri=CELEX:32025R1190#art_16" TargetMode="External" Id="rId45" /></Relationships>
</file>

<file path=xl/worksheets/_rels/sheet7.xml.rels><Relationships xmlns="http://schemas.openxmlformats.org/package/2006/relationships"><Relationship Type="http://schemas.openxmlformats.org/officeDocument/2006/relationships/hyperlink" Target="https://eur-lex.europa.eu/legal-content/EN/TXT/HTML/?uri=CELEX:32025R1190#art_10" TargetMode="External" Id="rId1" /><Relationship Type="http://schemas.openxmlformats.org/officeDocument/2006/relationships/hyperlink" Target="https://eur-lex.europa.eu/legal-content/EN/TXT/HTML/?uri=CELEX:32025R1190#art_10" TargetMode="External" Id="rId2" /><Relationship Type="http://schemas.openxmlformats.org/officeDocument/2006/relationships/hyperlink" Target="https://eur-lex.europa.eu/legal-content/EN/TXT/HTML/?uri=CELEX:32025R1190#art_10" TargetMode="External" Id="rId3" /><Relationship Type="http://schemas.openxmlformats.org/officeDocument/2006/relationships/hyperlink" Target="https://eur-lex.europa.eu/legal-content/EN/TXT/HTML/?uri=CELEX:32025R1190#anx_III" TargetMode="External" Id="rId4" /><Relationship Type="http://schemas.openxmlformats.org/officeDocument/2006/relationships/hyperlink" Target="https://eur-lex.europa.eu/legal-content/EN/TXT/HTML/?uri=CELEX:32025R1190#anx_III" TargetMode="External" Id="rId5" /><Relationship Type="http://schemas.openxmlformats.org/officeDocument/2006/relationships/hyperlink" Target="https://eur-lex.europa.eu/legal-content/EN/TXT/HTML/?uri=CELEX:32025R1190#anx_III" TargetMode="External" Id="rId6" /><Relationship Type="http://schemas.openxmlformats.org/officeDocument/2006/relationships/hyperlink" Target="https://eur-lex.europa.eu/legal-content/EN/TXT/HTML/?uri=CELEX:32025R1190#anx_III" TargetMode="External" Id="rId7" /><Relationship Type="http://schemas.openxmlformats.org/officeDocument/2006/relationships/hyperlink" Target="https://eur-lex.europa.eu/legal-content/EN/TXT/HTML/?uri=CELEX:32025R1190#anx_III" TargetMode="External" Id="rId8" /><Relationship Type="http://schemas.openxmlformats.org/officeDocument/2006/relationships/hyperlink" Target="https://eur-lex.europa.eu/legal-content/EN/TXT/HTML/?uri=CELEX:32025R1190#anx_III" TargetMode="External" Id="rId9" /><Relationship Type="http://schemas.openxmlformats.org/officeDocument/2006/relationships/hyperlink" Target="https://eur-lex.europa.eu/legal-content/EN/TXT/HTML/?uri=CELEX:32025R1190#anx_III" TargetMode="External" Id="rId10" /><Relationship Type="http://schemas.openxmlformats.org/officeDocument/2006/relationships/hyperlink" Target="https://eur-lex.europa.eu/legal-content/EN/TXT/HTML/?uri=CELEX:32025R1190#art_10" TargetMode="External" Id="rId11" /><Relationship Type="http://schemas.openxmlformats.org/officeDocument/2006/relationships/hyperlink" Target="https://eur-lex.europa.eu/legal-content/EN/TXT/HTML/?uri=CELEX:32025R1190#art_10" TargetMode="External" Id="rId12" /><Relationship Type="http://schemas.openxmlformats.org/officeDocument/2006/relationships/hyperlink" Target="https://eur-lex.europa.eu/legal-content/EN/TXT/HTML/?uri=CELEX:32025R1190#art_10" TargetMode="External" Id="rId13" /><Relationship Type="http://schemas.openxmlformats.org/officeDocument/2006/relationships/hyperlink" Target="https://eur-lex.europa.eu/legal-content/EN/TXT/HTML/?uri=CELEX:32025R1190#art_10" TargetMode="External" Id="rId14" /><Relationship Type="http://schemas.openxmlformats.org/officeDocument/2006/relationships/hyperlink" Target="https://eur-lex.europa.eu/legal-content/EN/TXT/HTML/?uri=CELEX:32025R1190#art_10" TargetMode="External" Id="rId15" /><Relationship Type="http://schemas.openxmlformats.org/officeDocument/2006/relationships/hyperlink" Target="https://eur-lex.europa.eu/legal-content/EN/TXT/HTML/?uri=CELEX:32025R1190#art_10" TargetMode="External" Id="rId16" /><Relationship Type="http://schemas.openxmlformats.org/officeDocument/2006/relationships/hyperlink" Target="https://eur-lex.europa.eu/legal-content/EN/TXT/HTML/?uri=CELEX:32025R1190#art_10" TargetMode="External" Id="rId17" /><Relationship Type="http://schemas.openxmlformats.org/officeDocument/2006/relationships/hyperlink" Target="https://eur-lex.europa.eu/legal-content/EN/TXT/HTML/?uri=CELEX:32025R1190#art_10" TargetMode="External" Id="rId18" /><Relationship Type="http://schemas.openxmlformats.org/officeDocument/2006/relationships/hyperlink" Target="https://eur-lex.europa.eu/legal-content/EN/TXT/HTML/?uri=CELEX:32025R1190#art_10" TargetMode="External" Id="rId19" /><Relationship Type="http://schemas.openxmlformats.org/officeDocument/2006/relationships/hyperlink" Target="https://eur-lex.europa.eu/legal-content/EN/TXT/HTML/?uri=CELEX:32025R1190#art_10" TargetMode="External" Id="rId20" /><Relationship Type="http://schemas.openxmlformats.org/officeDocument/2006/relationships/hyperlink" Target="https://eur-lex.europa.eu/legal-content/EN/TXT/HTML/?uri=CELEX:32025R1190#art_10" TargetMode="External" Id="rId21" /><Relationship Type="http://schemas.openxmlformats.org/officeDocument/2006/relationships/hyperlink" Target="https://eur-lex.europa.eu/legal-content/EN/TXT/HTML/?uri=CELEX:32025R1190#anx_III" TargetMode="External" Id="rId22" /><Relationship Type="http://schemas.openxmlformats.org/officeDocument/2006/relationships/hyperlink" Target="https://eur-lex.europa.eu/legal-content/EN/TXT/HTML/?uri=CELEX:32025R1190#anx_III" TargetMode="External" Id="rId23" /><Relationship Type="http://schemas.openxmlformats.org/officeDocument/2006/relationships/hyperlink" Target="https://eur-lex.europa.eu/legal-content/EN/TXT/HTML/?uri=CELEX:32025R1190#anx_III" TargetMode="External" Id="rId24" /><Relationship Type="http://schemas.openxmlformats.org/officeDocument/2006/relationships/hyperlink" Target="https://eur-lex.europa.eu/legal-content/EN/TXT/HTML/?uri=CELEX:32025R1190#art_10" TargetMode="External" Id="rId25" /><Relationship Type="http://schemas.openxmlformats.org/officeDocument/2006/relationships/hyperlink" Target="https://eur-lex.europa.eu/legal-content/EN/TXT/HTML/?uri=CELEX:32025R1190#art_10" TargetMode="External" Id="rId26" /><Relationship Type="http://schemas.openxmlformats.org/officeDocument/2006/relationships/hyperlink" Target="https://eur-lex.europa.eu/legal-content/EN/TXT/HTML/?uri=CELEX:32025R1190#art_10" TargetMode="External" Id="rId27" /><Relationship Type="http://schemas.openxmlformats.org/officeDocument/2006/relationships/hyperlink" Target="https://eur-lex.europa.eu/legal-content/EN/TXT/HTML/?uri=CELEX:32025R1190#art_10" TargetMode="External" Id="rId28" /><Relationship Type="http://schemas.openxmlformats.org/officeDocument/2006/relationships/hyperlink" Target="https://eur-lex.europa.eu/legal-content/EN/TXT/HTML/?uri=CELEX:32025R1190#anx_III" TargetMode="External" Id="rId29" /><Relationship Type="http://schemas.openxmlformats.org/officeDocument/2006/relationships/hyperlink" Target="https://eur-lex.europa.eu/legal-content/EN/TXT/HTML/?uri=CELEX:32025R1190#anx_III" TargetMode="External" Id="rId30" /><Relationship Type="http://schemas.openxmlformats.org/officeDocument/2006/relationships/hyperlink" Target="https://eur-lex.europa.eu/legal-content/EN/TXT/HTML/?uri=CELEX:32025R1190#anx_III" TargetMode="External" Id="rId31" /><Relationship Type="http://schemas.openxmlformats.org/officeDocument/2006/relationships/hyperlink" Target="https://eur-lex.europa.eu/legal-content/EN/TXT/HTML/?uri=CELEX:32025R1190#anx_III" TargetMode="External" Id="rId32" /><Relationship Type="http://schemas.openxmlformats.org/officeDocument/2006/relationships/hyperlink" Target="https://eur-lex.europa.eu/legal-content/EN/TXT/HTML/?uri=CELEX:32025R1190#anx_III" TargetMode="External" Id="rId33" /><Relationship Type="http://schemas.openxmlformats.org/officeDocument/2006/relationships/hyperlink" Target="https://eur-lex.europa.eu/legal-content/EN/TXT/HTML/?uri=CELEX:32025R1190#art_10" TargetMode="External" Id="rId34" /><Relationship Type="http://schemas.openxmlformats.org/officeDocument/2006/relationships/hyperlink" Target="https://eur-lex.europa.eu/legal-content/EN/TXT/HTML/?uri=CELEX:32025R1190#art_10" TargetMode="External" Id="rId35" /><Relationship Type="http://schemas.openxmlformats.org/officeDocument/2006/relationships/hyperlink" Target="https://eur-lex.europa.eu/legal-content/EN/TXT/HTML/?uri=CELEX:32025R1190#art_9" TargetMode="External" Id="rId36" /></Relationships>
</file>

<file path=xl/worksheets/_rels/sheet8.xml.rels><Relationships xmlns="http://schemas.openxmlformats.org/package/2006/relationships"><Relationship Type="http://schemas.openxmlformats.org/officeDocument/2006/relationships/hyperlink" Target="https://eur-lex.europa.eu/legal-content/EN/TXT/HTML/?uri=CELEX:32025R1190#art_11" TargetMode="External" Id="rId1" /><Relationship Type="http://schemas.openxmlformats.org/officeDocument/2006/relationships/hyperlink" Target="https://eur-lex.europa.eu/legal-content/EN/TXT/HTML/?uri=CELEX:32025R1190#anx_IV" TargetMode="External" Id="rId2" /><Relationship Type="http://schemas.openxmlformats.org/officeDocument/2006/relationships/hyperlink" Target="https://eur-lex.europa.eu/legal-content/EN/TXT/HTML/?uri=CELEX:32025R1190#anx_IV" TargetMode="External" Id="rId3" /><Relationship Type="http://schemas.openxmlformats.org/officeDocument/2006/relationships/hyperlink" Target="https://eur-lex.europa.eu/legal-content/EN/TXT/HTML/?uri=CELEX:32025R1190#anx_IV" TargetMode="External" Id="rId4" /><Relationship Type="http://schemas.openxmlformats.org/officeDocument/2006/relationships/hyperlink" Target="https://eur-lex.europa.eu/legal-content/EN/TXT/HTML/?uri=CELEX:32025R1190#anx_IV" TargetMode="External" Id="rId5" /><Relationship Type="http://schemas.openxmlformats.org/officeDocument/2006/relationships/hyperlink" Target="https://eur-lex.europa.eu/legal-content/EN/TXT/HTML/?uri=CELEX:32025R1190#anx_IV" TargetMode="External" Id="rId6" /><Relationship Type="http://schemas.openxmlformats.org/officeDocument/2006/relationships/hyperlink" Target="https://eur-lex.europa.eu/legal-content/EN/TXT/HTML/?uri=CELEX:32025R1190#anx_IV" TargetMode="External" Id="rId7" /><Relationship Type="http://schemas.openxmlformats.org/officeDocument/2006/relationships/hyperlink" Target="https://eur-lex.europa.eu/legal-content/EN/TXT/HTML/?uri=CELEX:32025R1190#anx_IV" TargetMode="External" Id="rId8" /><Relationship Type="http://schemas.openxmlformats.org/officeDocument/2006/relationships/hyperlink" Target="https://eur-lex.europa.eu/legal-content/EN/TXT/HTML/?uri=CELEX:32025R1190#anx_IV" TargetMode="External" Id="rId9" /><Relationship Type="http://schemas.openxmlformats.org/officeDocument/2006/relationships/hyperlink" Target="https://eur-lex.europa.eu/legal-content/EN/TXT/HTML/?uri=CELEX:32025R1190#art_11" TargetMode="External" Id="rId10" /><Relationship Type="http://schemas.openxmlformats.org/officeDocument/2006/relationships/hyperlink" Target="https://eur-lex.europa.eu/legal-content/EN/TXT/HTML/?uri=CELEX:32025R1190#art_11" TargetMode="External" Id="rId11" /><Relationship Type="http://schemas.openxmlformats.org/officeDocument/2006/relationships/hyperlink" Target="https://eur-lex.europa.eu/legal-content/EN/TXT/HTML/?uri=CELEX:32025R1190#art_11" TargetMode="External" Id="rId12" /><Relationship Type="http://schemas.openxmlformats.org/officeDocument/2006/relationships/hyperlink" Target="https://eur-lex.europa.eu/legal-content/EN/TXT/HTML/?uri=CELEX:32025R1190#art_11" TargetMode="External" Id="rId13" /><Relationship Type="http://schemas.openxmlformats.org/officeDocument/2006/relationships/hyperlink" Target="https://eur-lex.europa.eu/legal-content/EN/TXT/HTML/?uri=CELEX:32025R1190#art_11" TargetMode="External" Id="rId14" /><Relationship Type="http://schemas.openxmlformats.org/officeDocument/2006/relationships/hyperlink" Target="https://eur-lex.europa.eu/legal-content/EN/TXT/HTML/?uri=CELEX:32025R1190#art_11" TargetMode="External" Id="rId15" /><Relationship Type="http://schemas.openxmlformats.org/officeDocument/2006/relationships/hyperlink" Target="https://eur-lex.europa.eu/legal-content/EN/TXT/HTML/?uri=CELEX:32025R1190#art_11" TargetMode="External" Id="rId16" /><Relationship Type="http://schemas.openxmlformats.org/officeDocument/2006/relationships/hyperlink" Target="https://www.ecb.europa.eu/paym/cyber-resilience/tiber-eu/html/index.en.html" TargetMode="External" Id="rId17" /><Relationship Type="http://schemas.openxmlformats.org/officeDocument/2006/relationships/hyperlink" Target="https://eur-lex.europa.eu/legal-content/EN/TXT/HTML/?uri=CELEX:32025R1190#art_4" TargetMode="External" Id="rId18" /><Relationship Type="http://schemas.openxmlformats.org/officeDocument/2006/relationships/hyperlink" Target="https://eur-lex.europa.eu/legal-content/EN/TXT/HTML/?uri=CELEX:32025R1190#art_11" TargetMode="External" Id="rId19" /><Relationship Type="http://schemas.openxmlformats.org/officeDocument/2006/relationships/hyperlink" Target="https://eur-lex.europa.eu/legal-content/EN/TXT/HTML/?uri=CELEX:32025R1190#art_11" TargetMode="External" Id="rId20" /><Relationship Type="http://schemas.openxmlformats.org/officeDocument/2006/relationships/hyperlink" Target="https://eur-lex.europa.eu/legal-content/EN/TXT/HTML/?uri=CELEX:32025R1190#art_11" TargetMode="External" Id="rId21" /><Relationship Type="http://schemas.openxmlformats.org/officeDocument/2006/relationships/hyperlink" Target="https://eur-lex.europa.eu/legal-content/EN/TXT/HTML/?uri=CELEX:32025R1190#art_11" TargetMode="External" Id="rId22" /><Relationship Type="http://schemas.openxmlformats.org/officeDocument/2006/relationships/hyperlink" Target="https://eur-lex.europa.eu/legal-content/EN/TXT/HTML/?uri=CELEX:32025R1190#art_11" TargetMode="External" Id="rId23" /><Relationship Type="http://schemas.openxmlformats.org/officeDocument/2006/relationships/hyperlink" Target="https://eur-lex.europa.eu/legal-content/EN/TXT/HTML/?uri=CELEX:32025R1190#art_11" TargetMode="External" Id="rId24" /><Relationship Type="http://schemas.openxmlformats.org/officeDocument/2006/relationships/hyperlink" Target="https://eur-lex.europa.eu/legal-content/EN/TXT/HTML/?uri=CELEX:32025R1190#art_11" TargetMode="External" Id="rId25" /><Relationship Type="http://schemas.openxmlformats.org/officeDocument/2006/relationships/hyperlink" Target="https://eur-lex.europa.eu/legal-content/EN/TXT/HTML/?uri=CELEX:32025R1190#art_11" TargetMode="External" Id="rId26" /><Relationship Type="http://schemas.openxmlformats.org/officeDocument/2006/relationships/hyperlink" Target="https://eur-lex.europa.eu/legal-content/EN/TXT/HTML/?uri=CELEX:32025R1190#art_11" TargetMode="External" Id="rId27" /><Relationship Type="http://schemas.openxmlformats.org/officeDocument/2006/relationships/hyperlink" Target="https://eur-lex.europa.eu/legal-content/EN/TXT/HTML/?uri=CELEX:32025R1190#art_11" TargetMode="External" Id="rId28" /><Relationship Type="http://schemas.openxmlformats.org/officeDocument/2006/relationships/hyperlink" Target="https://eur-lex.europa.eu/legal-content/EN/TXT/HTML/?uri=CELEX:32025R1190#art_11" TargetMode="External" Id="rId29" /></Relationships>
</file>

<file path=xl/worksheets/_rels/sheet9.xml.rels><Relationships xmlns="http://schemas.openxmlformats.org/package/2006/relationships"><Relationship Type="http://schemas.openxmlformats.org/officeDocument/2006/relationships/hyperlink" Target="https://eur-lex.europa.eu/legal-content/EN/TXT/HTML/?uri=CELEX:32025R1190#art_11" TargetMode="External" Id="rId1" /><Relationship Type="http://schemas.openxmlformats.org/officeDocument/2006/relationships/hyperlink" Target="https://eur-lex.europa.eu/legal-content/EN/TXT/HTML/?uri=CELEX:32025R1190#art_12" TargetMode="External" Id="rId2" /><Relationship Type="http://schemas.openxmlformats.org/officeDocument/2006/relationships/hyperlink" Target="https://eur-lex.europa.eu/legal-content/EN/TXT/HTML/?uri=CELEX:32025R1190#art_12" TargetMode="External" Id="rId3" /><Relationship Type="http://schemas.openxmlformats.org/officeDocument/2006/relationships/hyperlink" Target="https://eur-lex.europa.eu/legal-content/EN/TXT/HTML/?uri=CELEX:32025R1190#art_12" TargetMode="External" Id="rId4" /><Relationship Type="http://schemas.openxmlformats.org/officeDocument/2006/relationships/hyperlink" Target="https://eur-lex.europa.eu/legal-content/EN/TXT/HTML/?uri=CELEX:32025R1190#anx_V" TargetMode="External" Id="rId5" /><Relationship Type="http://schemas.openxmlformats.org/officeDocument/2006/relationships/hyperlink" Target="https://eur-lex.europa.eu/legal-content/EN/TXT/HTML/?uri=CELEX:32025R1190#anx_V" TargetMode="External" Id="rId6" /><Relationship Type="http://schemas.openxmlformats.org/officeDocument/2006/relationships/hyperlink" Target="https://eur-lex.europa.eu/legal-content/EN/TXT/HTML/?uri=CELEX:32025R1190#anx_V" TargetMode="External" Id="rId7" /><Relationship Type="http://schemas.openxmlformats.org/officeDocument/2006/relationships/hyperlink" Target="https://eur-lex.europa.eu/legal-content/EN/TXT/HTML/?uri=CELEX:32025R1190#anx_V" TargetMode="External" Id="rId8" /><Relationship Type="http://schemas.openxmlformats.org/officeDocument/2006/relationships/hyperlink" Target="https://eur-lex.europa.eu/legal-content/EN/TXT/HTML/?uri=CELEX:32025R1190#anx_V" TargetMode="External" Id="rId9" /><Relationship Type="http://schemas.openxmlformats.org/officeDocument/2006/relationships/hyperlink" Target="https://eur-lex.europa.eu/legal-content/EN/TXT/HTML/?uri=CELEX:32025R1190#anx_V" TargetMode="External" Id="rId10" /><Relationship Type="http://schemas.openxmlformats.org/officeDocument/2006/relationships/hyperlink" Target="https://eur-lex.europa.eu/legal-content/EN/TXT/HTML/?uri=CELEX:32025R1190#anx_V" TargetMode="External" Id="rId11" /><Relationship Type="http://schemas.openxmlformats.org/officeDocument/2006/relationships/hyperlink" Target="https://eur-lex.europa.eu/legal-content/EN/TXT/HTML/?uri=CELEX:32025R1190#anx_V" TargetMode="External" Id="rId12" /><Relationship Type="http://schemas.openxmlformats.org/officeDocument/2006/relationships/hyperlink" Target="https://eur-lex.europa.eu/legal-content/EN/TXT/HTML/?uri=CELEX:32025R1190#anx_V" TargetMode="External" Id="rId13" /><Relationship Type="http://schemas.openxmlformats.org/officeDocument/2006/relationships/hyperlink" Target="https://eur-lex.europa.eu/legal-content/EN/TXT/HTML/?uri=CELEX:32025R1190#art_12" TargetMode="External" Id="rId14" /><Relationship Type="http://schemas.openxmlformats.org/officeDocument/2006/relationships/hyperlink" Target="https://eur-lex.europa.eu/legal-content/EN/TXT/HTML/?uri=CELEX:32025R1190#art_12" TargetMode="External" Id="rId15" /><Relationship Type="http://schemas.openxmlformats.org/officeDocument/2006/relationships/hyperlink" Target="https://eur-lex.europa.eu/legal-content/EN/TXT/HTML/?uri=CELEX:32025R1190#anx_VI" TargetMode="External" Id="rId16" /><Relationship Type="http://schemas.openxmlformats.org/officeDocument/2006/relationships/hyperlink" Target="https://eur-lex.europa.eu/legal-content/EN/TXT/HTML/?uri=CELEX:32025R1190#anx_VI" TargetMode="External" Id="rId17" /><Relationship Type="http://schemas.openxmlformats.org/officeDocument/2006/relationships/hyperlink" Target="https://eur-lex.europa.eu/legal-content/EN/TXT/HTML/?uri=CELEX:32025R1190#anx_VI" TargetMode="External" Id="rId18" /><Relationship Type="http://schemas.openxmlformats.org/officeDocument/2006/relationships/hyperlink" Target="https://eur-lex.europa.eu/legal-content/EN/TXT/HTML/?uri=CELEX:32025R1190#anx_VI" TargetMode="External" Id="rId19" /><Relationship Type="http://schemas.openxmlformats.org/officeDocument/2006/relationships/hyperlink" Target="https://eur-lex.europa.eu/legal-content/EN/TXT/HTML/?uri=CELEX:32025R1190#anx_VI" TargetMode="External" Id="rId20" /><Relationship Type="http://schemas.openxmlformats.org/officeDocument/2006/relationships/hyperlink" Target="https://eur-lex.europa.eu/legal-content/EN/TXT/HTML/?uri=CELEX:32025R1190#art_12" TargetMode="External" Id="rId21" /><Relationship Type="http://schemas.openxmlformats.org/officeDocument/2006/relationships/hyperlink" Target="https://eur-lex.europa.eu/legal-content/EN/TXT/HTML/?uri=CELEX:32025R1190#art_12" TargetMode="External" Id="rId22" /><Relationship Type="http://schemas.openxmlformats.org/officeDocument/2006/relationships/hyperlink" Target="https://eur-lex.europa.eu/legal-content/EN/TXT/HTML/?uri=CELEX:32025R1190#art_12" TargetMode="External" Id="rId23" /><Relationship Type="http://schemas.openxmlformats.org/officeDocument/2006/relationships/hyperlink" Target="https://www.ecb.europa.eu/paym/cyber-resilience/tiber-eu/html/index.en.html" TargetMode="External" Id="rId24" /><Relationship Type="http://schemas.openxmlformats.org/officeDocument/2006/relationships/hyperlink" Target="https://www.ecb.europa.eu/paym/cyber-resilience/tiber-eu/html/index.en.html" TargetMode="External" Id="rId25" /><Relationship Type="http://schemas.openxmlformats.org/officeDocument/2006/relationships/hyperlink" Target="https://www.ecb.europa.eu/paym/cyber-resilience/tiber-eu/html/index.en.html" TargetMode="External" Id="rId26" /><Relationship Type="http://schemas.openxmlformats.org/officeDocument/2006/relationships/hyperlink" Target="https://www.ecb.europa.eu/paym/cyber-resilience/tiber-eu/html/index.en.html" TargetMode="External" Id="rId27" /><Relationship Type="http://schemas.openxmlformats.org/officeDocument/2006/relationships/hyperlink" Target="https://www.ecb.europa.eu/paym/cyber-resilience/tiber-eu/html/index.en.html" TargetMode="External" Id="rId28" /><Relationship Type="http://schemas.openxmlformats.org/officeDocument/2006/relationships/hyperlink" Target="https://www.ecb.europa.eu/paym/cyber-resilience/tiber-eu/html/index.en.html" TargetMode="External" Id="rId29" /><Relationship Type="http://schemas.openxmlformats.org/officeDocument/2006/relationships/hyperlink" Target="https://eur-lex.europa.eu/legal-content/EN/TXT/HTML/?uri=CELEX:32025R1190#art_12" TargetMode="External" Id="rId30" /><Relationship Type="http://schemas.openxmlformats.org/officeDocument/2006/relationships/hyperlink" Target="https://eur-lex.europa.eu/legal-content/EN/TXT/HTML/?uri=CELEX:32025R1190#art_12" TargetMode="External" Id="rId31" /><Relationship Type="http://schemas.openxmlformats.org/officeDocument/2006/relationships/hyperlink" Target="https://eur-lex.europa.eu/legal-content/EN/TXT/HTML/?uri=CELEX:32025R1190#art_12" TargetMode="External" Id="rId32" /><Relationship Type="http://schemas.openxmlformats.org/officeDocument/2006/relationships/hyperlink" Target="https://eur-lex.europa.eu/legal-content/EN/TXT/HTML/?uri=CELEX:32025R1190#art_12" TargetMode="External" Id="rId33" /><Relationship Type="http://schemas.openxmlformats.org/officeDocument/2006/relationships/hyperlink" Target="https://eur-lex.europa.eu/legal-content/EN/TXT/HTML/?uri=CELEX:32025R1190#anx_VII" TargetMode="External" Id="rId34" /><Relationship Type="http://schemas.openxmlformats.org/officeDocument/2006/relationships/hyperlink" Target="https://eur-lex.europa.eu/legal-content/EN/TXT/HTML/?uri=CELEX:32025R1190#anx_VII" TargetMode="External" Id="rId35" /><Relationship Type="http://schemas.openxmlformats.org/officeDocument/2006/relationships/hyperlink" Target="https://eur-lex.europa.eu/legal-content/EN/TXT/HTML/?uri=CELEX:32025R1190#anx_VII" TargetMode="External" Id="rId36" /><Relationship Type="http://schemas.openxmlformats.org/officeDocument/2006/relationships/hyperlink" Target="https://eur-lex.europa.eu/legal-content/EN/TXT/HTML/?uri=CELEX:32025R1190#anx_VII" TargetMode="External" Id="rId37" /><Relationship Type="http://schemas.openxmlformats.org/officeDocument/2006/relationships/hyperlink" Target="https://eur-lex.europa.eu/legal-content/EN/TXT/HTML/?uri=CELEX:32025R1190#anx_VII" TargetMode="External" Id="rId38" /><Relationship Type="http://schemas.openxmlformats.org/officeDocument/2006/relationships/hyperlink" Target="https://eur-lex.europa.eu/legal-content/EN/TXT/HTML/?uri=CELEX:32025R1190#anx_VII" TargetMode="External" Id="rId39" /><Relationship Type="http://schemas.openxmlformats.org/officeDocument/2006/relationships/hyperlink" Target="https://eur-lex.europa.eu/legal-content/EN/TXT/HTML/?uri=CELEX:32025R1190#anx_VII" TargetMode="External" Id="rId40" /><Relationship Type="http://schemas.openxmlformats.org/officeDocument/2006/relationships/hyperlink" Target="https://eur-lex.europa.eu/legal-content/EN/TXT/HTML/?uri=CELEX:32025R1190#anx_VII" TargetMode="External" Id="rId41" /><Relationship Type="http://schemas.openxmlformats.org/officeDocument/2006/relationships/hyperlink" Target="https://eur-lex.europa.eu/legal-content/EN/TXT/HTML/?uri=CELEX:32025R1190#anx_VII" TargetMode="External" Id="rId42" /><Relationship Type="http://schemas.openxmlformats.org/officeDocument/2006/relationships/hyperlink" Target="https://eur-lex.europa.eu/legal-content/EN/TXT/HTML/?uri=CELEX:32025R1190#anx_VII" TargetMode="External" Id="rId43" /><Relationship Type="http://schemas.openxmlformats.org/officeDocument/2006/relationships/hyperlink" Target="https://eur-lex.europa.eu/legal-content/EN/TXT/HTML/?uri=CELEX:32025R1190#anx_VII" TargetMode="External" Id="rId44" /><Relationship Type="http://schemas.openxmlformats.org/officeDocument/2006/relationships/hyperlink" Target="https://eur-lex.europa.eu/legal-content/EN/TXT/HTML/?uri=CELEX:32025R1190#anx_VII" TargetMode="External" Id="rId45" /><Relationship Type="http://schemas.openxmlformats.org/officeDocument/2006/relationships/hyperlink" Target="https://eur-lex.europa.eu/legal-content/EN/TXT/HTML/?uri=CELEX:32025R1190#anx_VII" TargetMode="External" Id="rId46" /><Relationship Type="http://schemas.openxmlformats.org/officeDocument/2006/relationships/hyperlink" Target="https://eur-lex.europa.eu/legal-content/EN/TXT/HTML/?uri=CELEX:32025R1190#anx_VII" TargetMode="External" Id="rId47" /><Relationship Type="http://schemas.openxmlformats.org/officeDocument/2006/relationships/hyperlink" Target="https://eur-lex.europa.eu/legal-content/EN/TXT/HTML/?uri=CELEX:32025R1190#art_12" TargetMode="External" Id="rId48" /></Relationships>
</file>

<file path=xl/worksheets/sheet1.xml><?xml version="1.0" encoding="utf-8"?>
<worksheet xmlns="http://schemas.openxmlformats.org/spreadsheetml/2006/main">
  <sheetPr>
    <tabColor rgb="009E9E9E"/>
    <outlinePr summaryBelow="1" summaryRight="1"/>
    <pageSetUpPr fitToPage="1"/>
  </sheetPr>
  <dimension ref="A1:B44"/>
  <sheetViews>
    <sheetView workbookViewId="0">
      <selection activeCell="A1" sqref="A1"/>
    </sheetView>
  </sheetViews>
  <sheetFormatPr baseColWidth="8" defaultRowHeight="15"/>
  <cols>
    <col width="14" customWidth="1" min="1" max="1"/>
    <col width="82" customWidth="1" min="2" max="2"/>
  </cols>
  <sheetData>
    <row r="1" ht="28" customHeight="1">
      <c r="A1" s="1" t="inlineStr">
        <is>
          <t>TLPT DORA Checklista gotowości - Instrukcje</t>
        </is>
      </c>
    </row>
    <row r="2">
      <c r="A2" s="2" t="inlineStr">
        <is>
          <t>Na podstawie DORA RTS 2025/1190 | TIBER-EU 2025 | Wersja 1.0</t>
        </is>
      </c>
    </row>
    <row r="4">
      <c r="A4" s="3" t="inlineStr">
        <is>
          <t>JAK KORZYSTAĆ Z TEGO SKOROSZYTU</t>
        </is>
      </c>
    </row>
    <row r="5">
      <c r="B5" s="4" t="inlineStr">
        <is>
          <t>1. Wprowadź datę powiadomienia TLPT w arkuszu Panel (komórka B17). Wszystkie terminy obliczą się automatycznie.</t>
        </is>
      </c>
    </row>
    <row r="6">
      <c r="B6" s="4" t="inlineStr">
        <is>
          <t>2. Realizuj moduły M1-M8 po kolei. Ustawiaj status, właściciela i terminy w miarę postępów.</t>
        </is>
      </c>
    </row>
    <row r="7">
      <c r="B7" s="4" t="inlineStr">
        <is>
          <t>3. Użyj Karty oceny dostawców, aby porównać dostawców TI i RT.</t>
        </is>
      </c>
    </row>
    <row r="8">
      <c r="B8" s="4" t="inlineStr">
        <is>
          <t>4. Monitoruj postęp w Panelu. Kolumna Krytyczne pozostałe pokazuje niewykonane wymogi regulacyjne.</t>
        </is>
      </c>
    </row>
    <row r="9">
      <c r="B9" s="4" t="inlineStr">
        <is>
          <t>5. Każde odniesienie RTS/DORA to klikalny link do dokładnego artykułu w EUR-Lex.</t>
        </is>
      </c>
    </row>
    <row r="11">
      <c r="A11" s="3" t="inlineStr">
        <is>
          <t>ARKUSZE MODUŁÓW (M1-M8)</t>
        </is>
      </c>
    </row>
    <row r="12">
      <c r="B12" s="4" t="inlineStr">
        <is>
          <t>Kolumna Status: wybierz Not Started, In Progress, Complete lub N/A z listy rozwijanej.</t>
        </is>
      </c>
    </row>
    <row r="13">
      <c r="B13" s="4" t="inlineStr">
        <is>
          <t>Kolumna Właściciel: wpisz imię i nazwisko lub rolę osoby odpowiedzialnej.</t>
        </is>
      </c>
    </row>
    <row r="14">
      <c r="B14" s="4" t="inlineStr">
        <is>
          <t>Termin / Data realizacji: wpisz daty zgodnie z planem projektu.</t>
        </is>
      </c>
    </row>
    <row r="15">
      <c r="B15" s="4" t="inlineStr">
        <is>
          <t>Dowody/Uwagi: dokumentuj dowody wykonania, odniesienia do plików lub notatki.</t>
        </is>
      </c>
    </row>
    <row r="16">
      <c r="B16" s="4" t="inlineStr">
        <is>
          <t>Ryzyko pominięcia: oceń wpływ niewykonania tego punktu (High/Medium/Low).</t>
        </is>
      </c>
    </row>
    <row r="17">
      <c r="B17" s="4" t="inlineStr">
        <is>
          <t>Wiersze z poradami zawierają wskazówki praktyczne oparte na wymogach regulacyjnych DORA.</t>
        </is>
      </c>
    </row>
    <row r="19">
      <c r="A19" s="3" t="inlineStr">
        <is>
          <t>KARTA OCENY DOSTAWCÓW</t>
        </is>
      </c>
    </row>
    <row r="20">
      <c r="B20" s="4" t="inlineStr">
        <is>
          <t>Część A (Wymagania minimalne): Każda odpowiedź 'No' dyskwalifikuje dostawcę.</t>
        </is>
      </c>
    </row>
    <row r="21">
      <c r="B21" s="4" t="inlineStr">
        <is>
          <t>Część B (Ocena ważona): Oceń każde kryterium 1-5. Wyniki ważone obliczają się automatycznie.</t>
        </is>
      </c>
    </row>
    <row r="22">
      <c r="B22" s="4" t="inlineStr">
        <is>
          <t>Kompetencje techniczne: Oceń każdy obszar jako Strong/Adequate/Weak/Not Demonstrated.</t>
        </is>
      </c>
    </row>
    <row r="24">
      <c r="A24" s="3" t="inlineStr">
        <is>
          <t>REJESTR RYZYK</t>
        </is>
      </c>
    </row>
    <row r="25">
      <c r="B25" s="4" t="inlineStr">
        <is>
          <t>Wstępnie wypełniony 24 ryzykami zmapowanymi na wymogi DORA RTS.</t>
        </is>
      </c>
    </row>
    <row r="26">
      <c r="B26" s="4" t="inlineStr">
        <is>
          <t>Dostosuj oceny Prawdopodobieństwa i Wpływu do kontekstu Twojego podmiotu.</t>
        </is>
      </c>
    </row>
    <row r="27">
      <c r="B27" s="4" t="inlineStr">
        <is>
          <t>Wynik ryzyka i Poziom ryzyka obliczają się automatycznie (Prawdopodobieństwo x Wpływ).</t>
        </is>
      </c>
    </row>
    <row r="28">
      <c r="B28" s="4" t="inlineStr">
        <is>
          <t>Mapa cieplna (kolumny P-U) wizualizuje rozkład ryzyk.</t>
        </is>
      </c>
    </row>
    <row r="30">
      <c r="A30" s="3" t="inlineStr">
        <is>
          <t>PLANOWANIE HARMONOGRAMU</t>
        </is>
      </c>
    </row>
    <row r="31">
      <c r="B31" s="4" t="inlineStr">
        <is>
          <t>Wszystkie fazy z datami początku/końca względem daty powiadomienia.</t>
        </is>
      </c>
    </row>
    <row r="32">
      <c r="B32" s="4" t="inlineStr">
        <is>
          <t>Pozostałe dni i Status aktualizują się automatycznie na podstawie dzisiejszej daty.</t>
        </is>
      </c>
    </row>
    <row r="33">
      <c r="B33" s="4" t="inlineStr">
        <is>
          <t>Wykres Gantta (kolumny I i dalej) zapewnia wizualizację harmonogramu.</t>
        </is>
      </c>
    </row>
    <row r="35">
      <c r="A35" s="3" t="inlineStr">
        <is>
          <t>LEGENDA KOLORÓW</t>
        </is>
      </c>
    </row>
    <row r="36">
      <c r="A36" s="5" t="inlineStr">
        <is>
          <t>CRITICAL</t>
        </is>
      </c>
      <c r="B36" s="6" t="inlineStr">
        <is>
          <t>Wymóg regulacyjny, bezwzględny</t>
        </is>
      </c>
    </row>
    <row r="37">
      <c r="A37" s="7" t="inlineStr">
        <is>
          <t>HIGH</t>
        </is>
      </c>
      <c r="B37" s="6" t="inlineStr">
        <is>
          <t>Zdecydowanie zalecane, brak powoduje opóźnienia</t>
        </is>
      </c>
    </row>
    <row r="38">
      <c r="A38" s="8" t="inlineStr">
        <is>
          <t>MEDIUM</t>
        </is>
      </c>
      <c r="B38" s="6" t="inlineStr">
        <is>
          <t>Dobra praktyka, poprawia jakość</t>
        </is>
      </c>
    </row>
    <row r="39">
      <c r="A39" s="9" t="inlineStr">
        <is>
          <t>Complete</t>
        </is>
      </c>
      <c r="B39" s="6" t="inlineStr">
        <is>
          <t>Wiersz zmienia kolor na zielony gdy status = Complete</t>
        </is>
      </c>
    </row>
    <row r="40">
      <c r="A40" s="10" t="inlineStr">
        <is>
          <t>Zaległy</t>
        </is>
      </c>
      <c r="B40" s="6" t="inlineStr">
        <is>
          <t>Wiersz zmienia kolor na czerwony gdy termin minął</t>
        </is>
      </c>
    </row>
    <row r="41">
      <c r="A41" s="11" t="inlineStr">
        <is>
          <t>N/A</t>
        </is>
      </c>
      <c r="B41" s="6" t="inlineStr">
        <is>
          <t>Wiersz zmienia kolor na szary gdy status = N/A</t>
        </is>
      </c>
    </row>
    <row r="43" ht="22" customHeight="1">
      <c r="A43" s="12" t="inlineStr">
        <is>
          <t>Przygotowane przez AFINE sp. z o.o. | afine.com</t>
        </is>
      </c>
    </row>
    <row r="44" ht="22" customHeight="1">
      <c r="A44" s="13" t="inlineStr">
        <is>
          <t>Umów konsultację TLPT</t>
        </is>
      </c>
    </row>
  </sheetData>
  <sheetProtection selectLockedCells="0" selectUnlockedCells="0" sheet="1" objects="0" insertRows="1" insertHyperlinks="1" autoFilter="0" scenarios="0" formatColumns="0" deleteColumns="1" insertColumns="1" pivotTables="1" deleteRows="1" formatCells="1" formatRows="0" sort="0" password="CE4B"/>
  <mergeCells count="10">
    <mergeCell ref="A4:B4"/>
    <mergeCell ref="A24:B24"/>
    <mergeCell ref="A2:B2"/>
    <mergeCell ref="A30:B30"/>
    <mergeCell ref="A43:B43"/>
    <mergeCell ref="A19:B19"/>
    <mergeCell ref="A11:B11"/>
    <mergeCell ref="A44:B44"/>
    <mergeCell ref="A1:B1"/>
    <mergeCell ref="A35:B35"/>
  </mergeCells>
  <hyperlinks>
    <hyperlink xmlns:r="http://schemas.openxmlformats.org/officeDocument/2006/relationships" ref="A43" r:id="rId1"/>
    <hyperlink xmlns:r="http://schemas.openxmlformats.org/officeDocument/2006/relationships" ref="A44" r:id="rId2"/>
  </hyperlinks>
  <pageMargins left="0.75" right="0.75" top="1" bottom="1" header="0.5" footer="0.5"/>
  <pageSetup orientation="portrait" fitToHeight="0" fitToWidth="1"/>
  <headerFooter>
    <oddHeader>&amp;LAFINE | TLPT DORA Checklista gotowości&amp;RPage &amp;P of &amp;N</oddHeader>
    <oddFooter>&amp;CAFINE sp. z o.o. | afine.com</oddFooter>
    <evenHeader/>
    <evenFooter/>
    <firstHeader/>
    <firstFooter/>
  </headerFooter>
</worksheet>
</file>

<file path=xl/worksheets/sheet10.xml><?xml version="1.0" encoding="utf-8"?>
<worksheet xmlns="http://schemas.openxmlformats.org/spreadsheetml/2006/main">
  <sheetPr>
    <tabColor rgb="0027AE60"/>
    <outlinePr summaryBelow="1" summaryRight="1"/>
    <pageSetUpPr fitToPage="1"/>
  </sheetPr>
  <dimension ref="A1:J30"/>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Moduł 8: REMEDIACJA I ATESTACJA</t>
        </is>
      </c>
    </row>
    <row r="2">
      <c r="A2" s="37" t="inlineStr">
        <is>
          <t>#</t>
        </is>
      </c>
      <c r="B2" s="37" t="inlineStr">
        <is>
          <t>Element checklisty</t>
        </is>
      </c>
      <c r="C2" s="37" t="inlineStr">
        <is>
          <t>Status</t>
        </is>
      </c>
      <c r="D2" s="37" t="inlineStr">
        <is>
          <t>Priorytet</t>
        </is>
      </c>
      <c r="E2" s="37" t="inlineStr">
        <is>
          <t>Właściciel</t>
        </is>
      </c>
      <c r="F2" s="37" t="inlineStr">
        <is>
          <t>Termin</t>
        </is>
      </c>
      <c r="G2" s="37" t="inlineStr">
        <is>
          <t>Data realizacji</t>
        </is>
      </c>
      <c r="H2" s="37" t="inlineStr">
        <is>
          <t>Odniesienie RTS</t>
        </is>
      </c>
      <c r="I2" s="37" t="inlineStr">
        <is>
          <t>Dowody/Uwagi</t>
        </is>
      </c>
      <c r="J2" s="37" t="inlineStr">
        <is>
          <t>Ryzyko pominięcia</t>
        </is>
      </c>
    </row>
    <row r="3">
      <c r="A3" s="38">
        <f>"Postęp: "&amp;COUNTIF(C5:C30,"Complete")&amp;" / 23 ukończono ("&amp;IF(23=0,0,ROUND(COUNTIF(C5:C30,"Complete")/23*100,0))&amp;"%)"</f>
        <v/>
      </c>
      <c r="B3" s="76" t="n"/>
      <c r="C3" s="76" t="n"/>
      <c r="D3" s="76" t="n"/>
      <c r="E3" s="76" t="n"/>
      <c r="F3" s="76" t="n"/>
      <c r="G3" s="76" t="n"/>
      <c r="H3" s="76" t="n"/>
      <c r="I3" s="76" t="n"/>
      <c r="J3" s="77" t="n"/>
    </row>
    <row r="4">
      <c r="A4" s="48" t="inlineStr">
        <is>
          <t>8A: Plan remediacji (w ciągu 8 tygodni od powiadomienia o TSR)</t>
        </is>
      </c>
      <c r="B4" s="76" t="n"/>
      <c r="C4" s="76" t="n"/>
      <c r="D4" s="76" t="n"/>
      <c r="E4" s="76" t="n"/>
      <c r="F4" s="76" t="n"/>
      <c r="G4" s="76" t="n"/>
      <c r="H4" s="76" t="n"/>
      <c r="I4" s="76" t="n"/>
      <c r="J4" s="77" t="n"/>
    </row>
    <row r="5">
      <c r="A5" s="39" t="inlineStr">
        <is>
          <t>8.1</t>
        </is>
      </c>
      <c r="B5" s="40" t="inlineStr">
        <is>
          <t>Dla KAŻDEGO ustalenia udokumentuj:</t>
        </is>
      </c>
      <c r="C5" s="35" t="inlineStr">
        <is>
          <t>Not Started</t>
        </is>
      </c>
      <c r="D5" s="41" t="inlineStr">
        <is>
          <t>CRITICAL</t>
        </is>
      </c>
      <c r="E5" s="42" t="n"/>
      <c r="F5" s="79" t="n"/>
      <c r="G5" s="79" t="n"/>
      <c r="H5" s="44" t="inlineStr">
        <is>
          <t>RTS Art. 13(2)</t>
        </is>
      </c>
      <c r="I5" s="45" t="n"/>
      <c r="J5" s="35" t="n"/>
    </row>
    <row r="6">
      <c r="A6" s="39" t="inlineStr">
        <is>
          <t>8.2</t>
        </is>
      </c>
      <c r="B6" s="40" t="inlineStr">
        <is>
          <t>Opis niedociągnięcia</t>
        </is>
      </c>
      <c r="C6" s="35" t="inlineStr">
        <is>
          <t>Not Started</t>
        </is>
      </c>
      <c r="D6" s="41" t="inlineStr">
        <is>
          <t>CRITICAL</t>
        </is>
      </c>
      <c r="E6" s="42" t="n"/>
      <c r="F6" s="79" t="n"/>
      <c r="G6" s="79" t="n"/>
      <c r="H6" s="44" t="inlineStr">
        <is>
          <t>RTS Art. 13(2)(a)</t>
        </is>
      </c>
      <c r="I6" s="45" t="n"/>
      <c r="J6" s="35" t="n"/>
    </row>
    <row r="7">
      <c r="A7" s="39" t="inlineStr">
        <is>
          <t>8.3</t>
        </is>
      </c>
      <c r="B7" s="40" t="inlineStr">
        <is>
          <t>Proponowane środki remediacji z priorytetyzacją</t>
        </is>
      </c>
      <c r="C7" s="35" t="inlineStr">
        <is>
          <t>Not Started</t>
        </is>
      </c>
      <c r="D7" s="41" t="inlineStr">
        <is>
          <t>CRITICAL</t>
        </is>
      </c>
      <c r="E7" s="42" t="n"/>
      <c r="F7" s="79" t="n"/>
      <c r="G7" s="79" t="n"/>
      <c r="H7" s="44" t="inlineStr">
        <is>
          <t>RTS Art. 13(2)(b)</t>
        </is>
      </c>
      <c r="I7" s="45" t="n"/>
      <c r="J7" s="35" t="n"/>
    </row>
    <row r="8">
      <c r="A8" s="39" t="inlineStr">
        <is>
          <t>8.4</t>
        </is>
      </c>
      <c r="B8" s="40" t="inlineStr">
        <is>
          <t>Harmonogram i kamienie milowe realizacji</t>
        </is>
      </c>
      <c r="C8" s="35" t="inlineStr">
        <is>
          <t>Not Started</t>
        </is>
      </c>
      <c r="D8" s="41" t="inlineStr">
        <is>
          <t>CRITICAL</t>
        </is>
      </c>
      <c r="E8" s="42" t="n"/>
      <c r="F8" s="79" t="n"/>
      <c r="G8" s="79" t="n"/>
      <c r="H8" s="44" t="inlineStr">
        <is>
          <t>RTS Art. 13(2)(b)</t>
        </is>
      </c>
      <c r="I8" s="45" t="n"/>
      <c r="J8" s="35" t="n"/>
    </row>
    <row r="9">
      <c r="A9" s="39" t="inlineStr">
        <is>
          <t>8.5</t>
        </is>
      </c>
      <c r="B9" s="40" t="inlineStr">
        <is>
          <t>Analizę przyczyn źródłowych</t>
        </is>
      </c>
      <c r="C9" s="35" t="inlineStr">
        <is>
          <t>Not Started</t>
        </is>
      </c>
      <c r="D9" s="41" t="inlineStr">
        <is>
          <t>CRITICAL</t>
        </is>
      </c>
      <c r="E9" s="42" t="n"/>
      <c r="F9" s="79" t="n"/>
      <c r="G9" s="79" t="n"/>
      <c r="H9" s="44" t="inlineStr">
        <is>
          <t>RTS Art. 13(2)(c)</t>
        </is>
      </c>
      <c r="I9" s="45" t="n"/>
      <c r="J9" s="35" t="n"/>
    </row>
    <row r="10">
      <c r="A10" s="26" t="n"/>
      <c r="B10" s="47" t="inlineStr">
        <is>
          <t>WSKAZÓWKA: Najczęstszy błąd remediacji: plan adresuje konkretną wyeksploitowaną podatność zamiast systemowej słabości, która ją umożliwiła. Jeśli konto serwisowe ze słabym hasłem zostało skompromitowane, naprawienie tego jednego hasła to nie remediacja - remediacja to polityka haseł dla kont serwisowych.</t>
        </is>
      </c>
      <c r="C10" s="26" t="n"/>
      <c r="D10" s="26" t="n"/>
      <c r="E10" s="26" t="n"/>
      <c r="F10" s="26" t="n"/>
      <c r="G10" s="26" t="n"/>
      <c r="H10" s="26" t="n"/>
      <c r="I10" s="26" t="n"/>
      <c r="J10" s="26" t="n"/>
    </row>
    <row r="11">
      <c r="A11" s="39" t="inlineStr">
        <is>
          <t>8.6</t>
        </is>
      </c>
      <c r="B11" s="40" t="inlineStr">
        <is>
          <t>Odpowiedzialny personel/funkcje</t>
        </is>
      </c>
      <c r="C11" s="35" t="inlineStr">
        <is>
          <t>Not Started</t>
        </is>
      </c>
      <c r="D11" s="41" t="inlineStr">
        <is>
          <t>CRITICAL</t>
        </is>
      </c>
      <c r="E11" s="42" t="n"/>
      <c r="F11" s="79" t="n"/>
      <c r="G11" s="79" t="n"/>
      <c r="H11" s="44" t="inlineStr">
        <is>
          <t>RTS Art. 13(2)(d)</t>
        </is>
      </c>
      <c r="I11" s="45" t="n"/>
      <c r="J11" s="35" t="n"/>
    </row>
    <row r="12">
      <c r="A12" s="39" t="inlineStr">
        <is>
          <t>8.7</t>
        </is>
      </c>
      <c r="B12" s="40" t="inlineStr">
        <is>
          <t>Ocena ryzyka w przypadku BRAKU remediacji</t>
        </is>
      </c>
      <c r="C12" s="35" t="inlineStr">
        <is>
          <t>Not Started</t>
        </is>
      </c>
      <c r="D12" s="41" t="inlineStr">
        <is>
          <t>CRITICAL</t>
        </is>
      </c>
      <c r="E12" s="42" t="n"/>
      <c r="F12" s="79" t="n"/>
      <c r="G12" s="79" t="n"/>
      <c r="H12" s="44" t="inlineStr">
        <is>
          <t>RTS Art. 13(2)(e)</t>
        </is>
      </c>
      <c r="I12" s="45" t="n"/>
      <c r="J12" s="35" t="n"/>
    </row>
    <row r="13">
      <c r="A13" s="26" t="n"/>
      <c r="B13" s="47" t="inlineStr">
        <is>
          <t>WSKAZÓWKA: Każde ustalenie wymaga uczciwej oceny ryzyka dla scenariusza, w którym remediacja jest opóźniona lub depriorytetyzowana - bo tak będzie z niektórymi. Regulatorzy nie oczekują 100% remediacji w 8 tygodni. Oczekują prawdziwego planu z realistycznymi terminami.</t>
        </is>
      </c>
      <c r="C13" s="26" t="n"/>
      <c r="D13" s="26" t="n"/>
      <c r="E13" s="26" t="n"/>
      <c r="F13" s="26" t="n"/>
      <c r="G13" s="26" t="n"/>
      <c r="H13" s="26" t="n"/>
      <c r="I13" s="26" t="n"/>
      <c r="J13" s="26" t="n"/>
    </row>
    <row r="14">
      <c r="A14" s="39" t="inlineStr">
        <is>
          <t>8.8</t>
        </is>
      </c>
      <c r="B14" s="40" t="inlineStr">
        <is>
          <t>Ocena ryzyka samego wdrożenia remediacji</t>
        </is>
      </c>
      <c r="C14" s="35" t="inlineStr">
        <is>
          <t>Not Started</t>
        </is>
      </c>
      <c r="D14" s="46" t="inlineStr">
        <is>
          <t>HIGH</t>
        </is>
      </c>
      <c r="E14" s="42" t="n"/>
      <c r="F14" s="79" t="n"/>
      <c r="G14" s="79" t="n"/>
      <c r="H14" s="44" t="inlineStr">
        <is>
          <t>RTS Art. 13(2)(e)</t>
        </is>
      </c>
      <c r="I14" s="45" t="n"/>
      <c r="J14" s="35" t="n"/>
    </row>
    <row r="15">
      <c r="A15" s="39" t="inlineStr">
        <is>
          <t>8.9</t>
        </is>
      </c>
      <c r="B15" s="40" t="inlineStr">
        <is>
          <t>Plan remediacji złożony do organu TLPT ORAZ właściwego organu (if different)</t>
        </is>
      </c>
      <c r="C15" s="35" t="inlineStr">
        <is>
          <t>Not Started</t>
        </is>
      </c>
      <c r="D15" s="41" t="inlineStr">
        <is>
          <t>CRITICAL</t>
        </is>
      </c>
      <c r="E15" s="42" t="n"/>
      <c r="F15" s="79" t="n"/>
      <c r="G15" s="79" t="n"/>
      <c r="H15" s="44" t="inlineStr">
        <is>
          <t>RTS Art. 13(1)</t>
        </is>
      </c>
      <c r="I15" s="45" t="n"/>
      <c r="J15" s="35" t="n"/>
    </row>
    <row r="16">
      <c r="A16" s="39" t="inlineStr">
        <is>
          <t>8.10</t>
        </is>
      </c>
      <c r="B16" s="40" t="inlineStr">
        <is>
          <t>Ustanowiono proces nadzoru następczego</t>
        </is>
      </c>
      <c r="C16" s="35" t="inlineStr">
        <is>
          <t>Not Started</t>
        </is>
      </c>
      <c r="D16" s="46" t="inlineStr">
        <is>
          <t>HIGH</t>
        </is>
      </c>
      <c r="E16" s="42" t="n"/>
      <c r="F16" s="79" t="n"/>
      <c r="G16" s="79" t="n"/>
      <c r="H16" s="44" t="inlineStr">
        <is>
          <t>DORA Art. 26(6)</t>
        </is>
      </c>
      <c r="I16" s="45" t="n"/>
      <c r="J16" s="35" t="n"/>
    </row>
    <row r="17">
      <c r="A17" s="48" t="inlineStr">
        <is>
          <t>8B: Atestacja</t>
        </is>
      </c>
      <c r="B17" s="76" t="n"/>
      <c r="C17" s="76" t="n"/>
      <c r="D17" s="76" t="n"/>
      <c r="E17" s="76" t="n"/>
      <c r="F17" s="76" t="n"/>
      <c r="G17" s="76" t="n"/>
      <c r="H17" s="76" t="n"/>
      <c r="I17" s="76" t="n"/>
      <c r="J17" s="77" t="n"/>
    </row>
    <row r="18">
      <c r="A18" s="39" t="inlineStr">
        <is>
          <t>8.11</t>
        </is>
      </c>
      <c r="B18" s="40" t="inlineStr">
        <is>
          <t>Organ TLPT potwierdza, że wszystkie raporty zawierają wymagane informacje</t>
        </is>
      </c>
      <c r="C18" s="35" t="inlineStr">
        <is>
          <t>Not Started</t>
        </is>
      </c>
      <c r="D18" s="41" t="inlineStr">
        <is>
          <t>CRITICAL</t>
        </is>
      </c>
      <c r="E18" s="42" t="n"/>
      <c r="F18" s="79" t="n"/>
      <c r="G18" s="79" t="n"/>
      <c r="H18" s="44" t="inlineStr">
        <is>
          <t>RTS Art. 14; DORA Art. 26(7)</t>
        </is>
      </c>
      <c r="I18" s="45" t="n"/>
      <c r="J18" s="35" t="n"/>
    </row>
    <row r="19">
      <c r="A19" s="39" t="inlineStr">
        <is>
          <t>8.12</t>
        </is>
      </c>
      <c r="B19" s="40" t="inlineStr">
        <is>
          <t>Wydana atestacja (Załącznik VIII) zawierająca:</t>
        </is>
      </c>
      <c r="C19" s="35" t="inlineStr">
        <is>
          <t>Not Started</t>
        </is>
      </c>
      <c r="D19" s="41" t="inlineStr">
        <is>
          <t>CRITICAL</t>
        </is>
      </c>
      <c r="E19" s="42" t="n"/>
      <c r="F19" s="79" t="n"/>
      <c r="G19" s="79" t="n"/>
      <c r="H19" s="44" t="inlineStr">
        <is>
          <t>RTS Art. 14(1); RTS Annex VIII</t>
        </is>
      </c>
      <c r="I19" s="45" t="n"/>
      <c r="J19" s="35" t="n"/>
    </row>
    <row r="20">
      <c r="A20" s="39" t="inlineStr">
        <is>
          <t>8.13</t>
        </is>
      </c>
      <c r="B20" s="40" t="inlineStr">
        <is>
          <t>Daty rozpoczęcia i zakończenia testu</t>
        </is>
      </c>
      <c r="C20" s="35" t="inlineStr">
        <is>
          <t>Not Started</t>
        </is>
      </c>
      <c r="D20" s="41" t="inlineStr">
        <is>
          <t>CRITICAL</t>
        </is>
      </c>
      <c r="E20" s="42" t="n"/>
      <c r="F20" s="79" t="n"/>
      <c r="G20" s="79" t="n"/>
      <c r="H20" s="44" t="inlineStr">
        <is>
          <t>RTS Annex VIII(a)</t>
        </is>
      </c>
      <c r="I20" s="45" t="n"/>
      <c r="J20" s="35" t="n"/>
    </row>
    <row r="21">
      <c r="A21" s="39" t="inlineStr">
        <is>
          <t>8.14</t>
        </is>
      </c>
      <c r="B21" s="40" t="inlineStr">
        <is>
          <t>CIF w zakresie</t>
        </is>
      </c>
      <c r="C21" s="35" t="inlineStr">
        <is>
          <t>Not Started</t>
        </is>
      </c>
      <c r="D21" s="41" t="inlineStr">
        <is>
          <t>CRITICAL</t>
        </is>
      </c>
      <c r="E21" s="42" t="n"/>
      <c r="F21" s="79" t="n"/>
      <c r="G21" s="79" t="n"/>
      <c r="H21" s="44" t="inlineStr">
        <is>
          <t>RTS Annex VIII(a)</t>
        </is>
      </c>
      <c r="I21" s="45" t="n"/>
      <c r="J21" s="35" t="n"/>
    </row>
    <row r="22">
      <c r="A22" s="39" t="inlineStr">
        <is>
          <t>8.15</t>
        </is>
      </c>
      <c r="B22" s="40" t="inlineStr">
        <is>
          <t>Funkcje, w których TLPT nie został przeprowadzony (jeśli dotyczy)</t>
        </is>
      </c>
      <c r="C22" s="35" t="inlineStr">
        <is>
          <t>Not Started</t>
        </is>
      </c>
      <c r="D22" s="41" t="inlineStr">
        <is>
          <t>CRITICAL</t>
        </is>
      </c>
      <c r="E22" s="42" t="n"/>
      <c r="F22" s="79" t="n"/>
      <c r="G22" s="79" t="n"/>
      <c r="H22" s="44" t="inlineStr">
        <is>
          <t>RTS Annex VIII(a)</t>
        </is>
      </c>
      <c r="I22" s="45" t="n"/>
      <c r="J22" s="35" t="n"/>
    </row>
    <row r="23">
      <c r="A23" s="39" t="inlineStr">
        <is>
          <t>8.16</t>
        </is>
      </c>
      <c r="B23" s="40" t="inlineStr">
        <is>
          <t>Zaangażowane podmioty finansowe</t>
        </is>
      </c>
      <c r="C23" s="35" t="inlineStr">
        <is>
          <t>Not Started</t>
        </is>
      </c>
      <c r="D23" s="41" t="inlineStr">
        <is>
          <t>CRITICAL</t>
        </is>
      </c>
      <c r="E23" s="42" t="n"/>
      <c r="F23" s="79" t="n"/>
      <c r="G23" s="79" t="n"/>
      <c r="H23" s="44" t="inlineStr">
        <is>
          <t>RTS Annex VIII(a)</t>
        </is>
      </c>
      <c r="I23" s="45" t="n"/>
      <c r="J23" s="35" t="n"/>
    </row>
    <row r="24">
      <c r="A24" s="39" t="inlineStr">
        <is>
          <t>8.17</t>
        </is>
      </c>
      <c r="B24" s="40" t="inlineStr">
        <is>
          <t>Uczestniczący zewnętrzni dostawcy ICT</t>
        </is>
      </c>
      <c r="C24" s="35" t="inlineStr">
        <is>
          <t>Not Started</t>
        </is>
      </c>
      <c r="D24" s="41" t="inlineStr">
        <is>
          <t>CRITICAL</t>
        </is>
      </c>
      <c r="E24" s="42" t="n"/>
      <c r="F24" s="79" t="n"/>
      <c r="G24" s="79" t="n"/>
      <c r="H24" s="44" t="inlineStr">
        <is>
          <t>RTS Annex VIII(a)</t>
        </is>
      </c>
      <c r="I24" s="45" t="n"/>
      <c r="J24" s="35" t="n"/>
    </row>
    <row r="25">
      <c r="A25" s="39" t="inlineStr">
        <is>
          <t>8.18</t>
        </is>
      </c>
      <c r="B25" s="40" t="inlineStr">
        <is>
          <t>Informacje o testerach (wewnętrzni/zewnętrzni)</t>
        </is>
      </c>
      <c r="C25" s="35" t="inlineStr">
        <is>
          <t>Not Started</t>
        </is>
      </c>
      <c r="D25" s="41" t="inlineStr">
        <is>
          <t>CRITICAL</t>
        </is>
      </c>
      <c r="E25" s="42" t="n"/>
      <c r="F25" s="79" t="n"/>
      <c r="G25" s="79" t="n"/>
      <c r="H25" s="44" t="inlineStr">
        <is>
          <t>RTS Annex VIII(a)</t>
        </is>
      </c>
      <c r="I25" s="45" t="n"/>
      <c r="J25" s="35" t="n"/>
    </row>
    <row r="26">
      <c r="A26" s="39" t="inlineStr">
        <is>
          <t>8.19</t>
        </is>
      </c>
      <c r="B26" s="40" t="inlineStr">
        <is>
          <t>Czas trwania testów aktywnych w dniach kalendarzowych</t>
        </is>
      </c>
      <c r="C26" s="35" t="inlineStr">
        <is>
          <t>Not Started</t>
        </is>
      </c>
      <c r="D26" s="41" t="inlineStr">
        <is>
          <t>CRITICAL</t>
        </is>
      </c>
      <c r="E26" s="42" t="n"/>
      <c r="F26" s="79" t="n"/>
      <c r="G26" s="79" t="n"/>
      <c r="H26" s="44" t="inlineStr">
        <is>
          <t>RTS Annex VIII(a)</t>
        </is>
      </c>
      <c r="I26" s="45" t="n"/>
      <c r="J26" s="35" t="n"/>
    </row>
    <row r="27">
      <c r="A27" s="39" t="inlineStr">
        <is>
          <t>8.20</t>
        </is>
      </c>
      <c r="B27" s="40" t="inlineStr">
        <is>
          <t>Inne uczestniczące organy TLPT (jeśli dotyczy)</t>
        </is>
      </c>
      <c r="C27" s="35" t="inlineStr">
        <is>
          <t>Not Started</t>
        </is>
      </c>
      <c r="D27" s="46" t="inlineStr">
        <is>
          <t>HIGH</t>
        </is>
      </c>
      <c r="E27" s="42" t="n"/>
      <c r="F27" s="79" t="n"/>
      <c r="G27" s="79" t="n"/>
      <c r="H27" s="44" t="inlineStr">
        <is>
          <t>RTS Annex VIII(b)</t>
        </is>
      </c>
      <c r="I27" s="45" t="n"/>
      <c r="J27" s="35" t="n"/>
    </row>
    <row r="28">
      <c r="A28" s="39" t="inlineStr">
        <is>
          <t>8.21</t>
        </is>
      </c>
      <c r="B28" s="40" t="inlineStr">
        <is>
          <t>Zbadane dokumenty</t>
        </is>
      </c>
      <c r="C28" s="35" t="inlineStr">
        <is>
          <t>Not Started</t>
        </is>
      </c>
      <c r="D28" s="46" t="inlineStr">
        <is>
          <t>HIGH</t>
        </is>
      </c>
      <c r="E28" s="42" t="n"/>
      <c r="F28" s="79" t="n"/>
      <c r="G28" s="79" t="n"/>
      <c r="H28" s="44" t="inlineStr">
        <is>
          <t>RTS Annex VIII(c)</t>
        </is>
      </c>
      <c r="I28" s="45" t="n"/>
      <c r="J28" s="35" t="n"/>
    </row>
    <row r="29">
      <c r="A29" s="39" t="inlineStr">
        <is>
          <t>8.22</t>
        </is>
      </c>
      <c r="B29" s="40" t="inlineStr">
        <is>
          <t>Dla transgranicznych: atestacja udostępniona odpowiednim organom for mutual recognition</t>
        </is>
      </c>
      <c r="C29" s="35" t="inlineStr">
        <is>
          <t>Not Started</t>
        </is>
      </c>
      <c r="D29" s="41" t="inlineStr">
        <is>
          <t>CRITICAL</t>
        </is>
      </c>
      <c r="E29" s="42" t="n"/>
      <c r="F29" s="79" t="n"/>
      <c r="G29" s="79" t="n"/>
      <c r="H29" s="44" t="inlineStr">
        <is>
          <t>RTS Art. 16(1); DORA Art. 26(7)</t>
        </is>
      </c>
      <c r="I29" s="45" t="n"/>
      <c r="J29" s="35" t="n"/>
    </row>
    <row r="30">
      <c r="A30" s="39" t="inlineStr">
        <is>
          <t>8.23</t>
        </is>
      </c>
      <c r="B30" s="40" t="inlineStr">
        <is>
          <t>Rozpoczęcie planowania kolejnego cyklu TLPT (due within 3 years)</t>
        </is>
      </c>
      <c r="C30" s="35" t="inlineStr">
        <is>
          <t>Not Started</t>
        </is>
      </c>
      <c r="D30" s="46" t="inlineStr">
        <is>
          <t>HIGH</t>
        </is>
      </c>
      <c r="E30" s="42" t="n"/>
      <c r="F30" s="79" t="n"/>
      <c r="G30" s="79" t="n"/>
      <c r="H30" s="44" t="inlineStr">
        <is>
          <t>DORA Art. 26(1)</t>
        </is>
      </c>
      <c r="I30" s="45" t="n"/>
      <c r="J30" s="35" t="n"/>
    </row>
  </sheetData>
  <sheetProtection selectLockedCells="0" selectUnlockedCells="0" sheet="1" objects="0" insertRows="1" insertHyperlinks="1" autoFilter="0" scenarios="0" formatColumns="0" deleteColumns="1" insertColumns="1" pivotTables="1" deleteRows="1" formatCells="1" formatRows="0" sort="0" password="CE4B"/>
  <mergeCells count="4">
    <mergeCell ref="A1:J1"/>
    <mergeCell ref="A4:J4"/>
    <mergeCell ref="A3:J3"/>
    <mergeCell ref="A17:J17"/>
  </mergeCells>
  <conditionalFormatting sqref="A5:J30">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30" showDropDown="0" showInputMessage="0" showErrorMessage="0" allowBlank="1" errorTitle="Invalid Status" error="Select: Not Started, In Progress, Complete, N/A" type="list">
      <formula1>"Not Started,In Progress,Complete,N/A"</formula1>
    </dataValidation>
    <dataValidation sqref="J5:J30" showDropDown="0" showInputMessage="0" showErrorMessage="0" allowBlank="1" errorTitle="Invalid Risk" error="Select: High, Medium, Low" type="list">
      <formula1>"High,Medium,Low"</formula1>
    </dataValidation>
    <dataValidation sqref="F5:F30" showDropDown="0" showInputMessage="0" showErrorMessage="1" allowBlank="1" errorTitle="Invalid Date" error="Please enter a valid date" type="date" operator="greaterThan">
      <formula1>2020-01-01</formula1>
    </dataValidation>
    <dataValidation sqref="G5:G30"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1" r:id="rId6"/>
    <hyperlink xmlns:r="http://schemas.openxmlformats.org/officeDocument/2006/relationships" ref="H12" r:id="rId7"/>
    <hyperlink xmlns:r="http://schemas.openxmlformats.org/officeDocument/2006/relationships" ref="H14" r:id="rId8"/>
    <hyperlink xmlns:r="http://schemas.openxmlformats.org/officeDocument/2006/relationships" ref="H15" r:id="rId9"/>
    <hyperlink xmlns:r="http://schemas.openxmlformats.org/officeDocument/2006/relationships" ref="H16" r:id="rId10"/>
    <hyperlink xmlns:r="http://schemas.openxmlformats.org/officeDocument/2006/relationships" ref="H18" r:id="rId11"/>
    <hyperlink xmlns:r="http://schemas.openxmlformats.org/officeDocument/2006/relationships" ref="H19" r:id="rId12"/>
    <hyperlink xmlns:r="http://schemas.openxmlformats.org/officeDocument/2006/relationships" ref="H20" r:id="rId13"/>
    <hyperlink xmlns:r="http://schemas.openxmlformats.org/officeDocument/2006/relationships" ref="H21" r:id="rId14"/>
    <hyperlink xmlns:r="http://schemas.openxmlformats.org/officeDocument/2006/relationships" ref="H22" r:id="rId15"/>
    <hyperlink xmlns:r="http://schemas.openxmlformats.org/officeDocument/2006/relationships" ref="H23" r:id="rId16"/>
    <hyperlink xmlns:r="http://schemas.openxmlformats.org/officeDocument/2006/relationships" ref="H24" r:id="rId17"/>
    <hyperlink xmlns:r="http://schemas.openxmlformats.org/officeDocument/2006/relationships" ref="H25" r:id="rId18"/>
    <hyperlink xmlns:r="http://schemas.openxmlformats.org/officeDocument/2006/relationships" ref="H26" r:id="rId19"/>
    <hyperlink xmlns:r="http://schemas.openxmlformats.org/officeDocument/2006/relationships" ref="H27" r:id="rId20"/>
    <hyperlink xmlns:r="http://schemas.openxmlformats.org/officeDocument/2006/relationships" ref="H28" r:id="rId21"/>
    <hyperlink xmlns:r="http://schemas.openxmlformats.org/officeDocument/2006/relationships" ref="H29" r:id="rId22"/>
    <hyperlink xmlns:r="http://schemas.openxmlformats.org/officeDocument/2006/relationships" ref="H30" r:id="rId23"/>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11.xml><?xml version="1.0" encoding="utf-8"?>
<worksheet xmlns="http://schemas.openxmlformats.org/spreadsheetml/2006/main">
  <sheetPr>
    <tabColor rgb="00F2994A"/>
    <outlinePr summaryBelow="1" summaryRight="1"/>
    <pageSetUpPr fitToPage="1"/>
  </sheetPr>
  <dimension ref="A1:BP22"/>
  <sheetViews>
    <sheetView workbookViewId="0">
      <pane xSplit="2" ySplit="2" topLeftCell="C3" activePane="bottomRight" state="frozen"/>
      <selection pane="topRight" activeCell="A1" sqref="A1"/>
      <selection pane="bottomLeft" activeCell="A1" sqref="A1"/>
      <selection pane="bottomRight" activeCell="A1" sqref="A1"/>
    </sheetView>
  </sheetViews>
  <sheetFormatPr baseColWidth="8" defaultRowHeight="15"/>
  <cols>
    <col width="30" customWidth="1" min="1" max="1"/>
    <col width="12" customWidth="1" min="2" max="2"/>
    <col width="14" customWidth="1" min="3" max="3"/>
    <col width="14" customWidth="1" min="4" max="4"/>
    <col width="12" customWidth="1" min="5" max="5"/>
    <col width="12" customWidth="1" min="6" max="6"/>
    <col width="22" customWidth="1" min="7" max="7"/>
    <col width="25" customWidth="1" min="8" max="8"/>
    <col width="3" customWidth="1" min="9" max="9"/>
    <col width="3" customWidth="1" min="10" max="10"/>
    <col width="3" customWidth="1" min="11" max="11"/>
    <col width="3" customWidth="1" min="12" max="12"/>
    <col width="3" customWidth="1" min="13" max="13"/>
    <col width="3" customWidth="1" min="14" max="14"/>
    <col width="3" customWidth="1" min="15" max="15"/>
    <col width="3" customWidth="1" min="16" max="16"/>
    <col width="3" customWidth="1" min="17" max="17"/>
    <col width="3" customWidth="1" min="18" max="18"/>
    <col width="3" customWidth="1" min="19" max="19"/>
    <col width="3" customWidth="1" min="20" max="20"/>
    <col width="3" customWidth="1" min="21" max="21"/>
    <col width="3" customWidth="1" min="22" max="22"/>
    <col width="3" customWidth="1" min="23" max="23"/>
    <col width="3" customWidth="1" min="24" max="24"/>
    <col width="3" customWidth="1" min="25" max="25"/>
    <col width="3" customWidth="1" min="26" max="26"/>
    <col width="3" customWidth="1" min="27" max="27"/>
    <col width="3" customWidth="1" min="28" max="28"/>
    <col width="3" customWidth="1" min="29" max="29"/>
    <col width="3" customWidth="1" min="30" max="30"/>
    <col width="3" customWidth="1" min="31" max="31"/>
    <col width="3" customWidth="1" min="32" max="32"/>
    <col width="3" customWidth="1" min="33" max="33"/>
    <col width="3" customWidth="1" min="34" max="34"/>
    <col width="3" customWidth="1" min="35" max="35"/>
    <col width="3" customWidth="1" min="36" max="36"/>
    <col width="3" customWidth="1" min="37" max="37"/>
    <col width="3" customWidth="1" min="38" max="38"/>
    <col width="3" customWidth="1" min="39" max="39"/>
    <col width="3" customWidth="1" min="40" max="40"/>
    <col width="3" customWidth="1" min="41" max="41"/>
    <col width="3" customWidth="1" min="42" max="42"/>
    <col width="3" customWidth="1" min="43" max="43"/>
    <col width="3" customWidth="1" min="44" max="44"/>
    <col width="3" customWidth="1" min="45" max="45"/>
    <col width="3" customWidth="1" min="46" max="46"/>
    <col width="3" customWidth="1" min="47" max="47"/>
    <col width="3" customWidth="1" min="48" max="48"/>
    <col width="3" customWidth="1" min="49" max="49"/>
    <col width="3" customWidth="1" min="50" max="50"/>
    <col width="3" customWidth="1" min="51" max="51"/>
    <col width="3" customWidth="1" min="52" max="52"/>
    <col width="3" customWidth="1" min="53" max="53"/>
    <col width="3" customWidth="1" min="54" max="54"/>
    <col width="3" customWidth="1" min="55" max="55"/>
    <col width="3" customWidth="1" min="56" max="56"/>
    <col width="3" customWidth="1" min="57" max="57"/>
    <col width="3" customWidth="1" min="58" max="58"/>
    <col width="3" customWidth="1" min="59" max="59"/>
    <col width="3" customWidth="1" min="60" max="60"/>
    <col width="3" customWidth="1" min="61" max="61"/>
    <col width="3" customWidth="1" min="62" max="62"/>
    <col width="3" customWidth="1" min="63" max="63"/>
    <col width="3" customWidth="1" min="64" max="64"/>
    <col width="3" customWidth="1" min="65" max="65"/>
    <col width="3" customWidth="1" min="66" max="66"/>
    <col width="3" customWidth="1" min="67" max="67"/>
    <col width="3" customWidth="1" min="68" max="68"/>
  </cols>
  <sheetData>
    <row r="1">
      <c r="A1" s="36" t="inlineStr">
        <is>
          <t>PLANOWANIE HARMONOGRAMU TLPT</t>
        </is>
      </c>
      <c r="I1" s="15" t="n"/>
      <c r="J1" s="15" t="n"/>
      <c r="K1" s="15" t="n"/>
      <c r="L1" s="15" t="n"/>
      <c r="M1" s="15" t="n"/>
      <c r="N1" s="15" t="n"/>
      <c r="O1" s="15" t="n"/>
      <c r="P1" s="15" t="n"/>
      <c r="Q1" s="15" t="n"/>
      <c r="R1" s="15" t="n"/>
      <c r="S1" s="15" t="n"/>
      <c r="T1" s="15" t="n"/>
      <c r="U1" s="15" t="n"/>
      <c r="V1" s="15" t="n"/>
      <c r="W1" s="15" t="n"/>
      <c r="X1" s="15" t="n"/>
      <c r="Y1" s="15" t="n"/>
      <c r="Z1" s="15" t="n"/>
      <c r="AA1" s="15" t="n"/>
      <c r="AB1" s="15" t="n"/>
      <c r="AC1" s="15" t="n"/>
      <c r="AD1" s="15" t="n"/>
      <c r="AE1" s="15" t="n"/>
      <c r="AF1" s="15" t="n"/>
      <c r="AG1" s="15" t="n"/>
      <c r="AH1" s="15" t="n"/>
      <c r="AI1" s="15" t="n"/>
      <c r="AJ1" s="15" t="n"/>
      <c r="AK1" s="15" t="n"/>
      <c r="AL1" s="15" t="n"/>
      <c r="AM1" s="15" t="n"/>
      <c r="AN1" s="15" t="n"/>
      <c r="AO1" s="15" t="n"/>
      <c r="AP1" s="15" t="n"/>
      <c r="AQ1" s="15" t="n"/>
      <c r="AR1" s="15" t="n"/>
      <c r="AS1" s="15" t="n"/>
      <c r="AT1" s="15" t="n"/>
      <c r="AU1" s="15" t="n"/>
      <c r="AV1" s="15" t="n"/>
      <c r="AW1" s="15" t="n"/>
      <c r="AX1" s="15" t="n"/>
      <c r="AY1" s="15" t="n"/>
      <c r="AZ1" s="15" t="n"/>
      <c r="BA1" s="15" t="n"/>
      <c r="BB1" s="15" t="n"/>
      <c r="BC1" s="15" t="n"/>
      <c r="BD1" s="15" t="n"/>
      <c r="BE1" s="15" t="n"/>
      <c r="BF1" s="15" t="n"/>
      <c r="BG1" s="15" t="n"/>
      <c r="BH1" s="15" t="n"/>
      <c r="BI1" s="15" t="n"/>
      <c r="BJ1" s="15" t="n"/>
      <c r="BK1" s="15" t="n"/>
      <c r="BL1" s="15" t="n"/>
      <c r="BM1" s="15" t="n"/>
      <c r="BN1" s="15" t="n"/>
      <c r="BO1" s="15" t="n"/>
      <c r="BP1" s="15" t="n"/>
    </row>
    <row r="2">
      <c r="A2" s="37" t="inlineStr">
        <is>
          <t>Faza / Kamień milowy</t>
        </is>
      </c>
      <c r="B2" s="37" t="inlineStr">
        <is>
          <t>Czas trwania</t>
        </is>
      </c>
      <c r="C2" s="37" t="inlineStr">
        <is>
          <t>Data rozpoczęcia</t>
        </is>
      </c>
      <c r="D2" s="37" t="inlineStr">
        <is>
          <t>Data zakończenia</t>
        </is>
      </c>
      <c r="E2" s="37" t="inlineStr">
        <is>
          <t>Pozostałe dni</t>
        </is>
      </c>
      <c r="F2" s="37" t="inlineStr">
        <is>
          <t>Status</t>
        </is>
      </c>
      <c r="G2" s="37" t="inlineStr">
        <is>
          <t>Odniesienie RTS</t>
        </is>
      </c>
      <c r="H2" s="37" t="inlineStr">
        <is>
          <t>Uwagi</t>
        </is>
      </c>
      <c r="I2" s="80">
        <f>IF(NotificationDate="","",NotificationDate+0)</f>
        <v/>
      </c>
      <c r="J2" s="80">
        <f>IF(NotificationDate="","",NotificationDate+7)</f>
        <v/>
      </c>
      <c r="K2" s="80">
        <f>IF(NotificationDate="","",NotificationDate+14)</f>
        <v/>
      </c>
      <c r="L2" s="80">
        <f>IF(NotificationDate="","",NotificationDate+21)</f>
        <v/>
      </c>
      <c r="M2" s="80">
        <f>IF(NotificationDate="","",NotificationDate+28)</f>
        <v/>
      </c>
      <c r="N2" s="80">
        <f>IF(NotificationDate="","",NotificationDate+35)</f>
        <v/>
      </c>
      <c r="O2" s="80">
        <f>IF(NotificationDate="","",NotificationDate+42)</f>
        <v/>
      </c>
      <c r="P2" s="80">
        <f>IF(NotificationDate="","",NotificationDate+49)</f>
        <v/>
      </c>
      <c r="Q2" s="80">
        <f>IF(NotificationDate="","",NotificationDate+56)</f>
        <v/>
      </c>
      <c r="R2" s="80">
        <f>IF(NotificationDate="","",NotificationDate+63)</f>
        <v/>
      </c>
      <c r="S2" s="80">
        <f>IF(NotificationDate="","",NotificationDate+70)</f>
        <v/>
      </c>
      <c r="T2" s="80">
        <f>IF(NotificationDate="","",NotificationDate+77)</f>
        <v/>
      </c>
      <c r="U2" s="80">
        <f>IF(NotificationDate="","",NotificationDate+84)</f>
        <v/>
      </c>
      <c r="V2" s="80">
        <f>IF(NotificationDate="","",NotificationDate+91)</f>
        <v/>
      </c>
      <c r="W2" s="80">
        <f>IF(NotificationDate="","",NotificationDate+98)</f>
        <v/>
      </c>
      <c r="X2" s="80">
        <f>IF(NotificationDate="","",NotificationDate+105)</f>
        <v/>
      </c>
      <c r="Y2" s="80">
        <f>IF(NotificationDate="","",NotificationDate+112)</f>
        <v/>
      </c>
      <c r="Z2" s="80">
        <f>IF(NotificationDate="","",NotificationDate+119)</f>
        <v/>
      </c>
      <c r="AA2" s="80">
        <f>IF(NotificationDate="","",NotificationDate+126)</f>
        <v/>
      </c>
      <c r="AB2" s="80">
        <f>IF(NotificationDate="","",NotificationDate+133)</f>
        <v/>
      </c>
      <c r="AC2" s="80">
        <f>IF(NotificationDate="","",NotificationDate+140)</f>
        <v/>
      </c>
      <c r="AD2" s="80">
        <f>IF(NotificationDate="","",NotificationDate+147)</f>
        <v/>
      </c>
      <c r="AE2" s="80">
        <f>IF(NotificationDate="","",NotificationDate+154)</f>
        <v/>
      </c>
      <c r="AF2" s="80">
        <f>IF(NotificationDate="","",NotificationDate+161)</f>
        <v/>
      </c>
      <c r="AG2" s="80">
        <f>IF(NotificationDate="","",NotificationDate+168)</f>
        <v/>
      </c>
      <c r="AH2" s="80">
        <f>IF(NotificationDate="","",NotificationDate+175)</f>
        <v/>
      </c>
      <c r="AI2" s="80">
        <f>IF(NotificationDate="","",NotificationDate+182)</f>
        <v/>
      </c>
      <c r="AJ2" s="80">
        <f>IF(NotificationDate="","",NotificationDate+189)</f>
        <v/>
      </c>
      <c r="AK2" s="80">
        <f>IF(NotificationDate="","",NotificationDate+196)</f>
        <v/>
      </c>
      <c r="AL2" s="80">
        <f>IF(NotificationDate="","",NotificationDate+203)</f>
        <v/>
      </c>
      <c r="AM2" s="80">
        <f>IF(NotificationDate="","",NotificationDate+210)</f>
        <v/>
      </c>
      <c r="AN2" s="80">
        <f>IF(NotificationDate="","",NotificationDate+217)</f>
        <v/>
      </c>
      <c r="AO2" s="80">
        <f>IF(NotificationDate="","",NotificationDate+224)</f>
        <v/>
      </c>
      <c r="AP2" s="80">
        <f>IF(NotificationDate="","",NotificationDate+231)</f>
        <v/>
      </c>
      <c r="AQ2" s="80">
        <f>IF(NotificationDate="","",NotificationDate+238)</f>
        <v/>
      </c>
      <c r="AR2" s="80">
        <f>IF(NotificationDate="","",NotificationDate+245)</f>
        <v/>
      </c>
      <c r="AS2" s="80">
        <f>IF(NotificationDate="","",NotificationDate+252)</f>
        <v/>
      </c>
      <c r="AT2" s="80">
        <f>IF(NotificationDate="","",NotificationDate+259)</f>
        <v/>
      </c>
      <c r="AU2" s="80">
        <f>IF(NotificationDate="","",NotificationDate+266)</f>
        <v/>
      </c>
      <c r="AV2" s="80">
        <f>IF(NotificationDate="","",NotificationDate+273)</f>
        <v/>
      </c>
      <c r="AW2" s="80">
        <f>IF(NotificationDate="","",NotificationDate+280)</f>
        <v/>
      </c>
      <c r="AX2" s="80">
        <f>IF(NotificationDate="","",NotificationDate+287)</f>
        <v/>
      </c>
      <c r="AY2" s="80">
        <f>IF(NotificationDate="","",NotificationDate+294)</f>
        <v/>
      </c>
      <c r="AZ2" s="80">
        <f>IF(NotificationDate="","",NotificationDate+301)</f>
        <v/>
      </c>
      <c r="BA2" s="80">
        <f>IF(NotificationDate="","",NotificationDate+308)</f>
        <v/>
      </c>
      <c r="BB2" s="80">
        <f>IF(NotificationDate="","",NotificationDate+315)</f>
        <v/>
      </c>
      <c r="BC2" s="80">
        <f>IF(NotificationDate="","",NotificationDate+322)</f>
        <v/>
      </c>
      <c r="BD2" s="80">
        <f>IF(NotificationDate="","",NotificationDate+329)</f>
        <v/>
      </c>
      <c r="BE2" s="80">
        <f>IF(NotificationDate="","",NotificationDate+336)</f>
        <v/>
      </c>
      <c r="BF2" s="80">
        <f>IF(NotificationDate="","",NotificationDate+343)</f>
        <v/>
      </c>
      <c r="BG2" s="80">
        <f>IF(NotificationDate="","",NotificationDate+350)</f>
        <v/>
      </c>
      <c r="BH2" s="80">
        <f>IF(NotificationDate="","",NotificationDate+357)</f>
        <v/>
      </c>
      <c r="BI2" s="80">
        <f>IF(NotificationDate="","",NotificationDate+364)</f>
        <v/>
      </c>
      <c r="BJ2" s="80">
        <f>IF(NotificationDate="","",NotificationDate+371)</f>
        <v/>
      </c>
      <c r="BK2" s="80">
        <f>IF(NotificationDate="","",NotificationDate+378)</f>
        <v/>
      </c>
      <c r="BL2" s="80">
        <f>IF(NotificationDate="","",NotificationDate+385)</f>
        <v/>
      </c>
      <c r="BM2" s="80">
        <f>IF(NotificationDate="","",NotificationDate+392)</f>
        <v/>
      </c>
      <c r="BN2" s="80">
        <f>IF(NotificationDate="","",NotificationDate+399)</f>
        <v/>
      </c>
      <c r="BO2" s="80">
        <f>IF(NotificationDate="","",NotificationDate+406)</f>
        <v/>
      </c>
      <c r="BP2" s="80">
        <f>IF(NotificationDate="","",NotificationDate+413)</f>
        <v/>
      </c>
    </row>
    <row r="3">
      <c r="A3" s="20" t="inlineStr">
        <is>
          <t>INICJACJA</t>
        </is>
      </c>
      <c r="B3" s="39" t="inlineStr">
        <is>
          <t>12 tygodni</t>
        </is>
      </c>
      <c r="C3" s="78">
        <f>IF(NotificationDate="","",NotificationDate+0)</f>
        <v/>
      </c>
      <c r="D3" s="78">
        <f>IF(NotificationDate="","",NotificationDate+90)</f>
        <v/>
      </c>
      <c r="E3" s="21">
        <f>IF(D3="","",D3-TODAY())</f>
        <v/>
      </c>
      <c r="F3" s="21">
        <f>IF(E3="","",IF(E3&lt;0,"OVERDUE",IF(E3&lt;14,"IMMINENT","On Track")))</f>
        <v/>
      </c>
      <c r="G3" s="44" t="inlineStr">
        <is>
          <t>RTS Art. 9(2), 9(3)</t>
        </is>
      </c>
      <c r="H3" s="45" t="n"/>
      <c r="I3" s="26" t="n"/>
      <c r="J3" s="26" t="n"/>
      <c r="K3" s="26" t="n"/>
      <c r="L3" s="26" t="n"/>
      <c r="M3" s="26" t="n"/>
      <c r="N3" s="26" t="n"/>
      <c r="O3" s="26" t="n"/>
      <c r="P3" s="26" t="n"/>
      <c r="Q3" s="26" t="n"/>
      <c r="R3" s="26" t="n"/>
      <c r="S3" s="26" t="n"/>
      <c r="T3" s="26" t="n"/>
      <c r="U3" s="26" t="n"/>
      <c r="V3" s="26" t="n"/>
      <c r="W3" s="26" t="n"/>
      <c r="X3" s="26" t="n"/>
      <c r="Y3" s="26" t="n"/>
      <c r="Z3" s="26" t="n"/>
      <c r="AA3" s="26" t="n"/>
      <c r="AB3" s="26" t="n"/>
      <c r="AC3" s="26" t="n"/>
      <c r="AD3" s="26" t="n"/>
      <c r="AE3" s="26" t="n"/>
      <c r="AF3" s="26" t="n"/>
      <c r="AG3" s="26" t="n"/>
      <c r="AH3" s="26" t="n"/>
      <c r="AI3" s="26" t="n"/>
      <c r="AJ3" s="26" t="n"/>
      <c r="AK3" s="26" t="n"/>
      <c r="AL3" s="26" t="n"/>
      <c r="AM3" s="26" t="n"/>
      <c r="AN3" s="26" t="n"/>
      <c r="AO3" s="26" t="n"/>
      <c r="AP3" s="26" t="n"/>
      <c r="AQ3" s="26" t="n"/>
      <c r="AR3" s="26" t="n"/>
      <c r="AS3" s="26" t="n"/>
      <c r="AT3" s="26" t="n"/>
      <c r="AU3" s="26" t="n"/>
      <c r="AV3" s="26" t="n"/>
      <c r="AW3" s="26" t="n"/>
      <c r="AX3" s="26" t="n"/>
      <c r="AY3" s="26" t="n"/>
      <c r="AZ3" s="26" t="n"/>
      <c r="BA3" s="26" t="n"/>
      <c r="BB3" s="26" t="n"/>
      <c r="BC3" s="26" t="n"/>
      <c r="BD3" s="26" t="n"/>
      <c r="BE3" s="26" t="n"/>
      <c r="BF3" s="26" t="n"/>
      <c r="BG3" s="26" t="n"/>
      <c r="BH3" s="26" t="n"/>
      <c r="BI3" s="26" t="n"/>
      <c r="BJ3" s="26" t="n"/>
      <c r="BK3" s="26" t="n"/>
      <c r="BL3" s="26" t="n"/>
      <c r="BM3" s="26" t="n"/>
      <c r="BN3" s="26" t="n"/>
      <c r="BO3" s="26" t="n"/>
      <c r="BP3" s="26" t="n"/>
    </row>
    <row r="4">
      <c r="A4" s="32" t="inlineStr">
        <is>
          <t>Walidacja zespołu kontrolnego</t>
        </is>
      </c>
      <c r="B4" s="39" t="inlineStr">
        <is>
          <t>6 tygodni</t>
        </is>
      </c>
      <c r="C4" s="78">
        <f>IF(NotificationDate="","",NotificationDate+30)</f>
        <v/>
      </c>
      <c r="D4" s="78">
        <f>IF(NotificationDate="","",NotificationDate+75)</f>
        <v/>
      </c>
      <c r="E4" s="21">
        <f>IF(D4="","",D4-TODAY())</f>
        <v/>
      </c>
      <c r="F4" s="21">
        <f>IF(E4="","",IF(E4&lt;0,"OVERDUE",IF(E4&lt;14,"IMMINENT","On Track")))</f>
        <v/>
      </c>
      <c r="G4" s="44" t="inlineStr">
        <is>
          <t>RTS Art. 9(4), 9(5)</t>
        </is>
      </c>
      <c r="H4" s="45" t="n"/>
      <c r="I4" s="26" t="n"/>
      <c r="J4" s="26" t="n"/>
      <c r="K4" s="26" t="n"/>
      <c r="L4" s="26" t="n"/>
      <c r="M4" s="26" t="n"/>
      <c r="N4" s="26" t="n"/>
      <c r="O4" s="26" t="n"/>
      <c r="P4" s="26" t="n"/>
      <c r="Q4" s="26" t="n"/>
      <c r="R4" s="26" t="n"/>
      <c r="S4" s="26" t="n"/>
      <c r="T4" s="26" t="n"/>
      <c r="U4" s="26" t="n"/>
      <c r="V4" s="26" t="n"/>
      <c r="W4" s="26" t="n"/>
      <c r="X4" s="26" t="n"/>
      <c r="Y4" s="26" t="n"/>
      <c r="Z4" s="26" t="n"/>
      <c r="AA4" s="26" t="n"/>
      <c r="AB4" s="26" t="n"/>
      <c r="AC4" s="26" t="n"/>
      <c r="AD4" s="26" t="n"/>
      <c r="AE4" s="26" t="n"/>
      <c r="AF4" s="26" t="n"/>
      <c r="AG4" s="26" t="n"/>
      <c r="AH4" s="26" t="n"/>
      <c r="AI4" s="26" t="n"/>
      <c r="AJ4" s="26" t="n"/>
      <c r="AK4" s="26" t="n"/>
      <c r="AL4" s="26" t="n"/>
      <c r="AM4" s="26" t="n"/>
      <c r="AN4" s="26" t="n"/>
      <c r="AO4" s="26" t="n"/>
      <c r="AP4" s="26" t="n"/>
      <c r="AQ4" s="26" t="n"/>
      <c r="AR4" s="26" t="n"/>
      <c r="AS4" s="26" t="n"/>
      <c r="AT4" s="26" t="n"/>
      <c r="AU4" s="26" t="n"/>
      <c r="AV4" s="26" t="n"/>
      <c r="AW4" s="26" t="n"/>
      <c r="AX4" s="26" t="n"/>
      <c r="AY4" s="26" t="n"/>
      <c r="AZ4" s="26" t="n"/>
      <c r="BA4" s="26" t="n"/>
      <c r="BB4" s="26" t="n"/>
      <c r="BC4" s="26" t="n"/>
      <c r="BD4" s="26" t="n"/>
      <c r="BE4" s="26" t="n"/>
      <c r="BF4" s="26" t="n"/>
      <c r="BG4" s="26" t="n"/>
      <c r="BH4" s="26" t="n"/>
      <c r="BI4" s="26" t="n"/>
      <c r="BJ4" s="26" t="n"/>
      <c r="BK4" s="26" t="n"/>
      <c r="BL4" s="26" t="n"/>
      <c r="BM4" s="26" t="n"/>
      <c r="BN4" s="26" t="n"/>
      <c r="BO4" s="26" t="n"/>
      <c r="BP4" s="26" t="n"/>
    </row>
    <row r="5">
      <c r="A5" s="20" t="inlineStr">
        <is>
          <t>SPECYFIKACJA ZAKRESU</t>
        </is>
      </c>
      <c r="B5" s="39" t="inlineStr">
        <is>
          <t>17 tygodni</t>
        </is>
      </c>
      <c r="C5" s="78">
        <f>IF(NotificationDate="","",NotificationDate+60)</f>
        <v/>
      </c>
      <c r="D5" s="78">
        <f>IF(NotificationDate="","",NotificationDate+180)</f>
        <v/>
      </c>
      <c r="E5" s="21">
        <f>IF(D5="","",D5-TODAY())</f>
        <v/>
      </c>
      <c r="F5" s="21">
        <f>IF(E5="","",IF(E5&lt;0,"OVERDUE",IF(E5&lt;14,"IMMINENT","On Track")))</f>
        <v/>
      </c>
      <c r="G5" s="44" t="inlineStr">
        <is>
          <t>RTS Art. 9(6), 9(12)</t>
        </is>
      </c>
      <c r="H5" s="45" t="n"/>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c r="AQ5" s="26" t="n"/>
      <c r="AR5" s="26" t="n"/>
      <c r="AS5" s="26" t="n"/>
      <c r="AT5" s="26" t="n"/>
      <c r="AU5" s="26" t="n"/>
      <c r="AV5" s="26" t="n"/>
      <c r="AW5" s="26" t="n"/>
      <c r="AX5" s="26" t="n"/>
      <c r="AY5" s="26" t="n"/>
      <c r="AZ5" s="26" t="n"/>
      <c r="BA5" s="26" t="n"/>
      <c r="BB5" s="26" t="n"/>
      <c r="BC5" s="26" t="n"/>
      <c r="BD5" s="26" t="n"/>
      <c r="BE5" s="26" t="n"/>
      <c r="BF5" s="26" t="n"/>
      <c r="BG5" s="26" t="n"/>
      <c r="BH5" s="26" t="n"/>
      <c r="BI5" s="26" t="n"/>
      <c r="BJ5" s="26" t="n"/>
      <c r="BK5" s="26" t="n"/>
      <c r="BL5" s="26" t="n"/>
      <c r="BM5" s="26" t="n"/>
      <c r="BN5" s="26" t="n"/>
      <c r="BO5" s="26" t="n"/>
      <c r="BP5" s="26" t="n"/>
    </row>
    <row r="6">
      <c r="A6" s="32" t="inlineStr">
        <is>
          <t>Koordynacja transgraniczna</t>
        </is>
      </c>
      <c r="B6" s="39" t="inlineStr">
        <is>
          <t>8 tygodni</t>
        </is>
      </c>
      <c r="C6" s="78">
        <f>IF(NotificationDate="","",NotificationDate+90)</f>
        <v/>
      </c>
      <c r="D6" s="78">
        <f>IF(NotificationDate="","",NotificationDate+150)</f>
        <v/>
      </c>
      <c r="E6" s="21">
        <f>IF(D6="","",D6-TODAY())</f>
        <v/>
      </c>
      <c r="F6" s="21">
        <f>IF(E6="","",IF(E6&lt;0,"OVERDUE",IF(E6&lt;14,"IMMINENT","On Track")))</f>
        <v/>
      </c>
      <c r="G6" s="44" t="inlineStr">
        <is>
          <t>RTS Art. 16(1)</t>
        </is>
      </c>
      <c r="H6" s="45"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c r="AQ6" s="26" t="n"/>
      <c r="AR6" s="26" t="n"/>
      <c r="AS6" s="26" t="n"/>
      <c r="AT6" s="26" t="n"/>
      <c r="AU6" s="26" t="n"/>
      <c r="AV6" s="26" t="n"/>
      <c r="AW6" s="26" t="n"/>
      <c r="AX6" s="26" t="n"/>
      <c r="AY6" s="26" t="n"/>
      <c r="AZ6" s="26" t="n"/>
      <c r="BA6" s="26" t="n"/>
      <c r="BB6" s="26" t="n"/>
      <c r="BC6" s="26" t="n"/>
      <c r="BD6" s="26" t="n"/>
      <c r="BE6" s="26" t="n"/>
      <c r="BF6" s="26" t="n"/>
      <c r="BG6" s="26" t="n"/>
      <c r="BH6" s="26" t="n"/>
      <c r="BI6" s="26" t="n"/>
      <c r="BJ6" s="26" t="n"/>
      <c r="BK6" s="26" t="n"/>
      <c r="BL6" s="26" t="n"/>
      <c r="BM6" s="26" t="n"/>
      <c r="BN6" s="26" t="n"/>
      <c r="BO6" s="26" t="n"/>
      <c r="BP6" s="26" t="n"/>
    </row>
    <row r="7">
      <c r="A7" s="32" t="inlineStr">
        <is>
          <t>Weryfikacja zgodności dostawców</t>
        </is>
      </c>
      <c r="B7" s="39" t="inlineStr">
        <is>
          <t>8 tygodni</t>
        </is>
      </c>
      <c r="C7" s="78">
        <f>IF(NotificationDate="","",NotificationDate+120)</f>
        <v/>
      </c>
      <c r="D7" s="78">
        <f>IF(NotificationDate="","",NotificationDate+180)</f>
        <v/>
      </c>
      <c r="E7" s="21">
        <f>IF(D7="","",D7-TODAY())</f>
        <v/>
      </c>
      <c r="F7" s="21">
        <f>IF(E7="","",IF(E7&lt;0,"OVERDUE",IF(E7&lt;14,"IMMINENT","On Track")))</f>
        <v/>
      </c>
      <c r="G7" s="44" t="inlineStr">
        <is>
          <t>RTS Art. 9(11)</t>
        </is>
      </c>
      <c r="H7" s="45"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c r="AQ7" s="26" t="n"/>
      <c r="AR7" s="26" t="n"/>
      <c r="AS7" s="26" t="n"/>
      <c r="AT7" s="26" t="n"/>
      <c r="AU7" s="26" t="n"/>
      <c r="AV7" s="26" t="n"/>
      <c r="AW7" s="26" t="n"/>
      <c r="AX7" s="26" t="n"/>
      <c r="AY7" s="26" t="n"/>
      <c r="AZ7" s="26" t="n"/>
      <c r="BA7" s="26" t="n"/>
      <c r="BB7" s="26" t="n"/>
      <c r="BC7" s="26" t="n"/>
      <c r="BD7" s="26" t="n"/>
      <c r="BE7" s="26" t="n"/>
      <c r="BF7" s="26" t="n"/>
      <c r="BG7" s="26" t="n"/>
      <c r="BH7" s="26" t="n"/>
      <c r="BI7" s="26" t="n"/>
      <c r="BJ7" s="26" t="n"/>
      <c r="BK7" s="26" t="n"/>
      <c r="BL7" s="26" t="n"/>
      <c r="BM7" s="26" t="n"/>
      <c r="BN7" s="26" t="n"/>
      <c r="BO7" s="26" t="n"/>
      <c r="BP7" s="26" t="n"/>
    </row>
    <row r="8">
      <c r="A8" s="32" t="inlineStr">
        <is>
          <t>Ocena ryzyka TLPT</t>
        </is>
      </c>
      <c r="B8" s="39" t="inlineStr">
        <is>
          <t>7 tygodni</t>
        </is>
      </c>
      <c r="C8" s="78">
        <f>IF(NotificationDate="","",NotificationDate+130)</f>
        <v/>
      </c>
      <c r="D8" s="78">
        <f>IF(NotificationDate="","",NotificationDate+180)</f>
        <v/>
      </c>
      <c r="E8" s="21">
        <f>IF(D8="","",D8-TODAY())</f>
        <v/>
      </c>
      <c r="F8" s="21">
        <f>IF(E8="","",IF(E8&lt;0,"OVERDUE",IF(E8&lt;14,"IMMINENT","On Track")))</f>
        <v/>
      </c>
      <c r="G8" s="44" t="inlineStr">
        <is>
          <t>RTS Art. 5; Art. 9(10)</t>
        </is>
      </c>
      <c r="H8" s="45" t="n"/>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c r="AQ8" s="26" t="n"/>
      <c r="AR8" s="26" t="n"/>
      <c r="AS8" s="26" t="n"/>
      <c r="AT8" s="26" t="n"/>
      <c r="AU8" s="26" t="n"/>
      <c r="AV8" s="26" t="n"/>
      <c r="AW8" s="26" t="n"/>
      <c r="AX8" s="26" t="n"/>
      <c r="AY8" s="26" t="n"/>
      <c r="AZ8" s="26" t="n"/>
      <c r="BA8" s="26" t="n"/>
      <c r="BB8" s="26" t="n"/>
      <c r="BC8" s="26" t="n"/>
      <c r="BD8" s="26" t="n"/>
      <c r="BE8" s="26" t="n"/>
      <c r="BF8" s="26" t="n"/>
      <c r="BG8" s="26" t="n"/>
      <c r="BH8" s="26" t="n"/>
      <c r="BI8" s="26" t="n"/>
      <c r="BJ8" s="26" t="n"/>
      <c r="BK8" s="26" t="n"/>
      <c r="BL8" s="26" t="n"/>
      <c r="BM8" s="26" t="n"/>
      <c r="BN8" s="26" t="n"/>
      <c r="BO8" s="26" t="n"/>
      <c r="BP8" s="26" t="n"/>
    </row>
    <row r="9">
      <c r="A9" s="20" t="inlineStr">
        <is>
          <t>ROZPOZNANIE ZAGROŻEŃ</t>
        </is>
      </c>
      <c r="B9" s="39" t="inlineStr">
        <is>
          <t>6 tygodni</t>
        </is>
      </c>
      <c r="C9" s="78">
        <f>IF(NotificationDate="","",NotificationDate+180)</f>
        <v/>
      </c>
      <c r="D9" s="78">
        <f>IF(NotificationDate="","",NotificationDate+225)</f>
        <v/>
      </c>
      <c r="E9" s="21">
        <f>IF(D9="","",D9-TODAY())</f>
        <v/>
      </c>
      <c r="F9" s="21">
        <f>IF(E9="","",IF(E9&lt;0,"OVERDUE",IF(E9&lt;14,"IMMINENT","On Track")))</f>
        <v/>
      </c>
      <c r="G9" s="44" t="inlineStr">
        <is>
          <t>RTS Art. 10</t>
        </is>
      </c>
      <c r="H9" s="45"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c r="AQ9" s="26" t="n"/>
      <c r="AR9" s="26" t="n"/>
      <c r="AS9" s="26" t="n"/>
      <c r="AT9" s="26" t="n"/>
      <c r="AU9" s="26" t="n"/>
      <c r="AV9" s="26" t="n"/>
      <c r="AW9" s="26" t="n"/>
      <c r="AX9" s="26" t="n"/>
      <c r="AY9" s="26" t="n"/>
      <c r="AZ9" s="26" t="n"/>
      <c r="BA9" s="26" t="n"/>
      <c r="BB9" s="26" t="n"/>
      <c r="BC9" s="26" t="n"/>
      <c r="BD9" s="26" t="n"/>
      <c r="BE9" s="26" t="n"/>
      <c r="BF9" s="26" t="n"/>
      <c r="BG9" s="26" t="n"/>
      <c r="BH9" s="26" t="n"/>
      <c r="BI9" s="26" t="n"/>
      <c r="BJ9" s="26" t="n"/>
      <c r="BK9" s="26" t="n"/>
      <c r="BL9" s="26" t="n"/>
      <c r="BM9" s="26" t="n"/>
      <c r="BN9" s="26" t="n"/>
      <c r="BO9" s="26" t="n"/>
      <c r="BP9" s="26" t="n"/>
    </row>
    <row r="10">
      <c r="A10" s="32" t="inlineStr">
        <is>
          <t>Gromadzenie i analiza TI</t>
        </is>
      </c>
      <c r="B10" s="39" t="inlineStr">
        <is>
          <t>4 tygodni</t>
        </is>
      </c>
      <c r="C10" s="78">
        <f>IF(NotificationDate="","",NotificationDate+180)</f>
        <v/>
      </c>
      <c r="D10" s="78">
        <f>IF(NotificationDate="","",NotificationDate+210)</f>
        <v/>
      </c>
      <c r="E10" s="21">
        <f>IF(D10="","",D10-TODAY())</f>
        <v/>
      </c>
      <c r="F10" s="21">
        <f>IF(E10="","",IF(E10&lt;0,"OVERDUE",IF(E10&lt;14,"IMMINENT","On Track")))</f>
        <v/>
      </c>
      <c r="G10" s="44" t="inlineStr">
        <is>
          <t>RTS Art. 10(1)</t>
        </is>
      </c>
      <c r="H10" s="45" t="n"/>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c r="AQ10" s="26" t="n"/>
      <c r="AR10" s="26" t="n"/>
      <c r="AS10" s="26" t="n"/>
      <c r="AT10" s="26" t="n"/>
      <c r="AU10" s="26" t="n"/>
      <c r="AV10" s="26" t="n"/>
      <c r="AW10" s="26" t="n"/>
      <c r="AX10" s="26" t="n"/>
      <c r="AY10" s="26" t="n"/>
      <c r="AZ10" s="26" t="n"/>
      <c r="BA10" s="26" t="n"/>
      <c r="BB10" s="26" t="n"/>
      <c r="BC10" s="26" t="n"/>
      <c r="BD10" s="26" t="n"/>
      <c r="BE10" s="26" t="n"/>
      <c r="BF10" s="26" t="n"/>
      <c r="BG10" s="26" t="n"/>
      <c r="BH10" s="26" t="n"/>
      <c r="BI10" s="26" t="n"/>
      <c r="BJ10" s="26" t="n"/>
      <c r="BK10" s="26" t="n"/>
      <c r="BL10" s="26" t="n"/>
      <c r="BM10" s="26" t="n"/>
      <c r="BN10" s="26" t="n"/>
      <c r="BO10" s="26" t="n"/>
      <c r="BP10" s="26" t="n"/>
    </row>
    <row r="11">
      <c r="A11" s="32" t="inlineStr">
        <is>
          <t>Opracowanie scenariuszy</t>
        </is>
      </c>
      <c r="B11" s="39" t="inlineStr">
        <is>
          <t>1 tydzień</t>
        </is>
      </c>
      <c r="C11" s="78">
        <f>IF(NotificationDate="","",NotificationDate+210)</f>
        <v/>
      </c>
      <c r="D11" s="78">
        <f>IF(NotificationDate="","",NotificationDate+220)</f>
        <v/>
      </c>
      <c r="E11" s="21">
        <f>IF(D11="","",D11-TODAY())</f>
        <v/>
      </c>
      <c r="F11" s="21">
        <f>IF(E11="","",IF(E11&lt;0,"OVERDUE",IF(E11&lt;14,"IMMINENT","On Track")))</f>
        <v/>
      </c>
      <c r="G11" s="44" t="inlineStr">
        <is>
          <t>RTS Art. 10(2-4)</t>
        </is>
      </c>
      <c r="H11" s="45"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c r="AQ11" s="26" t="n"/>
      <c r="AR11" s="26" t="n"/>
      <c r="AS11" s="26" t="n"/>
      <c r="AT11" s="26" t="n"/>
      <c r="AU11" s="26" t="n"/>
      <c r="AV11" s="26" t="n"/>
      <c r="AW11" s="26" t="n"/>
      <c r="AX11" s="26" t="n"/>
      <c r="AY11" s="26" t="n"/>
      <c r="AZ11" s="26" t="n"/>
      <c r="BA11" s="26" t="n"/>
      <c r="BB11" s="26" t="n"/>
      <c r="BC11" s="26" t="n"/>
      <c r="BD11" s="26" t="n"/>
      <c r="BE11" s="26" t="n"/>
      <c r="BF11" s="26" t="n"/>
      <c r="BG11" s="26" t="n"/>
      <c r="BH11" s="26" t="n"/>
      <c r="BI11" s="26" t="n"/>
      <c r="BJ11" s="26" t="n"/>
      <c r="BK11" s="26" t="n"/>
      <c r="BL11" s="26" t="n"/>
      <c r="BM11" s="26" t="n"/>
      <c r="BN11" s="26" t="n"/>
      <c r="BO11" s="26" t="n"/>
      <c r="BP11" s="26" t="n"/>
    </row>
    <row r="12">
      <c r="A12" s="32" t="inlineStr">
        <is>
          <t>Dostarczenie i zatwierdzenie TTIR</t>
        </is>
      </c>
      <c r="B12" s="39" t="inlineStr">
        <is>
          <t>1 tydzień</t>
        </is>
      </c>
      <c r="C12" s="78">
        <f>IF(NotificationDate="","",NotificationDate+220)</f>
        <v/>
      </c>
      <c r="D12" s="78">
        <f>IF(NotificationDate="","",NotificationDate+232)</f>
        <v/>
      </c>
      <c r="E12" s="21">
        <f>IF(D12="","",D12-TODAY())</f>
        <v/>
      </c>
      <c r="F12" s="21">
        <f>IF(E12="","",IF(E12&lt;0,"OVERDUE",IF(E12&lt;14,"IMMINENT","On Track")))</f>
        <v/>
      </c>
      <c r="G12" s="44" t="inlineStr">
        <is>
          <t>RTS Art. 10(5-6)</t>
        </is>
      </c>
      <c r="H12" s="45"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c r="AQ12" s="26" t="n"/>
      <c r="AR12" s="26" t="n"/>
      <c r="AS12" s="26" t="n"/>
      <c r="AT12" s="26" t="n"/>
      <c r="AU12" s="26" t="n"/>
      <c r="AV12" s="26" t="n"/>
      <c r="AW12" s="26" t="n"/>
      <c r="AX12" s="26" t="n"/>
      <c r="AY12" s="26" t="n"/>
      <c r="AZ12" s="26" t="n"/>
      <c r="BA12" s="26" t="n"/>
      <c r="BB12" s="26" t="n"/>
      <c r="BC12" s="26" t="n"/>
      <c r="BD12" s="26" t="n"/>
      <c r="BE12" s="26" t="n"/>
      <c r="BF12" s="26" t="n"/>
      <c r="BG12" s="26" t="n"/>
      <c r="BH12" s="26" t="n"/>
      <c r="BI12" s="26" t="n"/>
      <c r="BJ12" s="26" t="n"/>
      <c r="BK12" s="26" t="n"/>
      <c r="BL12" s="26" t="n"/>
      <c r="BM12" s="26" t="n"/>
      <c r="BN12" s="26" t="n"/>
      <c r="BO12" s="26" t="n"/>
      <c r="BP12" s="26" t="n"/>
    </row>
    <row r="13">
      <c r="A13" s="20" t="inlineStr">
        <is>
          <t>PLAN TESTÓW RED TEAM</t>
        </is>
      </c>
      <c r="B13" s="39" t="inlineStr">
        <is>
          <t>3 tygodnie</t>
        </is>
      </c>
      <c r="C13" s="78">
        <f>IF(NotificationDate="","",NotificationDate+232)</f>
        <v/>
      </c>
      <c r="D13" s="78">
        <f>IF(NotificationDate="","",NotificationDate+255)</f>
        <v/>
      </c>
      <c r="E13" s="21">
        <f>IF(D13="","",D13-TODAY())</f>
        <v/>
      </c>
      <c r="F13" s="21">
        <f>IF(E13="","",IF(E13&lt;0,"OVERDUE",IF(E13&lt;14,"IMMINENT","On Track")))</f>
        <v/>
      </c>
      <c r="G13" s="44" t="inlineStr">
        <is>
          <t>RTS Art. 11(1-3)</t>
        </is>
      </c>
      <c r="H13" s="45" t="n"/>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c r="AQ13" s="26" t="n"/>
      <c r="AR13" s="26" t="n"/>
      <c r="AS13" s="26" t="n"/>
      <c r="AT13" s="26" t="n"/>
      <c r="AU13" s="26" t="n"/>
      <c r="AV13" s="26" t="n"/>
      <c r="AW13" s="26" t="n"/>
      <c r="AX13" s="26" t="n"/>
      <c r="AY13" s="26" t="n"/>
      <c r="AZ13" s="26" t="n"/>
      <c r="BA13" s="26" t="n"/>
      <c r="BB13" s="26" t="n"/>
      <c r="BC13" s="26" t="n"/>
      <c r="BD13" s="26" t="n"/>
      <c r="BE13" s="26" t="n"/>
      <c r="BF13" s="26" t="n"/>
      <c r="BG13" s="26" t="n"/>
      <c r="BH13" s="26" t="n"/>
      <c r="BI13" s="26" t="n"/>
      <c r="BJ13" s="26" t="n"/>
      <c r="BK13" s="26" t="n"/>
      <c r="BL13" s="26" t="n"/>
      <c r="BM13" s="26" t="n"/>
      <c r="BN13" s="26" t="n"/>
      <c r="BO13" s="26" t="n"/>
      <c r="BP13" s="26" t="n"/>
    </row>
    <row r="14">
      <c r="A14" s="20" t="inlineStr">
        <is>
          <t>AKTYWNE TESTY RED TEAM</t>
        </is>
      </c>
      <c r="B14" s="39" t="inlineStr">
        <is>
          <t>12 tygodni</t>
        </is>
      </c>
      <c r="C14" s="78">
        <f>IF(NotificationDate="","",NotificationDate+255)</f>
        <v/>
      </c>
      <c r="D14" s="78">
        <f>IF(NotificationDate="","",NotificationDate+339)</f>
        <v/>
      </c>
      <c r="E14" s="21">
        <f>IF(D14="","",D14-TODAY())</f>
        <v/>
      </c>
      <c r="F14" s="21">
        <f>IF(E14="","",IF(E14&lt;0,"OVERDUE",IF(E14&lt;14,"IMMINENT","On Track")))</f>
        <v/>
      </c>
      <c r="G14" s="44" t="inlineStr">
        <is>
          <t>RTS Art. 11(4-5)</t>
        </is>
      </c>
      <c r="H14" s="45" t="n"/>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c r="AQ14" s="26" t="n"/>
      <c r="AR14" s="26" t="n"/>
      <c r="AS14" s="26" t="n"/>
      <c r="AT14" s="26" t="n"/>
      <c r="AU14" s="26" t="n"/>
      <c r="AV14" s="26" t="n"/>
      <c r="AW14" s="26" t="n"/>
      <c r="AX14" s="26" t="n"/>
      <c r="AY14" s="26" t="n"/>
      <c r="AZ14" s="26" t="n"/>
      <c r="BA14" s="26" t="n"/>
      <c r="BB14" s="26" t="n"/>
      <c r="BC14" s="26" t="n"/>
      <c r="BD14" s="26" t="n"/>
      <c r="BE14" s="26" t="n"/>
      <c r="BF14" s="26" t="n"/>
      <c r="BG14" s="26" t="n"/>
      <c r="BH14" s="26" t="n"/>
      <c r="BI14" s="26" t="n"/>
      <c r="BJ14" s="26" t="n"/>
      <c r="BK14" s="26" t="n"/>
      <c r="BL14" s="26" t="n"/>
      <c r="BM14" s="26" t="n"/>
      <c r="BN14" s="26" t="n"/>
      <c r="BO14" s="26" t="n"/>
      <c r="BP14" s="26" t="n"/>
    </row>
    <row r="15">
      <c r="A15" s="32" t="inlineStr">
        <is>
          <t>Powiadomienie blue team</t>
        </is>
      </c>
      <c r="B15" s="39" t="inlineStr">
        <is>
          <t>1 dzień</t>
        </is>
      </c>
      <c r="C15" s="78">
        <f>IF(NotificationDate="","",NotificationDate+339)</f>
        <v/>
      </c>
      <c r="D15" s="78">
        <f>IF(NotificationDate="","",NotificationDate+340)</f>
        <v/>
      </c>
      <c r="E15" s="21">
        <f>IF(D15="","",D15-TODAY())</f>
        <v/>
      </c>
      <c r="F15" s="21">
        <f>IF(E15="","",IF(E15&lt;0,"OVERDUE",IF(E15&lt;14,"IMMINENT","On Track")))</f>
        <v/>
      </c>
      <c r="G15" s="44" t="inlineStr">
        <is>
          <t>RTS Art. 12(1)</t>
        </is>
      </c>
      <c r="H15" s="45"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c r="AQ15" s="26" t="n"/>
      <c r="AR15" s="26" t="n"/>
      <c r="AS15" s="26" t="n"/>
      <c r="AT15" s="26" t="n"/>
      <c r="AU15" s="26" t="n"/>
      <c r="AV15" s="26" t="n"/>
      <c r="AW15" s="26" t="n"/>
      <c r="AX15" s="26" t="n"/>
      <c r="AY15" s="26" t="n"/>
      <c r="AZ15" s="26" t="n"/>
      <c r="BA15" s="26" t="n"/>
      <c r="BB15" s="26" t="n"/>
      <c r="BC15" s="26" t="n"/>
      <c r="BD15" s="26" t="n"/>
      <c r="BE15" s="26" t="n"/>
      <c r="BF15" s="26" t="n"/>
      <c r="BG15" s="26" t="n"/>
      <c r="BH15" s="26" t="n"/>
      <c r="BI15" s="26" t="n"/>
      <c r="BJ15" s="26" t="n"/>
      <c r="BK15" s="26" t="n"/>
      <c r="BL15" s="26" t="n"/>
      <c r="BM15" s="26" t="n"/>
      <c r="BN15" s="26" t="n"/>
      <c r="BO15" s="26" t="n"/>
      <c r="BP15" s="26" t="n"/>
    </row>
    <row r="16">
      <c r="A16" s="20" t="inlineStr">
        <is>
          <t>RAPORT Z TESTÓW RED TEAM</t>
        </is>
      </c>
      <c r="B16" s="39" t="inlineStr">
        <is>
          <t>4 tygodni</t>
        </is>
      </c>
      <c r="C16" s="78">
        <f>IF(NotificationDate="","",NotificationDate+339)</f>
        <v/>
      </c>
      <c r="D16" s="78">
        <f>IF(NotificationDate="","",NotificationDate+367)</f>
        <v/>
      </c>
      <c r="E16" s="21">
        <f>IF(D16="","",D16-TODAY())</f>
        <v/>
      </c>
      <c r="F16" s="21">
        <f>IF(E16="","",IF(E16&lt;0,"OVERDUE",IF(E16&lt;14,"IMMINENT","On Track")))</f>
        <v/>
      </c>
      <c r="G16" s="44" t="inlineStr">
        <is>
          <t>RTS Art. 12(2)</t>
        </is>
      </c>
      <c r="H16" s="45"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c r="AQ16" s="26" t="n"/>
      <c r="AR16" s="26" t="n"/>
      <c r="AS16" s="26" t="n"/>
      <c r="AT16" s="26" t="n"/>
      <c r="AU16" s="26" t="n"/>
      <c r="AV16" s="26" t="n"/>
      <c r="AW16" s="26" t="n"/>
      <c r="AX16" s="26" t="n"/>
      <c r="AY16" s="26" t="n"/>
      <c r="AZ16" s="26" t="n"/>
      <c r="BA16" s="26" t="n"/>
      <c r="BB16" s="26" t="n"/>
      <c r="BC16" s="26" t="n"/>
      <c r="BD16" s="26" t="n"/>
      <c r="BE16" s="26" t="n"/>
      <c r="BF16" s="26" t="n"/>
      <c r="BG16" s="26" t="n"/>
      <c r="BH16" s="26" t="n"/>
      <c r="BI16" s="26" t="n"/>
      <c r="BJ16" s="26" t="n"/>
      <c r="BK16" s="26" t="n"/>
      <c r="BL16" s="26" t="n"/>
      <c r="BM16" s="26" t="n"/>
      <c r="BN16" s="26" t="n"/>
      <c r="BO16" s="26" t="n"/>
      <c r="BP16" s="26" t="n"/>
    </row>
    <row r="17">
      <c r="A17" s="20" t="inlineStr">
        <is>
          <t>RAPORT BLUE TEAM</t>
        </is>
      </c>
      <c r="B17" s="39" t="inlineStr">
        <is>
          <t>10 tygodni</t>
        </is>
      </c>
      <c r="C17" s="78">
        <f>IF(NotificationDate="","",NotificationDate+339)</f>
        <v/>
      </c>
      <c r="D17" s="78">
        <f>IF(NotificationDate="","",NotificationDate+409)</f>
        <v/>
      </c>
      <c r="E17" s="21">
        <f>IF(D17="","",D17-TODAY())</f>
        <v/>
      </c>
      <c r="F17" s="21">
        <f>IF(E17="","",IF(E17&lt;0,"OVERDUE",IF(E17&lt;14,"IMMINENT","On Track")))</f>
        <v/>
      </c>
      <c r="G17" s="44" t="inlineStr">
        <is>
          <t>RTS Art. 12(4)</t>
        </is>
      </c>
      <c r="H17" s="45"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c r="AQ17" s="26" t="n"/>
      <c r="AR17" s="26" t="n"/>
      <c r="AS17" s="26" t="n"/>
      <c r="AT17" s="26" t="n"/>
      <c r="AU17" s="26" t="n"/>
      <c r="AV17" s="26" t="n"/>
      <c r="AW17" s="26" t="n"/>
      <c r="AX17" s="26" t="n"/>
      <c r="AY17" s="26" t="n"/>
      <c r="AZ17" s="26" t="n"/>
      <c r="BA17" s="26" t="n"/>
      <c r="BB17" s="26" t="n"/>
      <c r="BC17" s="26" t="n"/>
      <c r="BD17" s="26" t="n"/>
      <c r="BE17" s="26" t="n"/>
      <c r="BF17" s="26" t="n"/>
      <c r="BG17" s="26" t="n"/>
      <c r="BH17" s="26" t="n"/>
      <c r="BI17" s="26" t="n"/>
      <c r="BJ17" s="26" t="n"/>
      <c r="BK17" s="26" t="n"/>
      <c r="BL17" s="26" t="n"/>
      <c r="BM17" s="26" t="n"/>
      <c r="BN17" s="26" t="n"/>
      <c r="BO17" s="26" t="n"/>
      <c r="BP17" s="26" t="n"/>
    </row>
    <row r="18">
      <c r="A18" s="20" t="inlineStr">
        <is>
          <t>ODTWORZENIE I PURPLE TEAMING</t>
        </is>
      </c>
      <c r="B18" s="39" t="inlineStr">
        <is>
          <t>6 tygodni</t>
        </is>
      </c>
      <c r="C18" s="78">
        <f>IF(NotificationDate="","",NotificationDate+367)</f>
        <v/>
      </c>
      <c r="D18" s="78">
        <f>IF(NotificationDate="","",NotificationDate+409)</f>
        <v/>
      </c>
      <c r="E18" s="21">
        <f>IF(D18="","",D18-TODAY())</f>
        <v/>
      </c>
      <c r="F18" s="21">
        <f>IF(E18="","",IF(E18&lt;0,"OVERDUE",IF(E18&lt;14,"IMMINENT","On Track")))</f>
        <v/>
      </c>
      <c r="G18" s="44" t="inlineStr">
        <is>
          <t>RTS Art. 12(5-6)</t>
        </is>
      </c>
      <c r="H18" s="45"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c r="AQ18" s="26" t="n"/>
      <c r="AR18" s="26" t="n"/>
      <c r="AS18" s="26" t="n"/>
      <c r="AT18" s="26" t="n"/>
      <c r="AU18" s="26" t="n"/>
      <c r="AV18" s="26" t="n"/>
      <c r="AW18" s="26" t="n"/>
      <c r="AX18" s="26" t="n"/>
      <c r="AY18" s="26" t="n"/>
      <c r="AZ18" s="26" t="n"/>
      <c r="BA18" s="26" t="n"/>
      <c r="BB18" s="26" t="n"/>
      <c r="BC18" s="26" t="n"/>
      <c r="BD18" s="26" t="n"/>
      <c r="BE18" s="26" t="n"/>
      <c r="BF18" s="26" t="n"/>
      <c r="BG18" s="26" t="n"/>
      <c r="BH18" s="26" t="n"/>
      <c r="BI18" s="26" t="n"/>
      <c r="BJ18" s="26" t="n"/>
      <c r="BK18" s="26" t="n"/>
      <c r="BL18" s="26" t="n"/>
      <c r="BM18" s="26" t="n"/>
      <c r="BN18" s="26" t="n"/>
      <c r="BO18" s="26" t="n"/>
      <c r="BP18" s="26" t="n"/>
    </row>
    <row r="19">
      <c r="A19" s="20" t="inlineStr">
        <is>
          <t>OCENA ZARZĄDZANIA TESTEM</t>
        </is>
      </c>
      <c r="B19" s="39" t="inlineStr">
        <is>
          <t>2 tygodnie</t>
        </is>
      </c>
      <c r="C19" s="78">
        <f>IF(NotificationDate="","",NotificationDate+409)</f>
        <v/>
      </c>
      <c r="D19" s="78">
        <f>IF(NotificationDate="","",NotificationDate+425)</f>
        <v/>
      </c>
      <c r="E19" s="21">
        <f>IF(D19="","",D19-TODAY())</f>
        <v/>
      </c>
      <c r="F19" s="21">
        <f>IF(E19="","",IF(E19&lt;0,"OVERDUE",IF(E19&lt;14,"IMMINENT","On Track")))</f>
        <v/>
      </c>
      <c r="G19" s="44" t="inlineStr">
        <is>
          <t>RTS Art. 12(7)</t>
        </is>
      </c>
      <c r="H19" s="45"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c r="AQ19" s="26" t="n"/>
      <c r="AR19" s="26" t="n"/>
      <c r="AS19" s="26" t="n"/>
      <c r="AT19" s="26" t="n"/>
      <c r="AU19" s="26" t="n"/>
      <c r="AV19" s="26" t="n"/>
      <c r="AW19" s="26" t="n"/>
      <c r="AX19" s="26" t="n"/>
      <c r="AY19" s="26" t="n"/>
      <c r="AZ19" s="26" t="n"/>
      <c r="BA19" s="26" t="n"/>
      <c r="BB19" s="26" t="n"/>
      <c r="BC19" s="26" t="n"/>
      <c r="BD19" s="26" t="n"/>
      <c r="BE19" s="26" t="n"/>
      <c r="BF19" s="26" t="n"/>
      <c r="BG19" s="26" t="n"/>
      <c r="BH19" s="26" t="n"/>
      <c r="BI19" s="26" t="n"/>
      <c r="BJ19" s="26" t="n"/>
      <c r="BK19" s="26" t="n"/>
      <c r="BL19" s="26" t="n"/>
      <c r="BM19" s="26" t="n"/>
      <c r="BN19" s="26" t="n"/>
      <c r="BO19" s="26" t="n"/>
      <c r="BP19" s="26" t="n"/>
    </row>
    <row r="20">
      <c r="A20" s="20" t="inlineStr">
        <is>
          <t>RAPORT PODSUMOWUJĄCY</t>
        </is>
      </c>
      <c r="B20" s="39" t="inlineStr">
        <is>
          <t>8 tygodni</t>
        </is>
      </c>
      <c r="C20" s="78">
        <f>IF(NotificationDate="","",NotificationDate+425)</f>
        <v/>
      </c>
      <c r="D20" s="78">
        <f>IF(NotificationDate="","",NotificationDate+481)</f>
        <v/>
      </c>
      <c r="E20" s="21">
        <f>IF(D20="","",D20-TODAY())</f>
        <v/>
      </c>
      <c r="F20" s="21">
        <f>IF(E20="","",IF(E20&lt;0,"OVERDUE",IF(E20&lt;14,"IMMINENT","On Track")))</f>
        <v/>
      </c>
      <c r="G20" s="44" t="inlineStr">
        <is>
          <t>RTS Art. 12(7); DORA Art. 26(6)</t>
        </is>
      </c>
      <c r="H20" s="45" t="n"/>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c r="AQ20" s="26" t="n"/>
      <c r="AR20" s="26" t="n"/>
      <c r="AS20" s="26" t="n"/>
      <c r="AT20" s="26" t="n"/>
      <c r="AU20" s="26" t="n"/>
      <c r="AV20" s="26" t="n"/>
      <c r="AW20" s="26" t="n"/>
      <c r="AX20" s="26" t="n"/>
      <c r="AY20" s="26" t="n"/>
      <c r="AZ20" s="26" t="n"/>
      <c r="BA20" s="26" t="n"/>
      <c r="BB20" s="26" t="n"/>
      <c r="BC20" s="26" t="n"/>
      <c r="BD20" s="26" t="n"/>
      <c r="BE20" s="26" t="n"/>
      <c r="BF20" s="26" t="n"/>
      <c r="BG20" s="26" t="n"/>
      <c r="BH20" s="26" t="n"/>
      <c r="BI20" s="26" t="n"/>
      <c r="BJ20" s="26" t="n"/>
      <c r="BK20" s="26" t="n"/>
      <c r="BL20" s="26" t="n"/>
      <c r="BM20" s="26" t="n"/>
      <c r="BN20" s="26" t="n"/>
      <c r="BO20" s="26" t="n"/>
      <c r="BP20" s="26" t="n"/>
    </row>
    <row r="21">
      <c r="A21" s="20" t="inlineStr">
        <is>
          <t>PLAN REMEDIACJI</t>
        </is>
      </c>
      <c r="B21" s="39" t="inlineStr">
        <is>
          <t>8 tygodni</t>
        </is>
      </c>
      <c r="C21" s="78">
        <f>IF(NotificationDate="","",NotificationDate+425)</f>
        <v/>
      </c>
      <c r="D21" s="78">
        <f>IF(NotificationDate="","",NotificationDate+481)</f>
        <v/>
      </c>
      <c r="E21" s="21">
        <f>IF(D21="","",D21-TODAY())</f>
        <v/>
      </c>
      <c r="F21" s="21">
        <f>IF(E21="","",IF(E21&lt;0,"OVERDUE",IF(E21&lt;14,"IMMINENT","On Track")))</f>
        <v/>
      </c>
      <c r="G21" s="44" t="inlineStr">
        <is>
          <t>RTS Art. 13(1)</t>
        </is>
      </c>
      <c r="H21" s="45" t="n"/>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c r="AQ21" s="26" t="n"/>
      <c r="AR21" s="26" t="n"/>
      <c r="AS21" s="26" t="n"/>
      <c r="AT21" s="26" t="n"/>
      <c r="AU21" s="26" t="n"/>
      <c r="AV21" s="26" t="n"/>
      <c r="AW21" s="26" t="n"/>
      <c r="AX21" s="26" t="n"/>
      <c r="AY21" s="26" t="n"/>
      <c r="AZ21" s="26" t="n"/>
      <c r="BA21" s="26" t="n"/>
      <c r="BB21" s="26" t="n"/>
      <c r="BC21" s="26" t="n"/>
      <c r="BD21" s="26" t="n"/>
      <c r="BE21" s="26" t="n"/>
      <c r="BF21" s="26" t="n"/>
      <c r="BG21" s="26" t="n"/>
      <c r="BH21" s="26" t="n"/>
      <c r="BI21" s="26" t="n"/>
      <c r="BJ21" s="26" t="n"/>
      <c r="BK21" s="26" t="n"/>
      <c r="BL21" s="26" t="n"/>
      <c r="BM21" s="26" t="n"/>
      <c r="BN21" s="26" t="n"/>
      <c r="BO21" s="26" t="n"/>
      <c r="BP21" s="26" t="n"/>
    </row>
    <row r="22">
      <c r="A22" s="20" t="inlineStr">
        <is>
          <t>ATESTACJA</t>
        </is>
      </c>
      <c r="B22" s="39" t="inlineStr">
        <is>
          <t>4 tygodni</t>
        </is>
      </c>
      <c r="C22" s="78">
        <f>IF(NotificationDate="","",NotificationDate+481)</f>
        <v/>
      </c>
      <c r="D22" s="78">
        <f>IF(NotificationDate="","",NotificationDate+510)</f>
        <v/>
      </c>
      <c r="E22" s="21">
        <f>IF(D22="","",D22-TODAY())</f>
        <v/>
      </c>
      <c r="F22" s="21">
        <f>IF(E22="","",IF(E22&lt;0,"OVERDUE",IF(E22&lt;14,"IMMINENT","On Track")))</f>
        <v/>
      </c>
      <c r="G22" s="44" t="inlineStr">
        <is>
          <t>RTS Art. 14; DORA Art. 26(7)</t>
        </is>
      </c>
      <c r="H22" s="45"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c r="AQ22" s="26" t="n"/>
      <c r="AR22" s="26" t="n"/>
      <c r="AS22" s="26" t="n"/>
      <c r="AT22" s="26" t="n"/>
      <c r="AU22" s="26" t="n"/>
      <c r="AV22" s="26" t="n"/>
      <c r="AW22" s="26" t="n"/>
      <c r="AX22" s="26" t="n"/>
      <c r="AY22" s="26" t="n"/>
      <c r="AZ22" s="26" t="n"/>
      <c r="BA22" s="26" t="n"/>
      <c r="BB22" s="26" t="n"/>
      <c r="BC22" s="26" t="n"/>
      <c r="BD22" s="26" t="n"/>
      <c r="BE22" s="26" t="n"/>
      <c r="BF22" s="26" t="n"/>
      <c r="BG22" s="26" t="n"/>
      <c r="BH22" s="26" t="n"/>
      <c r="BI22" s="26" t="n"/>
      <c r="BJ22" s="26" t="n"/>
      <c r="BK22" s="26" t="n"/>
      <c r="BL22" s="26" t="n"/>
      <c r="BM22" s="26" t="n"/>
      <c r="BN22" s="26" t="n"/>
      <c r="BO22" s="26" t="n"/>
      <c r="BP22" s="26" t="n"/>
    </row>
  </sheetData>
  <sheetProtection selectLockedCells="0" selectUnlockedCells="0" sheet="1" objects="0" insertRows="1" insertHyperlinks="1" autoFilter="0" scenarios="0" formatColumns="0" deleteColumns="1" insertColumns="1" pivotTables="1" deleteRows="1" formatCells="1" formatRows="0" sort="0" password="CE4B"/>
  <mergeCells count="1">
    <mergeCell ref="A1:H1"/>
  </mergeCells>
  <conditionalFormatting sqref="F3:F22">
    <cfRule type="cellIs" priority="1" operator="equal" dxfId="1">
      <formula>"OVERDUE"</formula>
    </cfRule>
    <cfRule type="cellIs" priority="2" operator="equal" dxfId="2">
      <formula>"IMMINENT"</formula>
    </cfRule>
    <cfRule type="cellIs" priority="3" operator="equal" dxfId="3">
      <formula>"On Track"</formula>
    </cfRule>
  </conditionalFormatting>
  <conditionalFormatting sqref="I3:BP22">
    <cfRule type="expression" priority="4" dxfId="6">
      <formula>AND(I$2&lt;&gt;"",$C3&lt;&gt;"",$D3&lt;&gt;"",I$2&gt;=$C3,I$2&lt;=$D3)</formula>
    </cfRule>
  </conditionalFormatting>
  <conditionalFormatting sqref="E3:E22">
    <cfRule type="dataBar" priority="5">
      <dataBar>
        <cfvo type="num" val="0"/>
        <cfvo type="num" val="365"/>
        <color rgb="0027AE60"/>
      </dataBar>
    </cfRule>
  </conditionalFormatting>
  <hyperlinks>
    <hyperlink xmlns:r="http://schemas.openxmlformats.org/officeDocument/2006/relationships" ref="G3" r:id="rId1"/>
    <hyperlink xmlns:r="http://schemas.openxmlformats.org/officeDocument/2006/relationships" ref="G4" r:id="rId2"/>
    <hyperlink xmlns:r="http://schemas.openxmlformats.org/officeDocument/2006/relationships" ref="G5" r:id="rId3"/>
    <hyperlink xmlns:r="http://schemas.openxmlformats.org/officeDocument/2006/relationships" ref="G6" r:id="rId4"/>
    <hyperlink xmlns:r="http://schemas.openxmlformats.org/officeDocument/2006/relationships" ref="G7" r:id="rId5"/>
    <hyperlink xmlns:r="http://schemas.openxmlformats.org/officeDocument/2006/relationships" ref="G8" r:id="rId6"/>
    <hyperlink xmlns:r="http://schemas.openxmlformats.org/officeDocument/2006/relationships" ref="G9" r:id="rId7"/>
    <hyperlink xmlns:r="http://schemas.openxmlformats.org/officeDocument/2006/relationships" ref="G10" r:id="rId8"/>
    <hyperlink xmlns:r="http://schemas.openxmlformats.org/officeDocument/2006/relationships" ref="G11" r:id="rId9"/>
    <hyperlink xmlns:r="http://schemas.openxmlformats.org/officeDocument/2006/relationships" ref="G12" r:id="rId10"/>
    <hyperlink xmlns:r="http://schemas.openxmlformats.org/officeDocument/2006/relationships" ref="G13" r:id="rId11"/>
    <hyperlink xmlns:r="http://schemas.openxmlformats.org/officeDocument/2006/relationships" ref="G14" r:id="rId12"/>
    <hyperlink xmlns:r="http://schemas.openxmlformats.org/officeDocument/2006/relationships" ref="G15" r:id="rId13"/>
    <hyperlink xmlns:r="http://schemas.openxmlformats.org/officeDocument/2006/relationships" ref="G16" r:id="rId14"/>
    <hyperlink xmlns:r="http://schemas.openxmlformats.org/officeDocument/2006/relationships" ref="G17" r:id="rId15"/>
    <hyperlink xmlns:r="http://schemas.openxmlformats.org/officeDocument/2006/relationships" ref="G18" r:id="rId16"/>
    <hyperlink xmlns:r="http://schemas.openxmlformats.org/officeDocument/2006/relationships" ref="G19" r:id="rId17"/>
    <hyperlink xmlns:r="http://schemas.openxmlformats.org/officeDocument/2006/relationships" ref="G20" r:id="rId18"/>
    <hyperlink xmlns:r="http://schemas.openxmlformats.org/officeDocument/2006/relationships" ref="G21" r:id="rId19"/>
    <hyperlink xmlns:r="http://schemas.openxmlformats.org/officeDocument/2006/relationships" ref="G22" r:id="rId20"/>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12.xml><?xml version="1.0" encoding="utf-8"?>
<worksheet xmlns="http://schemas.openxmlformats.org/spreadsheetml/2006/main">
  <sheetPr>
    <tabColor rgb="00F2994A"/>
    <outlinePr summaryBelow="1" summaryRight="1"/>
    <pageSetUpPr fitToPage="1"/>
  </sheetPr>
  <dimension ref="A1:I96"/>
  <sheetViews>
    <sheetView workbookViewId="0">
      <pane xSplit="2" ySplit="1" topLeftCell="C2"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22" customWidth="1" min="3" max="3"/>
    <col width="14" customWidth="1" min="4" max="4"/>
    <col width="14" customWidth="1" min="5" max="5"/>
    <col width="14" customWidth="1" min="6" max="6"/>
    <col width="14" customWidth="1" min="7" max="7"/>
    <col width="14" customWidth="1" min="8" max="8"/>
    <col width="14" customWidth="1" min="9" max="9"/>
  </cols>
  <sheetData>
    <row r="1">
      <c r="A1" s="36" t="inlineStr">
        <is>
          <t>OCENA DOSTAWCY ROZPOZNANIA ZAGROŻEŃ</t>
        </is>
      </c>
    </row>
    <row r="3">
      <c r="A3" s="53" t="inlineStr">
        <is>
          <t>Część A: Wymagania minimalne</t>
        </is>
      </c>
    </row>
    <row r="4">
      <c r="A4" s="37" t="inlineStr">
        <is>
          <t>#</t>
        </is>
      </c>
      <c r="B4" s="37" t="inlineStr">
        <is>
          <t>Wymaganie</t>
        </is>
      </c>
      <c r="C4" s="37" t="inlineStr">
        <is>
          <t>Odniesienie RTS</t>
        </is>
      </c>
      <c r="D4" s="37" t="inlineStr">
        <is>
          <t>Dostawca A</t>
        </is>
      </c>
      <c r="E4" s="37" t="inlineStr">
        <is>
          <t>Dostawca B</t>
        </is>
      </c>
      <c r="F4" s="37" t="inlineStr">
        <is>
          <t>Dostawca C</t>
        </is>
      </c>
      <c r="G4" s="54" t="n"/>
      <c r="H4" s="54" t="n"/>
      <c r="I4" s="54" t="n"/>
    </row>
    <row r="5">
      <c r="A5" s="39" t="inlineStr">
        <is>
          <t>M1</t>
        </is>
      </c>
      <c r="B5" s="40" t="inlineStr">
        <is>
          <t>Dostawca jest zewnętrzny wobec podmiotu finansowego</t>
        </is>
      </c>
      <c r="C5" s="44" t="inlineStr">
        <is>
          <t>DORA Art. 27(2); RTS Art. 7</t>
        </is>
      </c>
      <c r="D5" s="55" t="n"/>
      <c r="E5" s="55" t="n"/>
      <c r="F5" s="55" t="n"/>
      <c r="G5" s="26" t="n"/>
      <c r="H5" s="26" t="n"/>
      <c r="I5" s="26" t="n"/>
    </row>
    <row r="6">
      <c r="A6" s="39" t="inlineStr">
        <is>
          <t>M2</t>
        </is>
      </c>
      <c r="B6" s="40" t="inlineStr">
        <is>
          <t>Manager TI posiada minimum 5 lat doświadczenia w rozpoznaniu zagrożeń</t>
        </is>
      </c>
      <c r="C6" s="44" t="inlineStr">
        <is>
          <t>RTS Art. 7(1)(a); TIBER-EU Procurement 3.1</t>
        </is>
      </c>
      <c r="D6" s="55" t="n"/>
      <c r="E6" s="55" t="n"/>
      <c r="F6" s="55" t="n"/>
      <c r="G6" s="26" t="n"/>
      <c r="H6" s="26" t="n"/>
      <c r="I6" s="26" t="n"/>
    </row>
    <row r="7">
      <c r="A7" s="39" t="inlineStr">
        <is>
          <t>M3</t>
        </is>
      </c>
      <c r="B7" s="40" t="inlineStr">
        <is>
          <t>Co najmniej 1 dodatkowy członek zespołu z minimum 2-letnim doświadczeniem TI</t>
        </is>
      </c>
      <c r="C7" s="44" t="inlineStr">
        <is>
          <t>RTS Art. 7(1)(a); TIBER-EU Procurement 3.1</t>
        </is>
      </c>
      <c r="D7" s="55" t="n"/>
      <c r="E7" s="55" t="n"/>
      <c r="F7" s="55" t="n"/>
      <c r="G7" s="26" t="n"/>
      <c r="H7" s="26" t="n"/>
      <c r="I7" s="26" t="n"/>
    </row>
    <row r="8">
      <c r="A8" s="39" t="inlineStr">
        <is>
          <t>M4</t>
        </is>
      </c>
      <c r="B8" s="40" t="inlineStr">
        <is>
          <t>Minimum 3 referencje z poprzednich zadań TI dla testów penetracyjnych/red team</t>
        </is>
      </c>
      <c r="C8" s="44" t="inlineStr">
        <is>
          <t>TIBER-EU Procurement 3.1</t>
        </is>
      </c>
      <c r="D8" s="55" t="n"/>
      <c r="E8" s="55" t="n"/>
      <c r="F8" s="55" t="n"/>
      <c r="G8" s="26" t="n"/>
      <c r="H8" s="26" t="n"/>
      <c r="I8" s="26" t="n"/>
    </row>
    <row r="9">
      <c r="A9" s="39" t="inlineStr">
        <is>
          <t>M5</t>
        </is>
      </c>
      <c r="B9" s="40" t="inlineStr">
        <is>
          <t>Dwóch kluczowych członków zespołu ma łącznie minimum 3 poprzednie zadania TI dla testów penetracyjnych/red team</t>
        </is>
      </c>
      <c r="C9" s="44" t="inlineStr">
        <is>
          <t>TIBER-EU Procurement 3.1</t>
        </is>
      </c>
      <c r="D9" s="55" t="n"/>
      <c r="E9" s="55" t="n"/>
      <c r="F9" s="55" t="n"/>
      <c r="G9" s="26" t="n"/>
      <c r="H9" s="26" t="n"/>
      <c r="I9" s="26" t="n"/>
    </row>
    <row r="10">
      <c r="A10" s="39" t="inlineStr">
        <is>
          <t>M6</t>
        </is>
      </c>
      <c r="B10" s="40" t="inlineStr">
        <is>
          <t>Ubezpieczenie odpowiedzialności zawodowej pokrywające niedozwolone działania i zaniedbania</t>
        </is>
      </c>
      <c r="C10" s="44" t="inlineStr">
        <is>
          <t>DORA Art. 27(1)(e); RTS Art. 7(1)(b)</t>
        </is>
      </c>
      <c r="D10" s="55" t="n"/>
      <c r="E10" s="55" t="n"/>
      <c r="F10" s="55" t="n"/>
      <c r="G10" s="26" t="n"/>
      <c r="H10" s="26" t="n"/>
      <c r="I10" s="26" t="n"/>
    </row>
    <row r="11">
      <c r="A11" s="39" t="inlineStr">
        <is>
          <t>M7</t>
        </is>
      </c>
      <c r="B11" s="40" t="inlineStr">
        <is>
          <t>Certyfikaty zgodne z uznanymi standardami rynkowymi</t>
        </is>
      </c>
      <c r="C11" s="44" t="inlineStr">
        <is>
          <t>DORA Art. 27(1)(c); RTS Art. 7(1)(b)</t>
        </is>
      </c>
      <c r="D11" s="55" t="n"/>
      <c r="E11" s="55" t="n"/>
      <c r="F11" s="55" t="n"/>
      <c r="G11" s="26" t="n"/>
      <c r="H11" s="26" t="n"/>
      <c r="I11" s="26" t="n"/>
    </row>
    <row r="12">
      <c r="A12" s="39" t="inlineStr">
        <is>
          <t>M8</t>
        </is>
      </c>
      <c r="B12" s="40" t="inlineStr">
        <is>
          <t>Brak konfliktu interesów z podmiotem finansowym lub dostawcami ICT w zakresie</t>
        </is>
      </c>
      <c r="C12" s="44" t="inlineStr">
        <is>
          <t>RTS Art. 7(1)(d); TIBER-EU Procurement 3.1</t>
        </is>
      </c>
      <c r="D12" s="55" t="n"/>
      <c r="E12" s="55" t="n"/>
      <c r="F12" s="55" t="n"/>
      <c r="G12" s="26" t="n"/>
      <c r="H12" s="26" t="n"/>
      <c r="I12" s="26" t="n"/>
    </row>
    <row r="13">
      <c r="A13" s="39" t="inlineStr">
        <is>
          <t>M9</t>
        </is>
      </c>
      <c r="B13" s="40" t="inlineStr">
        <is>
          <t>Brak jednoczesnego wykonywania zadań blue team / bezpieczeństwa defensywnego dla podmiotu</t>
        </is>
      </c>
      <c r="C13" s="44" t="inlineStr">
        <is>
          <t>TIBER-EU Procurement 3.1</t>
        </is>
      </c>
      <c r="D13" s="55" t="n"/>
      <c r="E13" s="55" t="n"/>
      <c r="F13" s="55" t="n"/>
      <c r="G13" s="26" t="n"/>
      <c r="H13" s="26" t="n"/>
      <c r="I13" s="26" t="n"/>
    </row>
    <row r="14">
      <c r="A14" s="39" t="inlineStr">
        <is>
          <t>M10</t>
        </is>
      </c>
      <c r="B14" s="40" t="inlineStr">
        <is>
          <t>Jeśli ta sama firma dostarcza TI i RT: zespół TI jest oddzielony i nie raportuje do personelu RT</t>
        </is>
      </c>
      <c r="C14" s="44" t="inlineStr">
        <is>
          <t>RTS Art. 7(1)(d); TIBER-EU Procurement 3.1</t>
        </is>
      </c>
      <c r="D14" s="55" t="n"/>
      <c r="E14" s="55" t="n"/>
      <c r="F14" s="55" t="n"/>
      <c r="G14" s="26" t="n"/>
      <c r="H14" s="26" t="n"/>
      <c r="I14" s="26" t="n"/>
    </row>
    <row r="15">
      <c r="A15" s="39" t="inlineStr">
        <is>
          <t>M11</t>
        </is>
      </c>
      <c r="B15" s="40" t="inlineStr">
        <is>
          <t>Dostarczone aktualne CV wszystkich proponowanych członków zespołu</t>
        </is>
      </c>
      <c r="C15" s="44" t="inlineStr">
        <is>
          <t>RTS Art. 7(1)(b); TIBER-EU Procurement 3.1</t>
        </is>
      </c>
      <c r="D15" s="55" t="n"/>
      <c r="E15" s="55" t="n"/>
      <c r="F15" s="55" t="n"/>
      <c r="G15" s="26" t="n"/>
      <c r="H15" s="26" t="n"/>
      <c r="I15" s="26" t="n"/>
    </row>
    <row r="16">
      <c r="A16" s="39" t="inlineStr">
        <is>
          <t>M12</t>
        </is>
      </c>
      <c r="B16" s="40" t="inlineStr">
        <is>
          <t>Dostawca może dostarczyć niezależne zapewnienie lub raport audytowy dot. zarządzania ryzykiem TLPT</t>
        </is>
      </c>
      <c r="C16" s="44" t="inlineStr">
        <is>
          <t>DORA Art. 27(1)(d)</t>
        </is>
      </c>
      <c r="D16" s="55" t="n"/>
      <c r="E16" s="55" t="n"/>
      <c r="F16" s="55" t="n"/>
      <c r="G16" s="26" t="n"/>
      <c r="H16" s="26" t="n"/>
      <c r="I16" s="26" t="n"/>
    </row>
    <row r="17">
      <c r="A17" s="26" t="n"/>
      <c r="B17" s="56" t="inlineStr">
        <is>
          <t>WYNIK:</t>
        </is>
      </c>
      <c r="C17" s="26" t="n"/>
      <c r="D17" s="57">
        <f>IF(COUNTIF(D5:D16,"No")&gt;0,"FAIL","PASS")</f>
        <v/>
      </c>
      <c r="E17" s="57">
        <f>IF(COUNTIF(E5:E16,"No")&gt;0,"FAIL","PASS")</f>
        <v/>
      </c>
      <c r="F17" s="57">
        <f>IF(COUNTIF(F5:F16,"No")&gt;0,"FAIL","PASS")</f>
        <v/>
      </c>
      <c r="G17" s="26" t="n"/>
      <c r="H17" s="26" t="n"/>
      <c r="I17" s="26" t="n"/>
    </row>
    <row r="19">
      <c r="A19" s="53" t="inlineStr">
        <is>
          <t>Część B: Ocena ważona</t>
        </is>
      </c>
    </row>
    <row r="20">
      <c r="A20" s="37" t="inlineStr">
        <is>
          <t>#</t>
        </is>
      </c>
      <c r="B20" s="37" t="inlineStr">
        <is>
          <t>Kryterium</t>
        </is>
      </c>
      <c r="C20" s="37" t="inlineStr">
        <is>
          <t>Waga</t>
        </is>
      </c>
      <c r="D20" s="37" t="inlineStr">
        <is>
          <t>Ocena A</t>
        </is>
      </c>
      <c r="E20" s="37" t="inlineStr">
        <is>
          <t>Ważona A</t>
        </is>
      </c>
      <c r="F20" s="37" t="inlineStr">
        <is>
          <t>Ocena B</t>
        </is>
      </c>
      <c r="G20" s="37" t="inlineStr">
        <is>
          <t>Ważona B</t>
        </is>
      </c>
      <c r="H20" s="37" t="inlineStr">
        <is>
          <t>Ocena C</t>
        </is>
      </c>
      <c r="I20" s="37" t="inlineStr">
        <is>
          <t>Ważona C</t>
        </is>
      </c>
    </row>
    <row r="21">
      <c r="A21" s="39" t="inlineStr">
        <is>
          <t>E1</t>
        </is>
      </c>
      <c r="B21" s="40" t="inlineStr">
        <is>
          <t>Głębokość rozpoznania zagrożeń w sektorze finansowym</t>
        </is>
      </c>
      <c r="C21" s="24" t="n">
        <v>3</v>
      </c>
      <c r="D21" s="55" t="n"/>
      <c r="E21" s="24">
        <f>IF(D21="","",C21*D21)</f>
        <v/>
      </c>
      <c r="F21" s="55" t="n"/>
      <c r="G21" s="24">
        <f>IF(F21="","",C21*F21)</f>
        <v/>
      </c>
      <c r="H21" s="55" t="n"/>
      <c r="I21" s="24">
        <f>IF(H21="","",C21*H21)</f>
        <v/>
      </c>
    </row>
    <row r="22">
      <c r="A22" s="39" t="inlineStr">
        <is>
          <t>E2</t>
        </is>
      </c>
      <c r="B22" s="40" t="inlineStr">
        <is>
          <t>Zdolność rozpoznania celowego (HUMINT, OSINT, dark web)</t>
        </is>
      </c>
      <c r="C22" s="24" t="n">
        <v>3</v>
      </c>
      <c r="D22" s="55" t="n"/>
      <c r="E22" s="24">
        <f>IF(D22="","",C22*D22)</f>
        <v/>
      </c>
      <c r="F22" s="55" t="n"/>
      <c r="G22" s="24">
        <f>IF(F22="","",C22*F22)</f>
        <v/>
      </c>
      <c r="H22" s="55" t="n"/>
      <c r="I22" s="24">
        <f>IF(H22="","",C22*H22)</f>
        <v/>
      </c>
    </row>
    <row r="23">
      <c r="A23" s="39" t="inlineStr">
        <is>
          <t>E3</t>
        </is>
      </c>
      <c r="B23" s="40" t="inlineStr">
        <is>
          <t>Wcześniejsze doświadczenie w TLPT/TIBER</t>
        </is>
      </c>
      <c r="C23" s="24" t="n">
        <v>3</v>
      </c>
      <c r="D23" s="55" t="n"/>
      <c r="E23" s="24">
        <f>IF(D23="","",C23*D23)</f>
        <v/>
      </c>
      <c r="F23" s="55" t="n"/>
      <c r="G23" s="24">
        <f>IF(F23="","",C23*F23)</f>
        <v/>
      </c>
      <c r="H23" s="55" t="n"/>
      <c r="I23" s="24">
        <f>IF(H23="","",C23*H23)</f>
        <v/>
      </c>
    </row>
    <row r="24">
      <c r="A24" s="39" t="inlineStr">
        <is>
          <t>E4</t>
        </is>
      </c>
      <c r="B24" s="40" t="inlineStr">
        <is>
          <t>Zdolność analizy geopolitycznej i sektorowej</t>
        </is>
      </c>
      <c r="C24" s="24" t="n">
        <v>2</v>
      </c>
      <c r="D24" s="55" t="n"/>
      <c r="E24" s="24">
        <f>IF(D24="","",C24*D24)</f>
        <v/>
      </c>
      <c r="F24" s="55" t="n"/>
      <c r="G24" s="24">
        <f>IF(F24="","",C24*F24)</f>
        <v/>
      </c>
      <c r="H24" s="55" t="n"/>
      <c r="I24" s="24">
        <f>IF(H24="","",C24*H24)</f>
        <v/>
      </c>
    </row>
    <row r="25">
      <c r="A25" s="39" t="inlineStr">
        <is>
          <t>E5</t>
        </is>
      </c>
      <c r="B25" s="40" t="inlineStr">
        <is>
          <t>Zdolności językowe w zakresie rozpoznania inżynierii społecznej</t>
        </is>
      </c>
      <c r="C25" s="24" t="n">
        <v>2</v>
      </c>
      <c r="D25" s="55" t="n"/>
      <c r="E25" s="24">
        <f>IF(D25="","",C25*D25)</f>
        <v/>
      </c>
      <c r="F25" s="55" t="n"/>
      <c r="G25" s="24">
        <f>IF(F25="","",C25*F25)</f>
        <v/>
      </c>
      <c r="H25" s="55" t="n"/>
      <c r="I25" s="24">
        <f>IF(H25="","",C25*H25)</f>
        <v/>
      </c>
    </row>
    <row r="26">
      <c r="A26" s="39" t="inlineStr">
        <is>
          <t>E6</t>
        </is>
      </c>
      <c r="B26" s="40" t="inlineStr">
        <is>
          <t>Metodologia profilowania aktorów zagrożeń</t>
        </is>
      </c>
      <c r="C26" s="24" t="n">
        <v>3</v>
      </c>
      <c r="D26" s="55" t="n"/>
      <c r="E26" s="24">
        <f>IF(D26="","",C26*D26)</f>
        <v/>
      </c>
      <c r="F26" s="55" t="n"/>
      <c r="G26" s="24">
        <f>IF(F26="","",C26*F26)</f>
        <v/>
      </c>
      <c r="H26" s="55" t="n"/>
      <c r="I26" s="24">
        <f>IF(H26="","",C26*H26)</f>
        <v/>
      </c>
    </row>
    <row r="27">
      <c r="A27" s="39" t="inlineStr">
        <is>
          <t>E7</t>
        </is>
      </c>
      <c r="B27" s="40" t="inlineStr">
        <is>
          <t>Jakość opracowania scenariuszy</t>
        </is>
      </c>
      <c r="C27" s="24" t="n">
        <v>3</v>
      </c>
      <c r="D27" s="55" t="n"/>
      <c r="E27" s="24">
        <f>IF(D27="","",C27*D27)</f>
        <v/>
      </c>
      <c r="F27" s="55" t="n"/>
      <c r="G27" s="24">
        <f>IF(F27="","",C27*F27)</f>
        <v/>
      </c>
      <c r="H27" s="55" t="n"/>
      <c r="I27" s="24">
        <f>IF(H27="","",C27*H27)</f>
        <v/>
      </c>
    </row>
    <row r="28">
      <c r="A28" s="39" t="inlineStr">
        <is>
          <t>E8</t>
        </is>
      </c>
      <c r="B28" s="40" t="inlineStr">
        <is>
          <t>Jakość komunikacji (odbiorcy techniczni i nietechniczni)</t>
        </is>
      </c>
      <c r="C28" s="24" t="n">
        <v>2</v>
      </c>
      <c r="D28" s="55" t="n"/>
      <c r="E28" s="24">
        <f>IF(D28="","",C28*D28)</f>
        <v/>
      </c>
      <c r="F28" s="55" t="n"/>
      <c r="G28" s="24">
        <f>IF(F28="","",C28*F28)</f>
        <v/>
      </c>
      <c r="H28" s="55" t="n"/>
      <c r="I28" s="24">
        <f>IF(H28="","",C28*H28)</f>
        <v/>
      </c>
    </row>
    <row r="29">
      <c r="A29" s="39" t="inlineStr">
        <is>
          <t>E9</t>
        </is>
      </c>
      <c r="B29" s="40" t="inlineStr">
        <is>
          <t>Protokoły obsługi i niszczenia danych</t>
        </is>
      </c>
      <c r="C29" s="24" t="n">
        <v>2</v>
      </c>
      <c r="D29" s="55" t="n"/>
      <c r="E29" s="24">
        <f>IF(D29="","",C29*D29)</f>
        <v/>
      </c>
      <c r="F29" s="55" t="n"/>
      <c r="G29" s="24">
        <f>IF(F29="","",C29*F29)</f>
        <v/>
      </c>
      <c r="H29" s="55" t="n"/>
      <c r="I29" s="24">
        <f>IF(H29="","",C29*H29)</f>
        <v/>
      </c>
    </row>
    <row r="30">
      <c r="A30" s="39" t="inlineStr">
        <is>
          <t>E10</t>
        </is>
      </c>
      <c r="B30" s="40" t="inlineStr">
        <is>
          <t>Dostępność i reaktywność podczas testów aktywnych</t>
        </is>
      </c>
      <c r="C30" s="24" t="n">
        <v>2</v>
      </c>
      <c r="D30" s="55" t="n"/>
      <c r="E30" s="24">
        <f>IF(D30="","",C30*D30)</f>
        <v/>
      </c>
      <c r="F30" s="55" t="n"/>
      <c r="G30" s="24">
        <f>IF(F30="","",C30*F30)</f>
        <v/>
      </c>
      <c r="H30" s="55" t="n"/>
      <c r="I30" s="24">
        <f>IF(H30="","",C30*H30)</f>
        <v/>
      </c>
    </row>
    <row r="31">
      <c r="A31" s="39" t="inlineStr">
        <is>
          <t>E11</t>
        </is>
      </c>
      <c r="B31" s="40" t="inlineStr">
        <is>
          <t>Jakość i wykonalność raportów</t>
        </is>
      </c>
      <c r="C31" s="24" t="n">
        <v>3</v>
      </c>
      <c r="D31" s="55" t="n"/>
      <c r="E31" s="24">
        <f>IF(D31="","",C31*D31)</f>
        <v/>
      </c>
      <c r="F31" s="55" t="n"/>
      <c r="G31" s="24">
        <f>IF(F31="","",C31*F31)</f>
        <v/>
      </c>
      <c r="H31" s="55" t="n"/>
      <c r="I31" s="24">
        <f>IF(H31="","",C31*H31)</f>
        <v/>
      </c>
    </row>
    <row r="32">
      <c r="A32" s="39" t="inlineStr">
        <is>
          <t>E12</t>
        </is>
      </c>
      <c r="B32" s="40" t="inlineStr">
        <is>
          <t>Stabilność zespołu i zdolność zastępstwa</t>
        </is>
      </c>
      <c r="C32" s="24" t="n">
        <v>2</v>
      </c>
      <c r="D32" s="55" t="n"/>
      <c r="E32" s="24">
        <f>IF(D32="","",C32*D32)</f>
        <v/>
      </c>
      <c r="F32" s="55" t="n"/>
      <c r="G32" s="24">
        <f>IF(F32="","",C32*F32)</f>
        <v/>
      </c>
      <c r="H32" s="55" t="n"/>
      <c r="I32" s="24">
        <f>IF(H32="","",C32*H32)</f>
        <v/>
      </c>
    </row>
    <row r="33">
      <c r="A33" s="39" t="inlineStr">
        <is>
          <t>E13</t>
        </is>
      </c>
      <c r="B33" s="40" t="inlineStr">
        <is>
          <t>Dostęp do własnych źródeł wywiadowczych</t>
        </is>
      </c>
      <c r="C33" s="24" t="n">
        <v>2</v>
      </c>
      <c r="D33" s="55" t="n"/>
      <c r="E33" s="24">
        <f>IF(D33="","",C33*D33)</f>
        <v/>
      </c>
      <c r="F33" s="55" t="n"/>
      <c r="G33" s="24">
        <f>IF(F33="","",C33*F33)</f>
        <v/>
      </c>
      <c r="H33" s="55" t="n"/>
      <c r="I33" s="24">
        <f>IF(H33="","",C33*H33)</f>
        <v/>
      </c>
    </row>
    <row r="34">
      <c r="A34" s="39" t="inlineStr">
        <is>
          <t>E14</t>
        </is>
      </c>
      <c r="B34" s="40" t="inlineStr">
        <is>
          <t>Historia współpracy z red teamami</t>
        </is>
      </c>
      <c r="C34" s="24" t="n">
        <v>3</v>
      </c>
      <c r="D34" s="55" t="n"/>
      <c r="E34" s="24">
        <f>IF(D34="","",C34*D34)</f>
        <v/>
      </c>
      <c r="F34" s="55" t="n"/>
      <c r="G34" s="24">
        <f>IF(F34="","",C34*F34)</f>
        <v/>
      </c>
      <c r="H34" s="55" t="n"/>
      <c r="I34" s="24">
        <f>IF(H34="","",C34*H34)</f>
        <v/>
      </c>
    </row>
    <row r="35">
      <c r="B35" s="56" t="inlineStr">
        <is>
          <t>RAZEM</t>
        </is>
      </c>
      <c r="E35" s="58">
        <f>SUM(E21:E34)</f>
        <v/>
      </c>
      <c r="G35" s="58">
        <f>SUM(G21:G34)</f>
        <v/>
      </c>
      <c r="I35" s="58">
        <f>SUM(I21:I34)</f>
        <v/>
      </c>
    </row>
    <row r="38">
      <c r="A38" s="36" t="inlineStr">
        <is>
          <t>OCENA DOSTAWCY RED TEAM</t>
        </is>
      </c>
    </row>
    <row r="40">
      <c r="A40" s="53" t="inlineStr">
        <is>
          <t>Część A: Wymagania minimalne</t>
        </is>
      </c>
    </row>
    <row r="41">
      <c r="A41" s="37" t="inlineStr">
        <is>
          <t>#</t>
        </is>
      </c>
      <c r="B41" s="37" t="inlineStr">
        <is>
          <t>Wymaganie</t>
        </is>
      </c>
      <c r="C41" s="37" t="inlineStr">
        <is>
          <t>Odniesienie RTS</t>
        </is>
      </c>
      <c r="D41" s="37" t="inlineStr">
        <is>
          <t>Dostawca A</t>
        </is>
      </c>
      <c r="E41" s="37" t="inlineStr">
        <is>
          <t>Dostawca B</t>
        </is>
      </c>
      <c r="F41" s="37" t="inlineStr">
        <is>
          <t>Dostawca C</t>
        </is>
      </c>
      <c r="G41" s="54" t="n"/>
      <c r="H41" s="54" t="n"/>
      <c r="I41" s="54" t="n"/>
    </row>
    <row r="42">
      <c r="A42" s="39" t="inlineStr">
        <is>
          <t>M1</t>
        </is>
      </c>
      <c r="B42" s="40" t="inlineStr">
        <is>
          <t>Lider testów posiada minimum 5 lat doświadczenia w testach penetracyjnych i red team</t>
        </is>
      </c>
      <c r="C42" s="44" t="inlineStr">
        <is>
          <t>RTS Art. 7(1)(a); TIBER-EU Procurement 4.1</t>
        </is>
      </c>
      <c r="D42" s="55" t="n"/>
      <c r="E42" s="55" t="n"/>
      <c r="F42" s="55" t="n"/>
      <c r="G42" s="26" t="n"/>
      <c r="H42" s="26" t="n"/>
      <c r="I42" s="26" t="n"/>
    </row>
    <row r="43">
      <c r="A43" s="39" t="inlineStr">
        <is>
          <t>M2</t>
        </is>
      </c>
      <c r="B43" s="40" t="inlineStr">
        <is>
          <t>Co najmniej 2 dodatkowych członków zespołu z minimum 2-letnim doświadczeniem każdy</t>
        </is>
      </c>
      <c r="C43" s="44" t="inlineStr">
        <is>
          <t>RTS Art. 7(1)(a); TIBER-EU Procurement 4.1</t>
        </is>
      </c>
      <c r="D43" s="55" t="n"/>
      <c r="E43" s="55" t="n"/>
      <c r="F43" s="55" t="n"/>
      <c r="G43" s="26" t="n"/>
      <c r="H43" s="26" t="n"/>
      <c r="I43" s="26" t="n"/>
    </row>
    <row r="44">
      <c r="A44" s="39" t="inlineStr">
        <is>
          <t>M3</t>
        </is>
      </c>
      <c r="B44" s="40" t="inlineStr">
        <is>
          <t>Minimalna wielkość zespołu: 3 osoby z odpowiednią zdolnością zastępstwa</t>
        </is>
      </c>
      <c r="C44" s="44" t="inlineStr">
        <is>
          <t>TIBER-EU Procurement 4.1</t>
        </is>
      </c>
      <c r="D44" s="55" t="n"/>
      <c r="E44" s="55" t="n"/>
      <c r="F44" s="55" t="n"/>
      <c r="G44" s="26" t="n"/>
      <c r="H44" s="26" t="n"/>
      <c r="I44" s="26" t="n"/>
    </row>
    <row r="45">
      <c r="A45" s="39" t="inlineStr">
        <is>
          <t>M4</t>
        </is>
      </c>
      <c r="B45" s="40" t="inlineStr">
        <is>
          <t>Minimum 5 referencji klienckich z poprzednich zadań testów penetracyjnych/red team</t>
        </is>
      </c>
      <c r="C45" s="44" t="inlineStr">
        <is>
          <t>TIBER-EU Procurement 4.1</t>
        </is>
      </c>
      <c r="D45" s="55" t="n"/>
      <c r="E45" s="55" t="n"/>
      <c r="F45" s="55" t="n"/>
      <c r="G45" s="26" t="n"/>
      <c r="H45" s="26" t="n"/>
      <c r="I45" s="26" t="n"/>
    </row>
    <row r="46">
      <c r="A46" s="39" t="inlineStr">
        <is>
          <t>M5</t>
        </is>
      </c>
      <c r="B46" s="40" t="inlineStr">
        <is>
          <t>Trzech kluczowych członków zespołu ma łącznie minimum 5 poprzednich zadań testów penetracyjnych/red team</t>
        </is>
      </c>
      <c r="C46" s="44" t="inlineStr">
        <is>
          <t>TIBER-EU Procurement 4.1</t>
        </is>
      </c>
      <c r="D46" s="55" t="n"/>
      <c r="E46" s="55" t="n"/>
      <c r="F46" s="55" t="n"/>
      <c r="G46" s="26" t="n"/>
      <c r="H46" s="26" t="n"/>
      <c r="I46" s="26" t="n"/>
    </row>
    <row r="47">
      <c r="A47" s="39" t="inlineStr">
        <is>
          <t>M6</t>
        </is>
      </c>
      <c r="B47" s="40" t="inlineStr">
        <is>
          <t>Ubezpieczenie odpowiedzialności zawodowej pokrywające niedozwolone działania i zaniedbania</t>
        </is>
      </c>
      <c r="C47" s="44" t="inlineStr">
        <is>
          <t>DORA Art. 27(1)(e); RTS Art. 7(1)(b)</t>
        </is>
      </c>
      <c r="D47" s="55" t="n"/>
      <c r="E47" s="55" t="n"/>
      <c r="F47" s="55" t="n"/>
      <c r="G47" s="26" t="n"/>
      <c r="H47" s="26" t="n"/>
      <c r="I47" s="26" t="n"/>
    </row>
    <row r="48">
      <c r="A48" s="39" t="inlineStr">
        <is>
          <t>M7</t>
        </is>
      </c>
      <c r="B48" s="40" t="inlineStr">
        <is>
          <t>Certyfikaty zgodne z uznanymi standardami rynkowymi</t>
        </is>
      </c>
      <c r="C48" s="44" t="inlineStr">
        <is>
          <t>DORA Art. 27(1)(c); RTS Art. 7(1)(b)</t>
        </is>
      </c>
      <c r="D48" s="55" t="n"/>
      <c r="E48" s="55" t="n"/>
      <c r="F48" s="55" t="n"/>
      <c r="G48" s="26" t="n"/>
      <c r="H48" s="26" t="n"/>
      <c r="I48" s="26" t="n"/>
    </row>
    <row r="49">
      <c r="A49" s="39" t="inlineStr">
        <is>
          <t>M8</t>
        </is>
      </c>
      <c r="B49" s="40" t="inlineStr">
        <is>
          <t>Brak konfliktu interesów z podmiotem finansowym lub dostawcami ICT w zakresie</t>
        </is>
      </c>
      <c r="C49" s="44" t="inlineStr">
        <is>
          <t>RTS Art. 7(1)(d); TIBER-EU Procurement 4.1</t>
        </is>
      </c>
      <c r="D49" s="55" t="n"/>
      <c r="E49" s="55" t="n"/>
      <c r="F49" s="55" t="n"/>
      <c r="G49" s="26" t="n"/>
      <c r="H49" s="26" t="n"/>
      <c r="I49" s="26" t="n"/>
    </row>
    <row r="50">
      <c r="A50" s="39" t="inlineStr">
        <is>
          <t>M9</t>
        </is>
      </c>
      <c r="B50" s="40" t="inlineStr">
        <is>
          <t>Brak jednoczesnego wykonywania zadań blue team / bezpieczeństwa defensywnego dla podmiotu</t>
        </is>
      </c>
      <c r="C50" s="44" t="inlineStr">
        <is>
          <t>TIBER-EU Procurement 4.1</t>
        </is>
      </c>
      <c r="D50" s="55" t="n"/>
      <c r="E50" s="55" t="n"/>
      <c r="F50" s="55" t="n"/>
      <c r="G50" s="26" t="n"/>
      <c r="H50" s="26" t="n"/>
      <c r="I50" s="26" t="n"/>
    </row>
    <row r="51">
      <c r="A51" s="39" t="inlineStr">
        <is>
          <t>M10</t>
        </is>
      </c>
      <c r="B51" s="40" t="inlineStr">
        <is>
          <t>Jeśli ta sama firma dostarcza TI i RT: zespół RT jest oddzielony od personelu TI</t>
        </is>
      </c>
      <c r="C51" s="44" t="inlineStr">
        <is>
          <t>RTS Art. 7(1)(d); TIBER-EU Procurement 4.1</t>
        </is>
      </c>
      <c r="D51" s="55" t="n"/>
      <c r="E51" s="55" t="n"/>
      <c r="F51" s="55" t="n"/>
      <c r="G51" s="26" t="n"/>
      <c r="H51" s="26" t="n"/>
      <c r="I51" s="26" t="n"/>
    </row>
    <row r="52">
      <c r="A52" s="39" t="inlineStr">
        <is>
          <t>M11</t>
        </is>
      </c>
      <c r="B52" s="40" t="inlineStr">
        <is>
          <t>Dostarczone aktualne CV wszystkich proponowanych członków zespołu</t>
        </is>
      </c>
      <c r="C52" s="44" t="inlineStr">
        <is>
          <t>RTS Art. 7(1)(b); TIBER-EU Procurement 4.1</t>
        </is>
      </c>
      <c r="D52" s="55" t="n"/>
      <c r="E52" s="55" t="n"/>
      <c r="F52" s="55" t="n"/>
      <c r="G52" s="26" t="n"/>
      <c r="H52" s="26" t="n"/>
      <c r="I52" s="26" t="n"/>
    </row>
    <row r="53">
      <c r="A53" s="39" t="inlineStr">
        <is>
          <t>M12</t>
        </is>
      </c>
      <c r="B53" s="40" t="inlineStr">
        <is>
          <t>Dostawca może dostarczyć niezależne zapewnienie lub raport audytowy dot. zarządzania ryzykiem TLPT</t>
        </is>
      </c>
      <c r="C53" s="44" t="inlineStr">
        <is>
          <t>DORA Art. 27(1)(d)</t>
        </is>
      </c>
      <c r="D53" s="55" t="n"/>
      <c r="E53" s="55" t="n"/>
      <c r="F53" s="55" t="n"/>
      <c r="G53" s="26" t="n"/>
      <c r="H53" s="26" t="n"/>
      <c r="I53" s="26" t="n"/>
    </row>
    <row r="54">
      <c r="A54" s="39" t="inlineStr">
        <is>
          <t>M13</t>
        </is>
      </c>
      <c r="B54" s="40" t="inlineStr">
        <is>
          <t>Dostawca jest zewnętrzny (lub użycie wewnętrzne zatwierdzone przez organ TLPT wg art. 15 RTS)</t>
        </is>
      </c>
      <c r="C54" s="44" t="inlineStr">
        <is>
          <t>DORA Art. 26(8); RTS Art. 15</t>
        </is>
      </c>
      <c r="D54" s="55" t="n"/>
      <c r="E54" s="55" t="n"/>
      <c r="F54" s="55" t="n"/>
      <c r="G54" s="26" t="n"/>
      <c r="H54" s="26" t="n"/>
      <c r="I54" s="26" t="n"/>
    </row>
    <row r="55">
      <c r="A55" s="26" t="n"/>
      <c r="B55" s="56" t="inlineStr">
        <is>
          <t>WYNIK:</t>
        </is>
      </c>
      <c r="C55" s="26" t="n"/>
      <c r="D55" s="57">
        <f>IF(COUNTIF(D42:D54,"No")&gt;0,"FAIL","PASS")</f>
        <v/>
      </c>
      <c r="E55" s="57">
        <f>IF(COUNTIF(E42:E54,"No")&gt;0,"FAIL","PASS")</f>
        <v/>
      </c>
      <c r="F55" s="57">
        <f>IF(COUNTIF(F42:F54,"No")&gt;0,"FAIL","PASS")</f>
        <v/>
      </c>
      <c r="G55" s="26" t="n"/>
      <c r="H55" s="26" t="n"/>
      <c r="I55" s="26" t="n"/>
    </row>
    <row r="57">
      <c r="A57" s="53" t="inlineStr">
        <is>
          <t>Część B: Ocena ważona</t>
        </is>
      </c>
    </row>
    <row r="58">
      <c r="A58" s="37" t="inlineStr">
        <is>
          <t>#</t>
        </is>
      </c>
      <c r="B58" s="37" t="inlineStr">
        <is>
          <t>Kryterium</t>
        </is>
      </c>
      <c r="C58" s="37" t="inlineStr">
        <is>
          <t>Waga</t>
        </is>
      </c>
      <c r="D58" s="37" t="inlineStr">
        <is>
          <t>Ocena A</t>
        </is>
      </c>
      <c r="E58" s="37" t="inlineStr">
        <is>
          <t>Ważona A</t>
        </is>
      </c>
      <c r="F58" s="37" t="inlineStr">
        <is>
          <t>Ocena B</t>
        </is>
      </c>
      <c r="G58" s="37" t="inlineStr">
        <is>
          <t>Ważona B</t>
        </is>
      </c>
      <c r="H58" s="37" t="inlineStr">
        <is>
          <t>Ocena C</t>
        </is>
      </c>
      <c r="I58" s="37" t="inlineStr">
        <is>
          <t>Ważona C</t>
        </is>
      </c>
    </row>
    <row r="59">
      <c r="A59" s="39" t="inlineStr">
        <is>
          <t>E1</t>
        </is>
      </c>
      <c r="B59" s="40" t="inlineStr">
        <is>
          <t>Historia publikacji CVE</t>
        </is>
      </c>
      <c r="C59" s="24" t="n">
        <v>3</v>
      </c>
      <c r="D59" s="55" t="n"/>
      <c r="E59" s="24">
        <f>IF(D59="","",C59*D59)</f>
        <v/>
      </c>
      <c r="F59" s="55" t="n"/>
      <c r="G59" s="24">
        <f>IF(F59="","",C59*F59)</f>
        <v/>
      </c>
      <c r="H59" s="55" t="n"/>
      <c r="I59" s="24">
        <f>IF(H59="","",C59*H59)</f>
        <v/>
      </c>
    </row>
    <row r="60">
      <c r="A60" s="39" t="inlineStr">
        <is>
          <t>E2</t>
        </is>
      </c>
      <c r="B60" s="40" t="inlineStr">
        <is>
          <t>Wcześniejsze doświadczenie w TLPT/TIBER</t>
        </is>
      </c>
      <c r="C60" s="24" t="n">
        <v>3</v>
      </c>
      <c r="D60" s="55" t="n"/>
      <c r="E60" s="24">
        <f>IF(D60="","",C60*D60)</f>
        <v/>
      </c>
      <c r="F60" s="55" t="n"/>
      <c r="G60" s="24">
        <f>IF(F60="","",C60*F60)</f>
        <v/>
      </c>
      <c r="H60" s="55" t="n"/>
      <c r="I60" s="24">
        <f>IF(H60="","",C60*H60)</f>
        <v/>
      </c>
    </row>
    <row r="61">
      <c r="A61" s="39" t="inlineStr">
        <is>
          <t>E3</t>
        </is>
      </c>
      <c r="B61" s="40" t="inlineStr">
        <is>
          <t>Doświadczenie w sektorze finansowym</t>
        </is>
      </c>
      <c r="C61" s="24" t="n">
        <v>3</v>
      </c>
      <c r="D61" s="55" t="n"/>
      <c r="E61" s="24">
        <f>IF(D61="","",C61*D61)</f>
        <v/>
      </c>
      <c r="F61" s="55" t="n"/>
      <c r="G61" s="24">
        <f>IF(F61="","",C61*F61)</f>
        <v/>
      </c>
      <c r="H61" s="55" t="n"/>
      <c r="I61" s="24">
        <f>IF(H61="","",C61*H61)</f>
        <v/>
      </c>
    </row>
    <row r="62">
      <c r="A62" s="39" t="inlineStr">
        <is>
          <t>E4</t>
        </is>
      </c>
      <c r="B62" s="40" t="inlineStr">
        <is>
          <t>Doświadczenie w testowaniu systemów produkcyjnych</t>
        </is>
      </c>
      <c r="C62" s="24" t="n">
        <v>3</v>
      </c>
      <c r="D62" s="55" t="n"/>
      <c r="E62" s="24">
        <f>IF(D62="","",C62*D62)</f>
        <v/>
      </c>
      <c r="F62" s="55" t="n"/>
      <c r="G62" s="24">
        <f>IF(F62="","",C62*F62)</f>
        <v/>
      </c>
      <c r="H62" s="55" t="n"/>
      <c r="I62" s="24">
        <f>IF(H62="","",C62*H62)</f>
        <v/>
      </c>
    </row>
    <row r="63">
      <c r="A63" s="39" t="inlineStr">
        <is>
          <t>E5</t>
        </is>
      </c>
      <c r="B63" s="40" t="inlineStr">
        <is>
          <t>Dojrzałość bezpieczeństwa operacyjnego</t>
        </is>
      </c>
      <c r="C63" s="24" t="n">
        <v>3</v>
      </c>
      <c r="D63" s="55" t="n"/>
      <c r="E63" s="24">
        <f>IF(D63="","",C63*D63)</f>
        <v/>
      </c>
      <c r="F63" s="55" t="n"/>
      <c r="G63" s="24">
        <f>IF(F63="","",C63*F63)</f>
        <v/>
      </c>
      <c r="H63" s="55" t="n"/>
      <c r="I63" s="24">
        <f>IF(H63="","",C63*H63)</f>
        <v/>
      </c>
    </row>
    <row r="64">
      <c r="A64" s="39" t="inlineStr">
        <is>
          <t>E6</t>
        </is>
      </c>
      <c r="B64" s="40" t="inlineStr">
        <is>
          <t>Procedury kill switch i zatrzymania</t>
        </is>
      </c>
      <c r="C64" s="24" t="n">
        <v>3</v>
      </c>
      <c r="D64" s="55" t="n"/>
      <c r="E64" s="24">
        <f>IF(D64="","",C64*D64)</f>
        <v/>
      </c>
      <c r="F64" s="55" t="n"/>
      <c r="G64" s="24">
        <f>IF(F64="","",C64*F64)</f>
        <v/>
      </c>
      <c r="H64" s="55" t="n"/>
      <c r="I64" s="24">
        <f>IF(H64="","",C64*H64)</f>
        <v/>
      </c>
    </row>
    <row r="65">
      <c r="A65" s="39" t="inlineStr">
        <is>
          <t>E7</t>
        </is>
      </c>
      <c r="B65" s="40" t="inlineStr">
        <is>
          <t>Zdolność omijania AV/EDR/XDR</t>
        </is>
      </c>
      <c r="C65" s="24" t="n">
        <v>3</v>
      </c>
      <c r="D65" s="55" t="n"/>
      <c r="E65" s="24">
        <f>IF(D65="","",C65*D65)</f>
        <v/>
      </c>
      <c r="F65" s="55" t="n"/>
      <c r="G65" s="24">
        <f>IF(F65="","",C65*F65)</f>
        <v/>
      </c>
      <c r="H65" s="55" t="n"/>
      <c r="I65" s="24">
        <f>IF(H65="","",C65*H65)</f>
        <v/>
      </c>
    </row>
    <row r="66">
      <c r="A66" s="39" t="inlineStr">
        <is>
          <t>E8</t>
        </is>
      </c>
      <c r="B66" s="40" t="inlineStr">
        <is>
          <t>Metodologia inżynierii społecznej</t>
        </is>
      </c>
      <c r="C66" s="24" t="n">
        <v>2</v>
      </c>
      <c r="D66" s="55" t="n"/>
      <c r="E66" s="24">
        <f>IF(D66="","",C66*D66)</f>
        <v/>
      </c>
      <c r="F66" s="55" t="n"/>
      <c r="G66" s="24">
        <f>IF(F66="","",C66*F66)</f>
        <v/>
      </c>
      <c r="H66" s="55" t="n"/>
      <c r="I66" s="24">
        <f>IF(H66="","",C66*H66)</f>
        <v/>
      </c>
    </row>
    <row r="67">
      <c r="A67" s="39" t="inlineStr">
        <is>
          <t>E9</t>
        </is>
      </c>
      <c r="B67" s="40" t="inlineStr">
        <is>
          <t>Zdolność testowania bezpieczeństwa fizycznego</t>
        </is>
      </c>
      <c r="C67" s="24" t="n">
        <v>2</v>
      </c>
      <c r="D67" s="55" t="n"/>
      <c r="E67" s="24">
        <f>IF(D67="","",C67*D67)</f>
        <v/>
      </c>
      <c r="F67" s="55" t="n"/>
      <c r="G67" s="24">
        <f>IF(F67="","",C67*F67)</f>
        <v/>
      </c>
      <c r="H67" s="55" t="n"/>
      <c r="I67" s="24">
        <f>IF(H67="","",C67*H67)</f>
        <v/>
      </c>
    </row>
    <row r="68">
      <c r="A68" s="39" t="inlineStr">
        <is>
          <t>E10</t>
        </is>
      </c>
      <c r="B68" s="40" t="inlineStr">
        <is>
          <t>Jakość raportów (poproś o zanonimizowaną próbkę)</t>
        </is>
      </c>
      <c r="C68" s="24" t="n">
        <v>3</v>
      </c>
      <c r="D68" s="55" t="n"/>
      <c r="E68" s="24">
        <f>IF(D68="","",C68*D68)</f>
        <v/>
      </c>
      <c r="F68" s="55" t="n"/>
      <c r="G68" s="24">
        <f>IF(F68="","",C68*F68)</f>
        <v/>
      </c>
      <c r="H68" s="55" t="n"/>
      <c r="I68" s="24">
        <f>IF(H68="","",C68*H68)</f>
        <v/>
      </c>
    </row>
    <row r="69">
      <c r="A69" s="39" t="inlineStr">
        <is>
          <t>E11</t>
        </is>
      </c>
      <c r="B69" s="40" t="inlineStr">
        <is>
          <t>Jakość komunikacji i raportowania tygodniowego</t>
        </is>
      </c>
      <c r="C69" s="24" t="n">
        <v>2</v>
      </c>
      <c r="D69" s="55" t="n"/>
      <c r="E69" s="24">
        <f>IF(D69="","",C69*D69)</f>
        <v/>
      </c>
      <c r="F69" s="55" t="n"/>
      <c r="G69" s="24">
        <f>IF(F69="","",C69*F69)</f>
        <v/>
      </c>
      <c r="H69" s="55" t="n"/>
      <c r="I69" s="24">
        <f>IF(H69="","",C69*H69)</f>
        <v/>
      </c>
    </row>
    <row r="70">
      <c r="A70" s="39" t="inlineStr">
        <is>
          <t>E12</t>
        </is>
      </c>
      <c r="B70" s="40" t="inlineStr">
        <is>
          <t>Głębokość zespołu i zdolność zastępstwa</t>
        </is>
      </c>
      <c r="C70" s="24" t="n">
        <v>2</v>
      </c>
      <c r="D70" s="55" t="n"/>
      <c r="E70" s="24">
        <f>IF(D70="","",C70*D70)</f>
        <v/>
      </c>
      <c r="F70" s="55" t="n"/>
      <c r="G70" s="24">
        <f>IF(F70="","",C70*F70)</f>
        <v/>
      </c>
      <c r="H70" s="55" t="n"/>
      <c r="I70" s="24">
        <f>IF(H70="","",C70*H70)</f>
        <v/>
      </c>
    </row>
    <row r="71">
      <c r="A71" s="39" t="inlineStr">
        <is>
          <t>E13</t>
        </is>
      </c>
      <c r="B71" s="40" t="inlineStr">
        <is>
          <t>ISO 27001 lub równoważny SZBI</t>
        </is>
      </c>
      <c r="C71" s="24" t="n">
        <v>2</v>
      </c>
      <c r="D71" s="55" t="n"/>
      <c r="E71" s="24">
        <f>IF(D71="","",C71*D71)</f>
        <v/>
      </c>
      <c r="F71" s="55" t="n"/>
      <c r="G71" s="24">
        <f>IF(F71="","",C71*F71)</f>
        <v/>
      </c>
      <c r="H71" s="55" t="n"/>
      <c r="I71" s="24">
        <f>IF(H71="","",C71*H71)</f>
        <v/>
      </c>
    </row>
    <row r="72">
      <c r="A72" s="39" t="inlineStr">
        <is>
          <t>E14</t>
        </is>
      </c>
      <c r="B72" s="40" t="inlineStr">
        <is>
          <t>Narzędzia dedykowane i infrastruktura C2</t>
        </is>
      </c>
      <c r="C72" s="24" t="n">
        <v>3</v>
      </c>
      <c r="D72" s="55" t="n"/>
      <c r="E72" s="24">
        <f>IF(D72="","",C72*D72)</f>
        <v/>
      </c>
      <c r="F72" s="55" t="n"/>
      <c r="G72" s="24">
        <f>IF(F72="","",C72*F72)</f>
        <v/>
      </c>
      <c r="H72" s="55" t="n"/>
      <c r="I72" s="24">
        <f>IF(H72="","",C72*H72)</f>
        <v/>
      </c>
    </row>
    <row r="73">
      <c r="A73" s="39" t="inlineStr">
        <is>
          <t>E15</t>
        </is>
      </c>
      <c r="B73" s="40" t="inlineStr">
        <is>
          <t>Współpraca z dostawcami TI</t>
        </is>
      </c>
      <c r="C73" s="24" t="n">
        <v>2</v>
      </c>
      <c r="D73" s="55" t="n"/>
      <c r="E73" s="24">
        <f>IF(D73="","",C73*D73)</f>
        <v/>
      </c>
      <c r="F73" s="55" t="n"/>
      <c r="G73" s="24">
        <f>IF(F73="","",C73*F73)</f>
        <v/>
      </c>
      <c r="H73" s="55" t="n"/>
      <c r="I73" s="24">
        <f>IF(H73="","",C73*H73)</f>
        <v/>
      </c>
    </row>
    <row r="74">
      <c r="A74" s="39" t="inlineStr">
        <is>
          <t>E16</t>
        </is>
      </c>
      <c r="B74" s="40" t="inlineStr">
        <is>
          <t>Rotacja dostawców (nie uczestniczył w poprzednim TLPT podmiotu)</t>
        </is>
      </c>
      <c r="C74" s="24" t="n">
        <v>1</v>
      </c>
      <c r="D74" s="55" t="n"/>
      <c r="E74" s="24">
        <f>IF(D74="","",C74*D74)</f>
        <v/>
      </c>
      <c r="F74" s="55" t="n"/>
      <c r="G74" s="24">
        <f>IF(F74="","",C74*F74)</f>
        <v/>
      </c>
      <c r="H74" s="55" t="n"/>
      <c r="I74" s="24">
        <f>IF(H74="","",C74*H74)</f>
        <v/>
      </c>
    </row>
    <row r="75">
      <c r="A75" s="39" t="inlineStr">
        <is>
          <t>E17</t>
        </is>
      </c>
      <c r="B75" s="40" t="inlineStr">
        <is>
          <t>Doświadczenie w procesie leg-up</t>
        </is>
      </c>
      <c r="C75" s="24" t="n">
        <v>2</v>
      </c>
      <c r="D75" s="55" t="n"/>
      <c r="E75" s="24">
        <f>IF(D75="","",C75*D75)</f>
        <v/>
      </c>
      <c r="F75" s="55" t="n"/>
      <c r="G75" s="24">
        <f>IF(F75="","",C75*F75)</f>
        <v/>
      </c>
      <c r="H75" s="55" t="n"/>
      <c r="I75" s="24">
        <f>IF(H75="","",C75*H75)</f>
        <v/>
      </c>
    </row>
    <row r="76">
      <c r="B76" s="56" t="inlineStr">
        <is>
          <t>RAZEM</t>
        </is>
      </c>
      <c r="E76" s="58">
        <f>SUM(E59:E75)</f>
        <v/>
      </c>
      <c r="G76" s="58">
        <f>SUM(G59:G75)</f>
        <v/>
      </c>
      <c r="I76" s="58">
        <f>SUM(I59:I75)</f>
        <v/>
      </c>
    </row>
    <row r="79">
      <c r="A79" s="36" t="inlineStr">
        <is>
          <t>OCENA KOMPETENCJI TECHNICZNYCH</t>
        </is>
      </c>
    </row>
    <row r="80">
      <c r="A80" s="37" t="inlineStr">
        <is>
          <t>#</t>
        </is>
      </c>
      <c r="B80" s="37" t="inlineStr">
        <is>
          <t>Obszar kompetencji</t>
        </is>
      </c>
      <c r="C80" s="37" t="inlineStr">
        <is>
          <t>Odniesienie TIBER-EU</t>
        </is>
      </c>
      <c r="D80" s="37" t="inlineStr">
        <is>
          <t>Dostawca A</t>
        </is>
      </c>
      <c r="E80" s="37" t="inlineStr">
        <is>
          <t>Dostawca B</t>
        </is>
      </c>
      <c r="F80" s="37" t="inlineStr">
        <is>
          <t>Dostawca C</t>
        </is>
      </c>
      <c r="G80" s="54" t="n"/>
      <c r="H80" s="54" t="n"/>
      <c r="I80" s="54" t="n"/>
    </row>
    <row r="81">
      <c r="A81" s="39" t="inlineStr">
        <is>
          <t>TC1</t>
        </is>
      </c>
      <c r="B81" s="40" t="inlineStr">
        <is>
          <t>Rozpoznanie w otwartych źródłach (OSINT)</t>
        </is>
      </c>
      <c r="C81" s="50" t="inlineStr">
        <is>
          <t>Procurement 4.2</t>
        </is>
      </c>
      <c r="D81" s="55" t="n"/>
      <c r="E81" s="55" t="n"/>
      <c r="F81" s="55" t="n"/>
      <c r="G81" s="26" t="n"/>
      <c r="H81" s="26" t="n"/>
      <c r="I81" s="26" t="n"/>
    </row>
    <row r="82">
      <c r="A82" s="39" t="inlineStr">
        <is>
          <t>TC2</t>
        </is>
      </c>
      <c r="B82" s="40" t="inlineStr">
        <is>
          <t>Opracowywanie eksploitów</t>
        </is>
      </c>
      <c r="C82" s="50" t="inlineStr">
        <is>
          <t>Procurement 4.2</t>
        </is>
      </c>
      <c r="D82" s="55" t="n"/>
      <c r="E82" s="55" t="n"/>
      <c r="F82" s="55" t="n"/>
      <c r="G82" s="26" t="n"/>
      <c r="H82" s="26" t="n"/>
      <c r="I82" s="26" t="n"/>
    </row>
    <row r="83">
      <c r="A83" s="39" t="inlineStr">
        <is>
          <t>TC3</t>
        </is>
      </c>
      <c r="B83" s="40" t="inlineStr">
        <is>
          <t>Tworzenie dedykowanego złośliwego oprogramowania</t>
        </is>
      </c>
      <c r="C83" s="50" t="inlineStr">
        <is>
          <t>Procurement 4.2</t>
        </is>
      </c>
      <c r="D83" s="55" t="n"/>
      <c r="E83" s="55" t="n"/>
      <c r="F83" s="55" t="n"/>
      <c r="G83" s="26" t="n"/>
      <c r="H83" s="26" t="n"/>
      <c r="I83" s="26" t="n"/>
    </row>
    <row r="84">
      <c r="A84" s="39" t="inlineStr">
        <is>
          <t>TC4</t>
        </is>
      </c>
      <c r="B84" s="40" t="inlineStr">
        <is>
          <t>Eksploitacja środowisk Active Directory</t>
        </is>
      </c>
      <c r="C84" s="50" t="inlineStr">
        <is>
          <t>Procurement 4.2</t>
        </is>
      </c>
      <c r="D84" s="55" t="n"/>
      <c r="E84" s="55" t="n"/>
      <c r="F84" s="55" t="n"/>
      <c r="G84" s="26" t="n"/>
      <c r="H84" s="26" t="n"/>
      <c r="I84" s="26" t="n"/>
    </row>
    <row r="85">
      <c r="A85" s="39" t="inlineStr">
        <is>
          <t>TC5</t>
        </is>
      </c>
      <c r="B85" s="40" t="inlineStr">
        <is>
          <t>Testy bezpieczeństwa fizycznego</t>
        </is>
      </c>
      <c r="C85" s="50" t="inlineStr">
        <is>
          <t>Procurement 4.2</t>
        </is>
      </c>
      <c r="D85" s="55" t="n"/>
      <c r="E85" s="55" t="n"/>
      <c r="F85" s="55" t="n"/>
      <c r="G85" s="26" t="n"/>
      <c r="H85" s="26" t="n"/>
      <c r="I85" s="26" t="n"/>
    </row>
    <row r="86">
      <c r="A86" s="39" t="inlineStr">
        <is>
          <t>TC6</t>
        </is>
      </c>
      <c r="B86" s="40" t="inlineStr">
        <is>
          <t>Ataki z użyciem urządzeń HID (Human Interface Device)</t>
        </is>
      </c>
      <c r="C86" s="50" t="inlineStr">
        <is>
          <t>Procurement 4.2</t>
        </is>
      </c>
      <c r="D86" s="55" t="n"/>
      <c r="E86" s="55" t="n"/>
      <c r="F86" s="55" t="n"/>
      <c r="G86" s="26" t="n"/>
      <c r="H86" s="26" t="n"/>
      <c r="I86" s="26" t="n"/>
    </row>
    <row r="87">
      <c r="A87" s="39" t="inlineStr">
        <is>
          <t>TC7</t>
        </is>
      </c>
      <c r="B87" s="40" t="inlineStr">
        <is>
          <t>Omijanie AV/EDR/NDR/XDR</t>
        </is>
      </c>
      <c r="C87" s="50" t="inlineStr">
        <is>
          <t>Procurement 4.2</t>
        </is>
      </c>
      <c r="D87" s="55" t="n"/>
      <c r="E87" s="55" t="n"/>
      <c r="F87" s="55" t="n"/>
      <c r="G87" s="26" t="n"/>
      <c r="H87" s="26" t="n"/>
      <c r="I87" s="26" t="n"/>
    </row>
    <row r="88">
      <c r="A88" s="39" t="inlineStr">
        <is>
          <t>TC8</t>
        </is>
      </c>
      <c r="B88" s="40" t="inlineStr">
        <is>
          <t>Omijanie zabezpieczeń poczty elektronicznej</t>
        </is>
      </c>
      <c r="C88" s="50" t="inlineStr">
        <is>
          <t>Procurement 4.2</t>
        </is>
      </c>
      <c r="D88" s="55" t="n"/>
      <c r="E88" s="55" t="n"/>
      <c r="F88" s="55" t="n"/>
      <c r="G88" s="26" t="n"/>
      <c r="H88" s="26" t="n"/>
      <c r="I88" s="26" t="n"/>
    </row>
    <row r="89">
      <c r="A89" s="39" t="inlineStr">
        <is>
          <t>TC9</t>
        </is>
      </c>
      <c r="B89" s="40" t="inlineStr">
        <is>
          <t>Omijanie bezpiecznych bramek webowych</t>
        </is>
      </c>
      <c r="C89" s="50" t="inlineStr">
        <is>
          <t>Procurement 4.2</t>
        </is>
      </c>
      <c r="D89" s="55" t="n"/>
      <c r="E89" s="55" t="n"/>
      <c r="F89" s="55" t="n"/>
      <c r="G89" s="26" t="n"/>
      <c r="H89" s="26" t="n"/>
      <c r="I89" s="26" t="n"/>
    </row>
    <row r="90">
      <c r="A90" s="39" t="inlineStr">
        <is>
          <t>TC10</t>
        </is>
      </c>
      <c r="B90" s="40" t="inlineStr">
        <is>
          <t>Omijanie rozwiązań antyphishingowych</t>
        </is>
      </c>
      <c r="C90" s="50" t="inlineStr">
        <is>
          <t>Procurement 4.2</t>
        </is>
      </c>
      <c r="D90" s="55" t="n"/>
      <c r="E90" s="55" t="n"/>
      <c r="F90" s="55" t="n"/>
      <c r="G90" s="26" t="n"/>
      <c r="H90" s="26" t="n"/>
      <c r="I90" s="26" t="n"/>
    </row>
    <row r="91">
      <c r="A91" s="39" t="inlineStr">
        <is>
          <t>TC11</t>
        </is>
      </c>
      <c r="B91" s="40" t="inlineStr">
        <is>
          <t>Testy penetracyjne Web/API/Mobile</t>
        </is>
      </c>
      <c r="C91" s="50" t="inlineStr">
        <is>
          <t>Procurement 4.2</t>
        </is>
      </c>
      <c r="D91" s="55" t="n"/>
      <c r="E91" s="55" t="n"/>
      <c r="F91" s="55" t="n"/>
      <c r="G91" s="26" t="n"/>
      <c r="H91" s="26" t="n"/>
      <c r="I91" s="26" t="n"/>
    </row>
    <row r="92">
      <c r="A92" s="39" t="inlineStr">
        <is>
          <t>TC12</t>
        </is>
      </c>
      <c r="B92" s="40" t="inlineStr">
        <is>
          <t>Testy mainframe (jeśli dotyczy)</t>
        </is>
      </c>
      <c r="C92" s="50" t="inlineStr">
        <is>
          <t>Procurement 4.2</t>
        </is>
      </c>
      <c r="D92" s="55" t="n"/>
      <c r="E92" s="55" t="n"/>
      <c r="F92" s="55" t="n"/>
      <c r="G92" s="26" t="n"/>
      <c r="H92" s="26" t="n"/>
      <c r="I92" s="26" t="n"/>
    </row>
    <row r="93">
      <c r="A93" s="39" t="inlineStr">
        <is>
          <t>TC13</t>
        </is>
      </c>
      <c r="B93" s="40" t="inlineStr">
        <is>
          <t>Testy penetracyjne Wi-Fi</t>
        </is>
      </c>
      <c r="C93" s="50" t="inlineStr">
        <is>
          <t>Procurement 4.2</t>
        </is>
      </c>
      <c r="D93" s="55" t="n"/>
      <c r="E93" s="55" t="n"/>
      <c r="F93" s="55" t="n"/>
      <c r="G93" s="26" t="n"/>
      <c r="H93" s="26" t="n"/>
      <c r="I93" s="26" t="n"/>
    </row>
    <row r="94">
      <c r="A94" s="39" t="inlineStr">
        <is>
          <t>TC14</t>
        </is>
      </c>
      <c r="B94" s="40" t="inlineStr">
        <is>
          <t>Inżynieria społeczna</t>
        </is>
      </c>
      <c r="C94" s="50" t="inlineStr">
        <is>
          <t>Procurement 4.2</t>
        </is>
      </c>
      <c r="D94" s="55" t="n"/>
      <c r="E94" s="55" t="n"/>
      <c r="F94" s="55" t="n"/>
      <c r="G94" s="26" t="n"/>
      <c r="H94" s="26" t="n"/>
      <c r="I94" s="26" t="n"/>
    </row>
    <row r="95">
      <c r="A95" s="39" t="inlineStr">
        <is>
          <t>TC15</t>
        </is>
      </c>
      <c r="B95" s="40" t="inlineStr">
        <is>
          <t>Wiedza o reagowaniu na incydenty</t>
        </is>
      </c>
      <c r="C95" s="50" t="inlineStr">
        <is>
          <t>Procurement 4.2</t>
        </is>
      </c>
      <c r="D95" s="55" t="n"/>
      <c r="E95" s="55" t="n"/>
      <c r="F95" s="55" t="n"/>
      <c r="G95" s="26" t="n"/>
      <c r="H95" s="26" t="n"/>
      <c r="I95" s="26" t="n"/>
    </row>
    <row r="96">
      <c r="A96" s="39" t="inlineStr">
        <is>
          <t>TC16</t>
        </is>
      </c>
      <c r="B96" s="40" t="inlineStr">
        <is>
          <t>Tworzenie ofensywnych narzędzi bezpieczeństwa</t>
        </is>
      </c>
      <c r="C96" s="50" t="inlineStr">
        <is>
          <t>Procurement 4.2</t>
        </is>
      </c>
      <c r="D96" s="55" t="n"/>
      <c r="E96" s="55" t="n"/>
      <c r="F96" s="55" t="n"/>
      <c r="G96" s="26" t="n"/>
      <c r="H96" s="26" t="n"/>
      <c r="I96" s="26" t="n"/>
    </row>
  </sheetData>
  <sheetProtection selectLockedCells="0" selectUnlockedCells="0" sheet="1" objects="0" insertRows="1" insertHyperlinks="1" autoFilter="0" scenarios="0" formatColumns="0" deleteColumns="1" insertColumns="1" pivotTables="1" deleteRows="1" formatCells="1" formatRows="0" sort="0" password="CE4B"/>
  <mergeCells count="7">
    <mergeCell ref="A57:I57"/>
    <mergeCell ref="A19:I19"/>
    <mergeCell ref="A1:I1"/>
    <mergeCell ref="A40:I40"/>
    <mergeCell ref="A79:I79"/>
    <mergeCell ref="A3:I3"/>
    <mergeCell ref="A38:I38"/>
  </mergeCells>
  <conditionalFormatting sqref="D5:D16">
    <cfRule type="cellIs" priority="1" operator="equal" dxfId="1">
      <formula>"No"</formula>
    </cfRule>
  </conditionalFormatting>
  <conditionalFormatting sqref="E5:E16">
    <cfRule type="cellIs" priority="2" operator="equal" dxfId="1">
      <formula>"No"</formula>
    </cfRule>
  </conditionalFormatting>
  <conditionalFormatting sqref="F5:F16">
    <cfRule type="cellIs" priority="3" operator="equal" dxfId="1">
      <formula>"No"</formula>
    </cfRule>
  </conditionalFormatting>
  <conditionalFormatting sqref="D17">
    <cfRule type="cellIs" priority="4" operator="equal" dxfId="7">
      <formula>"FAIL"</formula>
    </cfRule>
    <cfRule type="cellIs" priority="5" operator="equal" dxfId="8">
      <formula>"PASS"</formula>
    </cfRule>
  </conditionalFormatting>
  <conditionalFormatting sqref="E17">
    <cfRule type="cellIs" priority="6" operator="equal" dxfId="7">
      <formula>"FAIL"</formula>
    </cfRule>
    <cfRule type="cellIs" priority="7" operator="equal" dxfId="8">
      <formula>"PASS"</formula>
    </cfRule>
  </conditionalFormatting>
  <conditionalFormatting sqref="F17">
    <cfRule type="cellIs" priority="8" operator="equal" dxfId="7">
      <formula>"FAIL"</formula>
    </cfRule>
    <cfRule type="cellIs" priority="9" operator="equal" dxfId="8">
      <formula>"PASS"</formula>
    </cfRule>
  </conditionalFormatting>
  <conditionalFormatting sqref="D42:D54">
    <cfRule type="cellIs" priority="10" operator="equal" dxfId="1">
      <formula>"No"</formula>
    </cfRule>
  </conditionalFormatting>
  <conditionalFormatting sqref="E42:E54">
    <cfRule type="cellIs" priority="11" operator="equal" dxfId="1">
      <formula>"No"</formula>
    </cfRule>
  </conditionalFormatting>
  <conditionalFormatting sqref="F42:F54">
    <cfRule type="cellIs" priority="12" operator="equal" dxfId="1">
      <formula>"No"</formula>
    </cfRule>
  </conditionalFormatting>
  <conditionalFormatting sqref="D55">
    <cfRule type="cellIs" priority="13" operator="equal" dxfId="7">
      <formula>"FAIL"</formula>
    </cfRule>
    <cfRule type="cellIs" priority="14" operator="equal" dxfId="8">
      <formula>"PASS"</formula>
    </cfRule>
  </conditionalFormatting>
  <conditionalFormatting sqref="E55">
    <cfRule type="cellIs" priority="15" operator="equal" dxfId="7">
      <formula>"FAIL"</formula>
    </cfRule>
    <cfRule type="cellIs" priority="16" operator="equal" dxfId="8">
      <formula>"PASS"</formula>
    </cfRule>
  </conditionalFormatting>
  <conditionalFormatting sqref="F55">
    <cfRule type="cellIs" priority="17" operator="equal" dxfId="7">
      <formula>"FAIL"</formula>
    </cfRule>
    <cfRule type="cellIs" priority="18" operator="equal" dxfId="8">
      <formula>"PASS"</formula>
    </cfRule>
  </conditionalFormatting>
  <conditionalFormatting sqref="D81:D96">
    <cfRule type="cellIs" priority="19" operator="equal" dxfId="3">
      <formula>"Strong"</formula>
    </cfRule>
    <cfRule type="cellIs" priority="20" operator="equal" dxfId="9">
      <formula>"Adequate"</formula>
    </cfRule>
    <cfRule type="cellIs" priority="21" operator="equal" dxfId="10">
      <formula>"Weak"</formula>
    </cfRule>
    <cfRule type="cellIs" priority="22" operator="equal" dxfId="1">
      <formula>"Not Demonstrated"</formula>
    </cfRule>
  </conditionalFormatting>
  <conditionalFormatting sqref="E81:E96">
    <cfRule type="cellIs" priority="23" operator="equal" dxfId="3">
      <formula>"Strong"</formula>
    </cfRule>
    <cfRule type="cellIs" priority="24" operator="equal" dxfId="9">
      <formula>"Adequate"</formula>
    </cfRule>
    <cfRule type="cellIs" priority="25" operator="equal" dxfId="10">
      <formula>"Weak"</formula>
    </cfRule>
    <cfRule type="cellIs" priority="26" operator="equal" dxfId="1">
      <formula>"Not Demonstrated"</formula>
    </cfRule>
  </conditionalFormatting>
  <conditionalFormatting sqref="F81:F96">
    <cfRule type="cellIs" priority="27" operator="equal" dxfId="3">
      <formula>"Strong"</formula>
    </cfRule>
    <cfRule type="cellIs" priority="28" operator="equal" dxfId="9">
      <formula>"Adequate"</formula>
    </cfRule>
    <cfRule type="cellIs" priority="29" operator="equal" dxfId="10">
      <formula>"Weak"</formula>
    </cfRule>
    <cfRule type="cellIs" priority="30" operator="equal" dxfId="1">
      <formula>"Not Demonstrated"</formula>
    </cfRule>
  </conditionalFormatting>
  <dataValidations count="3">
    <dataValidation sqref="D5 D6 D7 D8 D9 D10 D11 D12 D13 D14 D15 D16 D42 D43 D44 D45 D46 D47 D48 D49 D50 D51 D52 D53 D54 E5 E6 E7 E8 E9 E10 E11 E12 E13 E14 E15 E16 E42 E43 E44 E45 E46 E47 E48 E49 E50 E51 E52 E53 E54 F5 F6 F7 F8 F9 F10 F11 F12 F13 F14 F15 F16 F42 F43 F44 F45 F46 F47 F48 F49 F50 F51 F52 F53 F54" showDropDown="0" showInputMessage="0" showErrorMessage="0" allowBlank="1" error="Select Yes or No" type="list">
      <formula1>"Yes,No"</formula1>
    </dataValidation>
    <dataValidation sqref="D21 D22 D23 D24 D25 D26 D27 D28 D29 D30 D31 D32 D33 D34 D59 D60 D61 D62 D63 D64 D65 D66 D67 D68 D69 D70 D71 D72 D73 D74 D75 F21 F22 F23 F24 F25 F26 F27 F28 F29 F30 F31 F32 F33 F34 F59 F60 F61 F62 F63 F64 F65 F66 F67 F68 F69 F70 F71 F72 F73 F74 F75 H21 H22 H23 H24 H25 H26 H27 H28 H29 H30 H31 H32 H33 H34 H59 H60 H61 H62 H63 H64 H65 H66 H67 H68 H69 H70 H71 H72 H73 H74 H75" showDropDown="0" showInputMessage="0" showErrorMessage="0" allowBlank="1" error="Score 1-5" type="list">
      <formula1>"1,2,3,4,5"</formula1>
    </dataValidation>
    <dataValidation sqref="D81 D82 D83 D84 D85 D86 D87 D88 D89 D90 D91 D92 D93 D94 D95 D96 E81 E82 E83 E84 E85 E86 E87 E88 E89 E90 E91 E92 E93 E94 E95 E96 F81 F82 F83 F84 F85 F86 F87 F88 F89 F90 F91 F92 F93 F94 F95 F96" showDropDown="0" showInputMessage="0" showErrorMessage="0" allowBlank="1" error="Select: Strong, Adequate, Weak, Not Demonstrated" type="list">
      <formula1>"Strong,Adequate,Weak,Not Demonstrated"</formula1>
    </dataValidation>
  </dataValidations>
  <hyperlinks>
    <hyperlink xmlns:r="http://schemas.openxmlformats.org/officeDocument/2006/relationships" ref="C5" r:id="rId1"/>
    <hyperlink xmlns:r="http://schemas.openxmlformats.org/officeDocument/2006/relationships" ref="C6" r:id="rId2"/>
    <hyperlink xmlns:r="http://schemas.openxmlformats.org/officeDocument/2006/relationships" ref="C7" r:id="rId3"/>
    <hyperlink xmlns:r="http://schemas.openxmlformats.org/officeDocument/2006/relationships" ref="C8" r:id="rId4"/>
    <hyperlink xmlns:r="http://schemas.openxmlformats.org/officeDocument/2006/relationships" ref="C9" r:id="rId5"/>
    <hyperlink xmlns:r="http://schemas.openxmlformats.org/officeDocument/2006/relationships" ref="C10" r:id="rId6"/>
    <hyperlink xmlns:r="http://schemas.openxmlformats.org/officeDocument/2006/relationships" ref="C11" r:id="rId7"/>
    <hyperlink xmlns:r="http://schemas.openxmlformats.org/officeDocument/2006/relationships" ref="C12" r:id="rId8"/>
    <hyperlink xmlns:r="http://schemas.openxmlformats.org/officeDocument/2006/relationships" ref="C13" r:id="rId9"/>
    <hyperlink xmlns:r="http://schemas.openxmlformats.org/officeDocument/2006/relationships" ref="C14" r:id="rId10"/>
    <hyperlink xmlns:r="http://schemas.openxmlformats.org/officeDocument/2006/relationships" ref="C15" r:id="rId11"/>
    <hyperlink xmlns:r="http://schemas.openxmlformats.org/officeDocument/2006/relationships" ref="C16" r:id="rId12"/>
    <hyperlink xmlns:r="http://schemas.openxmlformats.org/officeDocument/2006/relationships" ref="C42" r:id="rId13"/>
    <hyperlink xmlns:r="http://schemas.openxmlformats.org/officeDocument/2006/relationships" ref="C43" r:id="rId14"/>
    <hyperlink xmlns:r="http://schemas.openxmlformats.org/officeDocument/2006/relationships" ref="C44" r:id="rId15"/>
    <hyperlink xmlns:r="http://schemas.openxmlformats.org/officeDocument/2006/relationships" ref="C45" r:id="rId16"/>
    <hyperlink xmlns:r="http://schemas.openxmlformats.org/officeDocument/2006/relationships" ref="C46" r:id="rId17"/>
    <hyperlink xmlns:r="http://schemas.openxmlformats.org/officeDocument/2006/relationships" ref="C47" r:id="rId18"/>
    <hyperlink xmlns:r="http://schemas.openxmlformats.org/officeDocument/2006/relationships" ref="C48" r:id="rId19"/>
    <hyperlink xmlns:r="http://schemas.openxmlformats.org/officeDocument/2006/relationships" ref="C49" r:id="rId20"/>
    <hyperlink xmlns:r="http://schemas.openxmlformats.org/officeDocument/2006/relationships" ref="C50" r:id="rId21"/>
    <hyperlink xmlns:r="http://schemas.openxmlformats.org/officeDocument/2006/relationships" ref="C51" r:id="rId22"/>
    <hyperlink xmlns:r="http://schemas.openxmlformats.org/officeDocument/2006/relationships" ref="C52" r:id="rId23"/>
    <hyperlink xmlns:r="http://schemas.openxmlformats.org/officeDocument/2006/relationships" ref="C53" r:id="rId24"/>
    <hyperlink xmlns:r="http://schemas.openxmlformats.org/officeDocument/2006/relationships" ref="C54" r:id="rId25"/>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13.xml><?xml version="1.0" encoding="utf-8"?>
<worksheet xmlns="http://schemas.openxmlformats.org/spreadsheetml/2006/main">
  <sheetPr>
    <tabColor rgb="00DA250D"/>
    <outlinePr summaryBelow="1" summaryRight="1"/>
    <pageSetUpPr fitToPage="1"/>
  </sheetPr>
  <dimension ref="A1:U35"/>
  <sheetViews>
    <sheetView workbookViewId="0">
      <pane xSplit="2" ySplit="2" topLeftCell="C3" activePane="bottomRight" state="frozen"/>
      <selection pane="topRight" activeCell="A1" sqref="A1"/>
      <selection pane="bottomLeft" activeCell="A1" sqref="A1"/>
      <selection pane="bottomRight" activeCell="A1" sqref="A1"/>
    </sheetView>
  </sheetViews>
  <sheetFormatPr baseColWidth="8" defaultRowHeight="15"/>
  <cols>
    <col width="8" customWidth="1" min="1" max="1"/>
    <col width="45" customWidth="1" min="2" max="2"/>
    <col width="14" customWidth="1" min="3" max="3"/>
    <col width="10" customWidth="1" min="4" max="4"/>
    <col width="10" customWidth="1" min="5" max="5"/>
    <col width="10" customWidth="1" min="6" max="6"/>
    <col width="10" customWidth="1" min="7" max="7"/>
    <col width="45" customWidth="1" min="8" max="8"/>
    <col width="10" customWidth="1" min="9" max="9"/>
    <col width="10" customWidth="1" min="10" max="10"/>
    <col width="10" customWidth="1" min="11" max="11"/>
    <col width="10" customWidth="1" min="12" max="12"/>
    <col width="18" customWidth="1" min="13" max="13"/>
    <col width="12" customWidth="1" min="14" max="14"/>
  </cols>
  <sheetData>
    <row r="1">
      <c r="A1" s="36" t="inlineStr">
        <is>
          <t>REJESTR RYZYK TLPT (Art. 5 RTS)</t>
        </is>
      </c>
    </row>
    <row r="2">
      <c r="A2" s="37" t="inlineStr">
        <is>
          <t>ID ryzyka</t>
        </is>
      </c>
      <c r="B2" s="37" t="inlineStr">
        <is>
          <t>Opis</t>
        </is>
      </c>
      <c r="C2" s="37" t="inlineStr">
        <is>
          <t>Kategoria</t>
        </is>
      </c>
      <c r="D2" s="37" t="inlineStr">
        <is>
          <t>Prawdopodobieństwo</t>
        </is>
      </c>
      <c r="E2" s="37" t="inlineStr">
        <is>
          <t>Wpływ</t>
        </is>
      </c>
      <c r="F2" s="37" t="inlineStr">
        <is>
          <t>Wynik ryzyka</t>
        </is>
      </c>
      <c r="G2" s="37" t="inlineStr">
        <is>
          <t>Poziom ryzyka</t>
        </is>
      </c>
      <c r="H2" s="37" t="inlineStr">
        <is>
          <t>Środki mitygacji</t>
        </is>
      </c>
      <c r="I2" s="37" t="inlineStr">
        <is>
          <t>Rez. P</t>
        </is>
      </c>
      <c r="J2" s="37" t="inlineStr">
        <is>
          <t>Rez. W</t>
        </is>
      </c>
      <c r="K2" s="37" t="inlineStr">
        <is>
          <t>Rez. wynik</t>
        </is>
      </c>
      <c r="L2" s="37" t="inlineStr">
        <is>
          <t>Rez. poziom</t>
        </is>
      </c>
      <c r="M2" s="37" t="inlineStr">
        <is>
          <t>Właściciel</t>
        </is>
      </c>
      <c r="N2" s="37" t="inlineStr">
        <is>
          <t>Status</t>
        </is>
      </c>
    </row>
    <row r="3">
      <c r="A3" s="24" t="inlineStr">
        <is>
          <t>R-01</t>
        </is>
      </c>
      <c r="B3" s="40" t="inlineStr">
        <is>
          <t>Exploit lub narzędzie red team powoduje niezamierzoną odmowę usługi na produkcyjnym systemie wspierającym funkcję krytyczną</t>
        </is>
      </c>
      <c r="C3" s="35" t="inlineStr">
        <is>
          <t>Operacyjne</t>
        </is>
      </c>
      <c r="D3" s="35" t="n">
        <v>3</v>
      </c>
      <c r="E3" s="35" t="n">
        <v>5</v>
      </c>
      <c r="F3" s="24">
        <f>IF(OR(D3="",E3=""),"",D3*E3)</f>
        <v/>
      </c>
      <c r="G3" s="24">
        <f>IF(F3="","",IF(F3&gt;=16,"Critical",IF(F3&gt;=10,"High",IF(F3&gt;=5,"Medium","Low"))))</f>
        <v/>
      </c>
      <c r="H3" s="59" t="inlineStr">
        <is>
          <t>(1) Red team test plan must identify high-availability systems and define restricted TTPs for those targets (RTS Art. 11, Annex IV). (2) Kill switch protocol: CTL can suspend testing within 15 minutes of any production impact report. (3) Red team must test exploits against staging/lab replicas before executing on production where feasible. (4) Weekly progress reports must include a "production impact" section. (5) Testers carry professional indemnity insurance (RTS Art. 7).</t>
        </is>
      </c>
      <c r="I3" s="35" t="n">
        <v>2</v>
      </c>
      <c r="J3" s="35" t="n">
        <v>4</v>
      </c>
      <c r="K3" s="24">
        <f>IF(OR(I3="",J3=""),"",I3*J3)</f>
        <v/>
      </c>
      <c r="L3" s="24">
        <f>IF(K3="","",IF(K3&gt;=16,"Critical",IF(K3&gt;=10,"High",IF(K3&gt;=5,"Medium","Low"))))</f>
        <v/>
      </c>
      <c r="M3" s="45" t="inlineStr">
        <is>
          <t>CTL + lider testów red team</t>
        </is>
      </c>
      <c r="N3" s="35" t="inlineStr">
        <is>
          <t>Open</t>
        </is>
      </c>
    </row>
    <row r="4">
      <c r="A4" s="19" t="inlineStr">
        <is>
          <t>R-02</t>
        </is>
      </c>
      <c r="B4" s="60" t="inlineStr">
        <is>
          <t>Mechanizmy persystencji red team (implanty, zaplanowane zadania, modyfikacje rejestru) nie zostają w pełni usunięte po zakończeniu testów</t>
        </is>
      </c>
      <c r="C4" s="61" t="inlineStr">
        <is>
          <t>Operacyjne</t>
        </is>
      </c>
      <c r="D4" s="61" t="n">
        <v>4</v>
      </c>
      <c r="E4" s="61" t="n">
        <v>4</v>
      </c>
      <c r="F4" s="19">
        <f>IF(OR(D4="",E4=""),"",D4*E4)</f>
        <v/>
      </c>
      <c r="G4" s="19">
        <f>IF(F4="","",IF(F4&gt;=16,"Critical",IF(F4&gt;=10,"High",IF(F4&gt;=5,"Medium","Low"))))</f>
        <v/>
      </c>
      <c r="H4" s="62" t="inlineStr">
        <is>
          <t>(1) Red team must maintain a real-time artifact log with system, path, type, and timestamp for every persistence mechanism deployed. (2) Post-test cleanup checklist signed off jointly by red team lead and CTL. (3) Blue team receives full artifact list during closure phase and independently verifies removal. (4) Contract must specify restoration obligations and timelines (RTS Art. 7). (5) Automated sweep of known artifact indicators 2 weeks post-cleanup.</t>
        </is>
      </c>
      <c r="I4" s="61" t="n">
        <v>2</v>
      </c>
      <c r="J4" s="61" t="n">
        <v>3</v>
      </c>
      <c r="K4" s="19">
        <f>IF(OR(I4="",J4=""),"",I4*J4)</f>
        <v/>
      </c>
      <c r="L4" s="19">
        <f>IF(K4="","",IF(K4&gt;=16,"Critical",IF(K4&gt;=10,"High",IF(K4&gt;=5,"Medium","Low"))))</f>
        <v/>
      </c>
      <c r="M4" s="63" t="inlineStr">
        <is>
          <t>Lider testów red team + CTL</t>
        </is>
      </c>
      <c r="N4" s="61" t="inlineStr">
        <is>
          <t>Open</t>
        </is>
      </c>
    </row>
    <row r="5">
      <c r="A5" s="24" t="inlineStr">
        <is>
          <t>R-03</t>
        </is>
      </c>
      <c r="B5" s="40" t="inlineStr">
        <is>
          <t>Testy red team wyzwalają automatyczne kontrole bezpieczeństwa (blokady WAF, blokady kont, bany IP, kwarantanna EDR), które degradują usługę dla uprawnionych użytkowników</t>
        </is>
      </c>
      <c r="C5" s="35" t="inlineStr">
        <is>
          <t>Operacyjne</t>
        </is>
      </c>
      <c r="D5" s="35" t="n">
        <v>4</v>
      </c>
      <c r="E5" s="35" t="n">
        <v>3</v>
      </c>
      <c r="F5" s="24">
        <f>IF(OR(D5="",E5=""),"",D5*E5)</f>
        <v/>
      </c>
      <c r="G5" s="24">
        <f>IF(F5="","",IF(F5&gt;=16,"Critical",IF(F5&gt;=10,"High",IF(F5&gt;=5,"Medium","Low"))))</f>
        <v/>
      </c>
      <c r="H5" s="59" t="inlineStr">
        <is>
          <t>(1) CTL pre-identifies automated response mechanisms on in-scope systems and briefs red team. (2) Red team schedules high-impact scanning and brute-force activities outside peak business hours where possible. (3) CTL has pre-authorized procedure to silently release blocks without alerting blue team (continuation measures per Art. 11(9)). (4) Account lockout thresholds documented in red team test plan.</t>
        </is>
      </c>
      <c r="I5" s="35" t="n">
        <v>3</v>
      </c>
      <c r="J5" s="35" t="n">
        <v>2</v>
      </c>
      <c r="K5" s="24">
        <f>IF(OR(I5="",J5=""),"",I5*J5)</f>
        <v/>
      </c>
      <c r="L5" s="24">
        <f>IF(K5="","",IF(K5&gt;=16,"Critical",IF(K5&gt;=10,"High",IF(K5&gt;=5,"Medium","Low"))))</f>
        <v/>
      </c>
      <c r="M5" s="45" t="inlineStr">
        <is>
          <t>CTL</t>
        </is>
      </c>
      <c r="N5" s="35" t="inlineStr">
        <is>
          <t>Open</t>
        </is>
      </c>
    </row>
    <row r="6">
      <c r="A6" s="19" t="inlineStr">
        <is>
          <t>R-04</t>
        </is>
      </c>
      <c r="B6" s="60" t="inlineStr">
        <is>
          <t>Red team uzyskuje dostęp do danych osobowych (PII), danych kart płatniczych lub dokumentacji finansowej klientów podczas ruchu lateralnego</t>
        </is>
      </c>
      <c r="C6" s="61" t="inlineStr">
        <is>
          <t>Poufność</t>
        </is>
      </c>
      <c r="D6" s="61" t="n">
        <v>4</v>
      </c>
      <c r="E6" s="61" t="n">
        <v>4</v>
      </c>
      <c r="F6" s="19">
        <f>IF(OR(D6="",E6=""),"",D6*E6)</f>
        <v/>
      </c>
      <c r="G6" s="19">
        <f>IF(F6="","",IF(F6&gt;=16,"Critical",IF(F6&gt;=10,"High",IF(F6&gt;=5,"Medium","Low"))))</f>
        <v/>
      </c>
      <c r="H6" s="62" t="inlineStr">
        <is>
          <t>(1) Red team test plan defines data handling rules: screenshot sensitive data rather than exfiltrate; redact PII in screenshots within 24 hours; never copy bulk customer databases. (2) Contract specifies data categories testers may and may not retain (DORA Art. 27(3)). (3) All tester workstations use full-disk encryption. (4) Data destruction protocol with written confirmation within 30 days of test closure. (5) CTL reviews weekly reports for unintended data access.</t>
        </is>
      </c>
      <c r="I6" s="61" t="n">
        <v>3</v>
      </c>
      <c r="J6" s="61" t="n">
        <v>3</v>
      </c>
      <c r="K6" s="19">
        <f>IF(OR(I6="",J6=""),"",I6*J6)</f>
        <v/>
      </c>
      <c r="L6" s="19">
        <f>IF(K6="","",IF(K6&gt;=16,"Critical",IF(K6&gt;=10,"High",IF(K6&gt;=5,"Medium","Low"))))</f>
        <v/>
      </c>
      <c r="M6" s="63" t="inlineStr">
        <is>
          <t>CTL + dział prawny</t>
        </is>
      </c>
      <c r="N6" s="61" t="inlineStr">
        <is>
          <t>Open</t>
        </is>
      </c>
    </row>
    <row r="7">
      <c r="A7" s="24" t="inlineStr">
        <is>
          <t>R-05</t>
        </is>
      </c>
      <c r="B7" s="40" t="inlineStr">
        <is>
          <t>Rozpoznanie celu przez dostawcę TI (OSINT, monitoring dark web, wyszukiwanie danych uwierzytelniających) nieumyślnie ujawnia</t>
        </is>
      </c>
      <c r="C7" s="35" t="inlineStr">
        <is>
          <t>Poufność</t>
        </is>
      </c>
      <c r="D7" s="35" t="n">
        <v>2</v>
      </c>
      <c r="E7" s="35" t="n">
        <v>3</v>
      </c>
      <c r="F7" s="24">
        <f>IF(OR(D7="",E7=""),"",D7*E7)</f>
        <v/>
      </c>
      <c r="G7" s="24">
        <f>IF(F7="","",IF(F7&gt;=16,"Critical",IF(F7&gt;=10,"High",IF(F7&gt;=5,"Medium","Low"))))</f>
        <v/>
      </c>
      <c r="H7" s="59" t="inlineStr">
        <is>
          <t>(1) TI provider must use passive reconnaissance techniques that cannot be attributed to the entity. (2) TI provider OPSEC requirements specified in contract. (3) No direct contact with entity employees outside control team during reconnaissance. (4) Code name used in all TI provider communications and deliverables (RTS Art. 4).</t>
        </is>
      </c>
      <c r="I7" s="35" t="n">
        <v>1</v>
      </c>
      <c r="J7" s="35" t="n">
        <v>3</v>
      </c>
      <c r="K7" s="24">
        <f>IF(OR(I7="",J7=""),"",I7*J7)</f>
        <v/>
      </c>
      <c r="L7" s="24">
        <f>IF(K7="","",IF(K7&gt;=16,"Critical",IF(K7&gt;=10,"High",IF(K7&gt;=5,"Medium","Low"))))</f>
        <v/>
      </c>
      <c r="M7" s="45" t="inlineStr">
        <is>
          <t>CTL + lider dostawcy TI</t>
        </is>
      </c>
      <c r="N7" s="35" t="inlineStr">
        <is>
          <t>Open</t>
        </is>
      </c>
    </row>
    <row r="8">
      <c r="A8" s="19" t="inlineStr">
        <is>
          <t>R-06</t>
        </is>
      </c>
      <c r="B8" s="60" t="inlineStr">
        <is>
          <t>Dokumentacja TLPT (TTIR, plan testów red team, raport z testów red team) zawierająca szczegółowe ścieżki ataków, podatności i wrażliwe informacje o infrastrukturze zostaje ujawniona</t>
        </is>
      </c>
      <c r="C8" s="61" t="inlineStr">
        <is>
          <t>Poufność</t>
        </is>
      </c>
      <c r="D8" s="61" t="n">
        <v>2</v>
      </c>
      <c r="E8" s="61" t="n">
        <v>5</v>
      </c>
      <c r="F8" s="19">
        <f>IF(OR(D8="",E8=""),"",D8*E8)</f>
        <v/>
      </c>
      <c r="G8" s="19">
        <f>IF(F8="","",IF(F8&gt;=16,"Critical",IF(F8&gt;=10,"High",IF(F8&gt;=5,"Medium","Low"))))</f>
        <v/>
      </c>
      <c r="H8" s="62" t="inlineStr">
        <is>
          <t>(1) All TLPT documents stored in secure, access-controlled data room with audit logging (RTS Art. 9(2)). (2) Encrypted communication channels only - no TLPT content via standard corporate email. (3) Document classification: all TLPT reports marked "Strictly Confidential" with named recipients. (4) Provider contracts include data handling, retention limits, and destruction obligations. (5) Access review: CTL verifies data room permissions monthly. (6) Provider staff sign individual NDAs.</t>
        </is>
      </c>
      <c r="I8" s="61" t="n">
        <v>1</v>
      </c>
      <c r="J8" s="61" t="n">
        <v>5</v>
      </c>
      <c r="K8" s="19">
        <f>IF(OR(I8="",J8=""),"",I8*J8)</f>
        <v/>
      </c>
      <c r="L8" s="19">
        <f>IF(K8="","",IF(K8&gt;=16,"Critical",IF(K8&gt;=10,"High",IF(K8&gt;=5,"Medium","Low"))))</f>
        <v/>
      </c>
      <c r="M8" s="63" t="inlineStr">
        <is>
          <t>CTL</t>
        </is>
      </c>
      <c r="N8" s="61" t="inlineStr">
        <is>
          <t>Open</t>
        </is>
      </c>
    </row>
    <row r="9">
      <c r="A9" s="24" t="inlineStr">
        <is>
          <t>R-07</t>
        </is>
      </c>
      <c r="B9" s="40" t="inlineStr">
        <is>
          <t>Scenariusze inżynierii społecznej (phishing, vishing, próby fizycznego dostępu) naruszają lokalne prawo pracy, przepisy o ochronie prywatności lub wewnętrzne polityki HR</t>
        </is>
      </c>
      <c r="C9" s="35" t="inlineStr">
        <is>
          <t>Zgodność</t>
        </is>
      </c>
      <c r="D9" s="35" t="n">
        <v>3</v>
      </c>
      <c r="E9" s="35" t="n">
        <v>4</v>
      </c>
      <c r="F9" s="24">
        <f>IF(OR(D9="",E9=""),"",D9*E9)</f>
        <v/>
      </c>
      <c r="G9" s="24">
        <f>IF(F9="","",IF(F9&gt;=16,"Critical",IF(F9&gt;=10,"High",IF(F9&gt;=5,"Medium","Low"))))</f>
        <v/>
      </c>
      <c r="H9" s="59" t="inlineStr">
        <is>
          <t>(1) Legal counsel reviews all social engineering scenarios in the red team test plan before approval, specifically for employment law and privacy compliance in each jurisdiction. (2) Red team test plan explicitly lists disallowed social engineering techniques (Annex IV(b)). (3) No recording of communications without prior legal clearance. (4) Employees who fall for social engineering are never disciplined - documented in HR policy before testing. (5) Physical social engineering boundaries clearly defined (no trespassing on non-entity premises).</t>
        </is>
      </c>
      <c r="I9" s="35" t="n">
        <v>2</v>
      </c>
      <c r="J9" s="35" t="n">
        <v>3</v>
      </c>
      <c r="K9" s="24">
        <f>IF(OR(I9="",J9=""),"",I9*J9)</f>
        <v/>
      </c>
      <c r="L9" s="24">
        <f>IF(K9="","",IF(K9&gt;=16,"Critical",IF(K9&gt;=10,"High",IF(K9&gt;=5,"Medium","Low"))))</f>
        <v/>
      </c>
      <c r="M9" s="45" t="inlineStr">
        <is>
          <t>Dział prawny + CTL</t>
        </is>
      </c>
      <c r="N9" s="35" t="inlineStr">
        <is>
          <t>Open</t>
        </is>
      </c>
    </row>
    <row r="10">
      <c r="A10" s="19" t="inlineStr">
        <is>
          <t>R-08</t>
        </is>
      </c>
      <c r="B10" s="60" t="inlineStr">
        <is>
          <t>Testy red team systemów zewnętrznych dostawców ICT przekraczają uprawnienia umowne przyznane w ramach istniejących umów serwisowych</t>
        </is>
      </c>
      <c r="C10" s="61" t="inlineStr">
        <is>
          <t>Zgodność</t>
        </is>
      </c>
      <c r="D10" s="61" t="n">
        <v>3</v>
      </c>
      <c r="E10" s="61" t="n">
        <v>5</v>
      </c>
      <c r="F10" s="19">
        <f>IF(OR(D10="",E10=""),"",D10*E10)</f>
        <v/>
      </c>
      <c r="G10" s="19">
        <f>IF(F10="","",IF(F10&gt;=16,"Critical",IF(F10&gt;=10,"High",IF(F10&gt;=5,"Medium","Low"))))</f>
        <v/>
      </c>
      <c r="H10" s="62" t="inlineStr">
        <is>
          <t>(1) Review all ICT provider contracts for DORA Art. 30(3)(d) cooperation clauses before scoping. (2) Amend contracts lacking TLPT cooperation provisions - do not include provider systems in scope until amendment is signed. (3) Written authorization from each provider specifying exactly which systems, networks, and TTPs are permitted. (4) Red team test plan includes per-provider scope boundaries. (5) Legal sign-off on scope specification document before submission to TLPT authority.</t>
        </is>
      </c>
      <c r="I10" s="61" t="n">
        <v>1</v>
      </c>
      <c r="J10" s="61" t="n">
        <v>4</v>
      </c>
      <c r="K10" s="19">
        <f>IF(OR(I10="",J10=""),"",I10*J10)</f>
        <v/>
      </c>
      <c r="L10" s="19">
        <f>IF(K10="","",IF(K10&gt;=16,"Critical",IF(K10&gt;=10,"High",IF(K10&gt;=5,"Medium","Low"))))</f>
        <v/>
      </c>
      <c r="M10" s="63" t="inlineStr">
        <is>
          <t>Dział prawny + zamówienia</t>
        </is>
      </c>
      <c r="N10" s="61" t="inlineStr">
        <is>
          <t>Open</t>
        </is>
      </c>
    </row>
    <row r="11">
      <c r="A11" s="24" t="inlineStr">
        <is>
          <t>R-09</t>
        </is>
      </c>
      <c r="B11" s="40" t="inlineStr">
        <is>
          <t>Ćwiczenie TLPT nie spełnia obowiązkowych wymogów RTS (np. mniej niż 3 scenariusze, testy aktywne krótsze niż 12 tygodni</t>
        </is>
      </c>
      <c r="C11" s="35" t="inlineStr">
        <is>
          <t>Zgodność</t>
        </is>
      </c>
      <c r="D11" s="35" t="n">
        <v>2</v>
      </c>
      <c r="E11" s="35" t="n">
        <v>4</v>
      </c>
      <c r="F11" s="24">
        <f>IF(OR(D11="",E11=""),"",D11*E11)</f>
        <v/>
      </c>
      <c r="G11" s="24">
        <f>IF(F11="","",IF(F11&gt;=16,"Critical",IF(F11&gt;=10,"High",IF(F11&gt;=5,"Medium","Low"))))</f>
        <v/>
      </c>
      <c r="H11" s="59" t="inlineStr">
        <is>
          <t>(1) CTL maintains a compliance checklist tracking all RTS mandatory requirements throughout the exercise. (2) Test managers consulted at each phase gate (preparation, TI, red team, closure) per RTS Art. 9(10). (3) Scope specification explicitly maps scenarios to mandatory coverage (availability, integrity, confidentiality) before TLPT authority approval. (4) Weekly progress reports include compliance milestone tracking. (5) Pre-submission review of all Annex deliverables against RTS requirements.</t>
        </is>
      </c>
      <c r="I11" s="35" t="n">
        <v>1</v>
      </c>
      <c r="J11" s="35" t="n">
        <v>4</v>
      </c>
      <c r="K11" s="24">
        <f>IF(OR(I11="",J11=""),"",I11*J11)</f>
        <v/>
      </c>
      <c r="L11" s="24">
        <f>IF(K11="","",IF(K11&gt;=16,"Critical",IF(K11&gt;=10,"High",IF(K11&gt;=5,"Medium","Low"))))</f>
        <v/>
      </c>
      <c r="M11" s="45" t="inlineStr">
        <is>
          <t>CTL</t>
        </is>
      </c>
      <c r="N11" s="35" t="inlineStr">
        <is>
          <t>Open</t>
        </is>
      </c>
    </row>
    <row r="12">
      <c r="A12" s="19" t="inlineStr">
        <is>
          <t>R-10</t>
        </is>
      </c>
      <c r="B12" s="60" t="inlineStr">
        <is>
          <t>Blue team wykrywa aktywność red team i eskaluje do pełnego reagowania na incydenty - aktywując CSIRT</t>
        </is>
      </c>
      <c r="C12" s="61" t="inlineStr">
        <is>
          <t>Reputacyjne</t>
        </is>
      </c>
      <c r="D12" s="61" t="n">
        <v>4</v>
      </c>
      <c r="E12" s="61" t="n">
        <v>4</v>
      </c>
      <c r="F12" s="19">
        <f>IF(OR(D12="",E12=""),"",D12*E12)</f>
        <v/>
      </c>
      <c r="G12" s="19">
        <f>IF(F12="","",IF(F12&gt;=16,"Critical",IF(F12&gt;=10,"High",IF(F12&gt;=5,"Medium","Low"))))</f>
        <v/>
      </c>
      <c r="H12" s="62" t="inlineStr">
        <is>
          <t>(1) CTL pre-defines an incident containment protocol: if blue team escalates, CTL intervenes before external notifications are made (within 1 hour). (2) CTL maintains a "break glass" authorization letter from the management body to immediately de-escalate. (3) Senior management outside control team who would receive incident notifications have a pre-agreed protocol (e.g., CFO or COO in the loop at "need to know" level). (4) After detection, CTL proposes continuation measures to test managers per Art. 11(9). (5) Red team OPSEC practices minimize detection signatures.</t>
        </is>
      </c>
      <c r="I12" s="61" t="n">
        <v>3</v>
      </c>
      <c r="J12" s="61" t="n">
        <v>2</v>
      </c>
      <c r="K12" s="19">
        <f>IF(OR(I12="",J12=""),"",I12*J12)</f>
        <v/>
      </c>
      <c r="L12" s="19">
        <f>IF(K12="","",IF(K12&gt;=16,"Critical",IF(K12&gt;=10,"High",IF(K12&gt;=5,"Medium","Low"))))</f>
        <v/>
      </c>
      <c r="M12" s="63" t="inlineStr">
        <is>
          <t>CTL + CISO</t>
        </is>
      </c>
      <c r="N12" s="61" t="inlineStr">
        <is>
          <t>Open</t>
        </is>
      </c>
    </row>
    <row r="13">
      <c r="A13" s="24" t="inlineStr">
        <is>
          <t>R-11</t>
        </is>
      </c>
      <c r="B13" s="40" t="inlineStr">
        <is>
          <t>Próba fizycznej inżynierii społecznej (tailgating, podszywanie się pod kuriera, USB drop) zostaje zaobserwowana przez pracowników podmiotu</t>
        </is>
      </c>
      <c r="C13" s="35" t="inlineStr">
        <is>
          <t>Reputacyjne</t>
        </is>
      </c>
      <c r="D13" s="35" t="n">
        <v>3</v>
      </c>
      <c r="E13" s="35" t="n">
        <v>3</v>
      </c>
      <c r="F13" s="24">
        <f>IF(OR(D13="",E13=""),"",D13*E13)</f>
        <v/>
      </c>
      <c r="G13" s="24">
        <f>IF(F13="","",IF(F13&gt;=16,"Critical",IF(F13&gt;=10,"High",IF(F13&gt;=5,"Medium","Low"))))</f>
        <v/>
      </c>
      <c r="H13" s="59" t="inlineStr">
        <is>
          <t>(1) Physical social engineering scenarios must define abort conditions (e.g., if confronted by security, tester identifies themselves to a pre-agreed contact). (2) CTL prepares cover stories for control team members to use if questioned (RTS Art. 4). (3) Red team carries a sealed "get out of jail" letter from the CTL, to be opened only if detained or confronted by law enforcement. (4) Physical testing scheduled during lower-traffic periods where feasible.</t>
        </is>
      </c>
      <c r="I13" s="35" t="n">
        <v>2</v>
      </c>
      <c r="J13" s="35" t="n">
        <v>2</v>
      </c>
      <c r="K13" s="24">
        <f>IF(OR(I13="",J13=""),"",I13*J13)</f>
        <v/>
      </c>
      <c r="L13" s="24">
        <f>IF(K13="","",IF(K13&gt;=16,"Critical",IF(K13&gt;=10,"High",IF(K13&gt;=5,"Medium","Low"))))</f>
        <v/>
      </c>
      <c r="M13" s="45" t="inlineStr">
        <is>
          <t>CTL</t>
        </is>
      </c>
      <c r="N13" s="35" t="inlineStr">
        <is>
          <t>Open</t>
        </is>
      </c>
    </row>
    <row r="14">
      <c r="A14" s="19" t="inlineStr">
        <is>
          <t>R-12</t>
        </is>
      </c>
      <c r="B14" s="60" t="inlineStr">
        <is>
          <t>E-maile phishingowe wysłane przez red team są zgłaszane przez pracowników do zewnętrznych serwisów antyphishingowych, dostawców zabezpieczeń poczty lub publicznych list blokad</t>
        </is>
      </c>
      <c r="C14" s="61" t="inlineStr">
        <is>
          <t>Reputacyjne</t>
        </is>
      </c>
      <c r="D14" s="61" t="n">
        <v>3</v>
      </c>
      <c r="E14" s="61" t="n">
        <v>3</v>
      </c>
      <c r="F14" s="19">
        <f>IF(OR(D14="",E14=""),"",D14*E14)</f>
        <v/>
      </c>
      <c r="G14" s="19">
        <f>IF(F14="","",IF(F14&gt;=16,"Critical",IF(F14&gt;=10,"High",IF(F14&gt;=5,"Medium","Low"))))</f>
        <v/>
      </c>
      <c r="H14" s="62" t="inlineStr">
        <is>
          <t>(1) Red team uses dedicated infrastructure (domains, IPs) not linked to the entity's production mail systems. (2) Phishing domains registered by the red team - not typosquats of the entity's primary domain. (3) CTL has a procedure to quickly delist domains if reported to blocklists. (4) Volume and timing of phishing campaigns controlled to avoid triggering mass reporting.</t>
        </is>
      </c>
      <c r="I14" s="61" t="n">
        <v>2</v>
      </c>
      <c r="J14" s="61" t="n">
        <v>2</v>
      </c>
      <c r="K14" s="19">
        <f>IF(OR(I14="",J14=""),"",I14*J14)</f>
        <v/>
      </c>
      <c r="L14" s="19">
        <f>IF(K14="","",IF(K14&gt;=16,"Critical",IF(K14&gt;=10,"High",IF(K14&gt;=5,"Medium","Low"))))</f>
        <v/>
      </c>
      <c r="M14" s="63" t="inlineStr">
        <is>
          <t>Lider testów red team + CTL</t>
        </is>
      </c>
      <c r="N14" s="61" t="inlineStr">
        <is>
          <t>Open</t>
        </is>
      </c>
    </row>
    <row r="15">
      <c r="A15" s="24" t="inlineStr">
        <is>
          <t>R-13</t>
        </is>
      </c>
      <c r="B15" s="40" t="inlineStr">
        <is>
          <t>Zewnętrzny dostawca ICT (dostawca chmury, dostawca core bankingu, procesor płatności) odmawia uczestnictwa w TLPT</t>
        </is>
      </c>
      <c r="C15" s="35" t="inlineStr">
        <is>
          <t>Strony trzecie</t>
        </is>
      </c>
      <c r="D15" s="35" t="n">
        <v>4</v>
      </c>
      <c r="E15" s="35" t="n">
        <v>4</v>
      </c>
      <c r="F15" s="24">
        <f>IF(OR(D15="",E15=""),"",D15*E15)</f>
        <v/>
      </c>
      <c r="G15" s="24">
        <f>IF(F15="","",IF(F15&gt;=16,"Critical",IF(F15&gt;=10,"High",IF(F15&gt;=5,"Medium","Low"))))</f>
        <v/>
      </c>
      <c r="H15" s="59" t="inlineStr">
        <is>
          <t>(1) Start provider engagement 6+ months before expected testing - this is the single most common delay in TLPT exercises. (2) Review all relevant contracts for DORA Art. 30(3)(d) cooperation clauses during governance setup phase. (3) Escalate non-cooperative providers to TLPT authority early - regulator pressure is often the only thing that moves large vendors. (4) Prepare fallback: if provider participation is impossible, document justification for scope exclusion or pooled testing arrangement (DORA Art. 26(4)). (5) Engage procurement and legal in parallel, not sequentially.</t>
        </is>
      </c>
      <c r="I15" s="35" t="n">
        <v>3</v>
      </c>
      <c r="J15" s="35" t="n">
        <v>3</v>
      </c>
      <c r="K15" s="24">
        <f>IF(OR(I15="",J15=""),"",I15*J15)</f>
        <v/>
      </c>
      <c r="L15" s="24">
        <f>IF(K15="","",IF(K15&gt;=16,"Critical",IF(K15&gt;=10,"High",IF(K15&gt;=5,"Medium","Low"))))</f>
        <v/>
      </c>
      <c r="M15" s="45" t="inlineStr">
        <is>
          <t>Zamówienia + dział prawny</t>
        </is>
      </c>
      <c r="N15" s="35" t="inlineStr">
        <is>
          <t>Open</t>
        </is>
      </c>
    </row>
    <row r="16">
      <c r="A16" s="19" t="inlineStr">
        <is>
          <t>R-14</t>
        </is>
      </c>
      <c r="B16" s="60" t="inlineStr">
        <is>
          <t>Personel red team lub dostawcy TI zachowuje kopie wrażliwych danych testowych (dane uwierzytelniające, schematy sieci, szczegóły podatności</t>
        </is>
      </c>
      <c r="C16" s="61" t="inlineStr">
        <is>
          <t>Strony trzecie</t>
        </is>
      </c>
      <c r="D16" s="61" t="n">
        <v>3</v>
      </c>
      <c r="E16" s="61" t="n">
        <v>4</v>
      </c>
      <c r="F16" s="19">
        <f>IF(OR(D16="",E16=""),"",D16*E16)</f>
        <v/>
      </c>
      <c r="G16" s="19">
        <f>IF(F16="","",IF(F16&gt;=16,"Critical",IF(F16&gt;=10,"High",IF(F16&gt;=5,"Medium","Low"))))</f>
        <v/>
      </c>
      <c r="H16" s="62" t="inlineStr">
        <is>
          <t>(1) Contract specifies data destruction timeline (within 30 days of test closure) with written confirmation from provider management. (2) Provider must use entity-provided secure infrastructure (VPN, data room) rather than storing data on provider-owned systems where possible. (3) Provider ISO 27001 certification or equivalent ISMS as a selection criterion (RTS Art. 7). (4) Right to audit clause in provider contract. (5) Destruction certificate listing all data types and storage locations.</t>
        </is>
      </c>
      <c r="I16" s="61" t="n">
        <v>2</v>
      </c>
      <c r="J16" s="61" t="n">
        <v>3</v>
      </c>
      <c r="K16" s="19">
        <f>IF(OR(I16="",J16=""),"",I16*J16)</f>
        <v/>
      </c>
      <c r="L16" s="19">
        <f>IF(K16="","",IF(K16&gt;=16,"Critical",IF(K16&gt;=10,"High",IF(K16&gt;=5,"Medium","Low"))))</f>
        <v/>
      </c>
      <c r="M16" s="63" t="inlineStr">
        <is>
          <t>CTL + zamówienia</t>
        </is>
      </c>
      <c r="N16" s="61" t="inlineStr">
        <is>
          <t>Open</t>
        </is>
      </c>
    </row>
    <row r="17">
      <c r="A17" s="24" t="inlineStr">
        <is>
          <t>R-15</t>
        </is>
      </c>
      <c r="B17" s="40" t="inlineStr">
        <is>
          <t>Kluczowy personel red team (lider testów lub specjalista z krytycznymi umiejętnościami jak testy mainframe czy tworzenie złośliwego oprogramowania) staje się niedostępny</t>
        </is>
      </c>
      <c r="C17" s="35" t="inlineStr">
        <is>
          <t>Strony trzecie</t>
        </is>
      </c>
      <c r="D17" s="35" t="n">
        <v>3</v>
      </c>
      <c r="E17" s="35" t="n">
        <v>3</v>
      </c>
      <c r="F17" s="24">
        <f>IF(OR(D17="",E17=""),"",D17*E17)</f>
        <v/>
      </c>
      <c r="G17" s="24">
        <f>IF(F17="","",IF(F17&gt;=16,"Critical",IF(F17&gt;=10,"High",IF(F17&gt;=5,"Medium","Low"))))</f>
        <v/>
      </c>
      <c r="H17" s="59" t="inlineStr">
        <is>
          <t>(1) Contract requires provider to name backup personnel for each role at contracting stage. (2) Minimum team size of 3 per RTS Art. 7 - but evaluate whether the specific engagement requires more. (3) Provider must notify CTL within 48 hours of any team change and provide replacement CV for approval. (4) Evaluate provider team depth (bench strength) as a weighted criterion in provider scorecard. (5) Key person clause in contract with right to terminate if test lead is replaced without equivalent.</t>
        </is>
      </c>
      <c r="I17" s="35" t="n">
        <v>2</v>
      </c>
      <c r="J17" s="35" t="n">
        <v>2</v>
      </c>
      <c r="K17" s="24">
        <f>IF(OR(I17="",J17=""),"",I17*J17)</f>
        <v/>
      </c>
      <c r="L17" s="24">
        <f>IF(K17="","",IF(K17&gt;=16,"Critical",IF(K17&gt;=10,"High",IF(K17&gt;=5,"Medium","Low"))))</f>
        <v/>
      </c>
      <c r="M17" s="45" t="inlineStr">
        <is>
          <t>CTL + zamówienia</t>
        </is>
      </c>
      <c r="N17" s="35" t="inlineStr">
        <is>
          <t>Open</t>
        </is>
      </c>
    </row>
    <row r="18">
      <c r="A18" s="19" t="inlineStr">
        <is>
          <t>R-16</t>
        </is>
      </c>
      <c r="B18" s="60" t="inlineStr">
        <is>
          <t>Red team lub dostawca TI ma nieujawniony konflikt interesów</t>
        </is>
      </c>
      <c r="C18" s="61" t="inlineStr">
        <is>
          <t>Strony trzecie</t>
        </is>
      </c>
      <c r="D18" s="61" t="n">
        <v>2</v>
      </c>
      <c r="E18" s="61" t="n">
        <v>4</v>
      </c>
      <c r="F18" s="19">
        <f>IF(OR(D18="",E18=""),"",D18*E18)</f>
        <v/>
      </c>
      <c r="G18" s="19">
        <f>IF(F18="","",IF(F18&gt;=16,"Critical",IF(F18&gt;=10,"High",IF(F18&gt;=5,"Medium","Low"))))</f>
        <v/>
      </c>
      <c r="H18" s="62" t="inlineStr">
        <is>
          <t>(1) Require signed conflict-of-interest declaration from provider listing all current and recent (24-month) engagements with the entity and its ICT providers. (2) Verify declarations with procurement records. (3) Contract includes immediate termination clause for undisclosed conflicts. (4) If same company provides TI and RT, contractual team separation required (RTS Art. 7). (5) Disclose provider identity to test managers for independent validation (RTS Art. 9(11)).</t>
        </is>
      </c>
      <c r="I18" s="61" t="n">
        <v>1</v>
      </c>
      <c r="J18" s="61" t="n">
        <v>4</v>
      </c>
      <c r="K18" s="19">
        <f>IF(OR(I18="",J18=""),"",I18*J18)</f>
        <v/>
      </c>
      <c r="L18" s="19">
        <f>IF(K18="","",IF(K18&gt;=16,"Critical",IF(K18&gt;=10,"High",IF(K18&gt;=5,"Medium","Low"))))</f>
        <v/>
      </c>
      <c r="M18" s="63" t="inlineStr">
        <is>
          <t>Zamówienia + CTL</t>
        </is>
      </c>
      <c r="N18" s="61" t="inlineStr">
        <is>
          <t>Open</t>
        </is>
      </c>
    </row>
    <row r="19">
      <c r="A19" s="24" t="inlineStr">
        <is>
          <t>R-17</t>
        </is>
      </c>
      <c r="B19" s="40" t="inlineStr">
        <is>
          <t>Mapowanie funkcji krytycznych jest niekompletne lub niedokładne - podmiot nie identyfikuje wszystkich systemów ICT wspierających CIF</t>
        </is>
      </c>
      <c r="C19" s="35" t="inlineStr">
        <is>
          <t>Zakres</t>
        </is>
      </c>
      <c r="D19" s="35" t="n">
        <v>4</v>
      </c>
      <c r="E19" s="35" t="n">
        <v>4</v>
      </c>
      <c r="F19" s="24">
        <f>IF(OR(D19="",E19=""),"",D19*E19)</f>
        <v/>
      </c>
      <c r="G19" s="24">
        <f>IF(F19="","",IF(F19&gt;=16,"Critical",IF(F19&gt;=10,"High",IF(F19&gt;=5,"Medium","Low"))))</f>
        <v/>
      </c>
      <c r="H19" s="59" t="inlineStr">
        <is>
          <t>(1) Start CIF mapping 6+ months before expected notification - this is consistently the most underestimated task. (2) Cross-reference CIF list with business impact analysis, disaster recovery plans, and outsourcing register. (3) Involve business line owners, not just IT, in mapping CIFs to supporting systems. (4) TI provider validates attack surface during reconnaissance - discrepancies between documented scope and discovered infrastructure are flagged to CTL. (5) Apply all 7 RTS Art. 9(7) criteria systematically using a scoring matrix. (6) TLPT authority reviews and approves scope before testing.</t>
        </is>
      </c>
      <c r="I19" s="35" t="n">
        <v>2</v>
      </c>
      <c r="J19" s="35" t="n">
        <v>3</v>
      </c>
      <c r="K19" s="24">
        <f>IF(OR(I19="",J19=""),"",I19*J19)</f>
        <v/>
      </c>
      <c r="L19" s="24">
        <f>IF(K19="","",IF(K19&gt;=16,"Critical",IF(K19&gt;=10,"High",IF(K19&gt;=5,"Medium","Low"))))</f>
        <v/>
      </c>
      <c r="M19" s="45" t="inlineStr">
        <is>
          <t>CTL + ryzyko/zgodność</t>
        </is>
      </c>
      <c r="N19" s="35" t="inlineStr">
        <is>
          <t>Open</t>
        </is>
      </c>
    </row>
    <row r="20">
      <c r="A20" s="19" t="inlineStr">
        <is>
          <t>R-18</t>
        </is>
      </c>
      <c r="B20" s="60" t="inlineStr">
        <is>
          <t>Scenariusze opracowane przez dostawcę TI nie pokrywają adekwatnie rzeczywistego krajobrazu zagrożeń podmiotu</t>
        </is>
      </c>
      <c r="C20" s="61" t="inlineStr">
        <is>
          <t>Zakres</t>
        </is>
      </c>
      <c r="D20" s="61" t="n">
        <v>3</v>
      </c>
      <c r="E20" s="61" t="n">
        <v>3</v>
      </c>
      <c r="F20" s="19">
        <f>IF(OR(D20="",E20=""),"",D20*E20)</f>
        <v/>
      </c>
      <c r="G20" s="19">
        <f>IF(F20="","",IF(F20&gt;=16,"Critical",IF(F20&gt;=10,"High",IF(F20&gt;=5,"Medium","Low"))))</f>
        <v/>
      </c>
      <c r="H20" s="62" t="inlineStr">
        <is>
          <t>(1) CTL challenges TI provider scenarios against the entity's own threat intelligence and recent incident data. (2) Scenario selection meeting includes test managers who provide independent perspective (RTS Art. 10(3)). (3) Require TI provider to present a broad set of candidate scenarios (not just 3) so CTL has genuine selection options. (4) At least one scenario must be based on the most severe credible threat actor for the entity's sub-sector. (5) Scenarios must collectively target different CIFs and different CIA aspects (mandatory per RTS Art. 10(4)).</t>
        </is>
      </c>
      <c r="I20" s="61" t="n">
        <v>2</v>
      </c>
      <c r="J20" s="61" t="n">
        <v>2</v>
      </c>
      <c r="K20" s="19">
        <f>IF(OR(I20="",J20=""),"",I20*J20)</f>
        <v/>
      </c>
      <c r="L20" s="19">
        <f>IF(K20="","",IF(K20&gt;=16,"Critical",IF(K20&gt;=10,"High",IF(K20&gt;=5,"Medium","Low"))))</f>
        <v/>
      </c>
      <c r="M20" s="63" t="inlineStr">
        <is>
          <t>CTL + lider dostawcy TI</t>
        </is>
      </c>
      <c r="N20" s="61" t="inlineStr">
        <is>
          <t>Open</t>
        </is>
      </c>
    </row>
    <row r="21">
      <c r="A21" s="24" t="inlineStr">
        <is>
          <t>R-19</t>
        </is>
      </c>
      <c r="B21" s="40" t="inlineStr">
        <is>
          <t>Mapowanie transgraniczne CIF jest niekompletne - podmiot nie identyfikuje, że funkcja krytyczna działa w innym państwie członkowskim</t>
        </is>
      </c>
      <c r="C21" s="35" t="inlineStr">
        <is>
          <t>Zakres</t>
        </is>
      </c>
      <c r="D21" s="35" t="n">
        <v>3</v>
      </c>
      <c r="E21" s="35" t="n">
        <v>4</v>
      </c>
      <c r="F21" s="24">
        <f>IF(OR(D21="",E21=""),"",D21*E21)</f>
        <v/>
      </c>
      <c r="G21" s="24">
        <f>IF(F21="","",IF(F21&gt;=16,"Critical",IF(F21&gt;=10,"High",IF(F21&gt;=5,"Medium","Low"))))</f>
        <v/>
      </c>
      <c r="H21" s="59" t="inlineStr">
        <is>
          <t>(1) Cross-reference CIF list with entity's branch/subsidiary register and regulatory license inventory across all EU jurisdictions. (2) Identify host Member State authorities during preparation phase and include in project charter (Annex I). (3) Negotiate mutual recognition conditions before testing begins (RTS Art. 16). (4) Engage group compliance function to map all jurisdictions where CIFs operate. (5) If mutual recognition fails, budget for additional testing cycles.</t>
        </is>
      </c>
      <c r="I21" s="35" t="n">
        <v>2</v>
      </c>
      <c r="J21" s="35" t="n">
        <v>3</v>
      </c>
      <c r="K21" s="24">
        <f>IF(OR(I21="",J21=""),"",I21*J21)</f>
        <v/>
      </c>
      <c r="L21" s="24">
        <f>IF(K21="","",IF(K21&gt;=16,"Critical",IF(K21&gt;=10,"High",IF(K21&gt;=5,"Medium","Low"))))</f>
        <v/>
      </c>
      <c r="M21" s="45" t="inlineStr">
        <is>
          <t>CTL + zgodność</t>
        </is>
      </c>
      <c r="N21" s="35" t="inlineStr">
        <is>
          <t>Open</t>
        </is>
      </c>
    </row>
    <row r="22">
      <c r="A22" s="19" t="inlineStr">
        <is>
          <t>R-20</t>
        </is>
      </c>
      <c r="B22" s="60" t="inlineStr">
        <is>
          <t>Członek zespołu kontrolnego nieumyślnie lub celowo ujawnia TLPT personelowi blue team lub innym pracownikom</t>
        </is>
      </c>
      <c r="C22" s="61" t="inlineStr">
        <is>
          <t>Personel</t>
        </is>
      </c>
      <c r="D22" s="61" t="n">
        <v>4</v>
      </c>
      <c r="E22" s="61" t="n">
        <v>4</v>
      </c>
      <c r="F22" s="19">
        <f>IF(OR(D22="",E22=""),"",D22*E22)</f>
        <v/>
      </c>
      <c r="G22" s="19">
        <f>IF(F22="","",IF(F22&gt;=16,"Critical",IF(F22&gt;=10,"High",IF(F22&gt;=5,"Medium","Low"))))</f>
        <v/>
      </c>
      <c r="H22" s="62" t="inlineStr">
        <is>
          <t>(1) All TLPT meetings use the code name only - never "TLPT," "red team," or "penetration test" in calendar entries, subject lines, or chat messages. (2) Dedicated encrypted communication channel separate from corporate systems (RTS Art. 9(2)). (3) Cover stories prepared for each control team member explaining their meeting absences (RTS Art. 4). (4) Control team members sign explicit confidentiality undertaking with consequences for breach. (5) Minimize control team size to 3-5 members. (6) CTL briefs all members on OPSEC discipline at kickoff.</t>
        </is>
      </c>
      <c r="I22" s="61" t="n">
        <v>2</v>
      </c>
      <c r="J22" s="61" t="n">
        <v>3</v>
      </c>
      <c r="K22" s="19">
        <f>IF(OR(I22="",J22=""),"",I22*J22)</f>
        <v/>
      </c>
      <c r="L22" s="19">
        <f>IF(K22="","",IF(K22&gt;=16,"Critical",IF(K22&gt;=10,"High",IF(K22&gt;=5,"Medium","Low"))))</f>
        <v/>
      </c>
      <c r="M22" s="63" t="inlineStr">
        <is>
          <t>CTL</t>
        </is>
      </c>
      <c r="N22" s="61" t="inlineStr">
        <is>
          <t>Open</t>
        </is>
      </c>
    </row>
    <row r="23">
      <c r="A23" s="24" t="inlineStr">
        <is>
          <t>R-21</t>
        </is>
      </c>
      <c r="B23" s="40" t="inlineStr">
        <is>
          <t>Lider zespołu kontrolnego staje się niedostępny (przedłużona choroba, rezygnacja, przeniesienie) w trakcie ćwiczenia</t>
        </is>
      </c>
      <c r="C23" s="35" t="inlineStr">
        <is>
          <t>Personel</t>
        </is>
      </c>
      <c r="D23" s="35" t="n">
        <v>2</v>
      </c>
      <c r="E23" s="35" t="n">
        <v>4</v>
      </c>
      <c r="F23" s="24">
        <f>IF(OR(D23="",E23=""),"",D23*E23)</f>
        <v/>
      </c>
      <c r="G23" s="24">
        <f>IF(F23="","",IF(F23&gt;=16,"Critical",IF(F23&gt;=10,"High",IF(F23&gt;=5,"Medium","Low"))))</f>
        <v/>
      </c>
      <c r="H23" s="59" t="inlineStr">
        <is>
          <t>(1) Designate a deputy CTL at the start of the exercise with documented authority to act in the CTL's absence. (2) Deputy attends all key meetings and has full access to the secure data room. (3) CTL maintains a running decision log so the deputy can assume control without context loss. (4) Notify TLPT authority of deputy designation in project charter. (5) Management body formally delegates decision authority to both CTL and deputy.</t>
        </is>
      </c>
      <c r="I23" s="35" t="n">
        <v>2</v>
      </c>
      <c r="J23" s="35" t="n">
        <v>2</v>
      </c>
      <c r="K23" s="24">
        <f>IF(OR(I23="",J23=""),"",I23*J23)</f>
        <v/>
      </c>
      <c r="L23" s="24">
        <f>IF(K23="","",IF(K23&gt;=16,"Critical",IF(K23&gt;=10,"High",IF(K23&gt;=5,"Medium","Low"))))</f>
        <v/>
      </c>
      <c r="M23" s="45" t="inlineStr">
        <is>
          <t>CISO + organ zarządzający</t>
        </is>
      </c>
      <c r="N23" s="35" t="inlineStr">
        <is>
          <t>Open</t>
        </is>
      </c>
    </row>
    <row r="24">
      <c r="A24" s="19" t="inlineStr">
        <is>
          <t>R-22</t>
        </is>
      </c>
      <c r="B24" s="60" t="inlineStr">
        <is>
          <t>Blue team wykrywa i w pełni blokuje infrastrukturę C2 red team, domeny phishingowe lub implanty na wczesnym etapie</t>
        </is>
      </c>
      <c r="C24" s="61" t="inlineStr">
        <is>
          <t>Techniczne</t>
        </is>
      </c>
      <c r="D24" s="61" t="n">
        <v>3</v>
      </c>
      <c r="E24" s="61" t="n">
        <v>3</v>
      </c>
      <c r="F24" s="19">
        <f>IF(OR(D24="",E24=""),"",D24*E24)</f>
        <v/>
      </c>
      <c r="G24" s="19">
        <f>IF(F24="","",IF(F24&gt;=16,"Critical",IF(F24&gt;=10,"High",IF(F24&gt;=5,"Medium","Low"))))</f>
        <v/>
      </c>
      <c r="H24" s="62" t="inlineStr">
        <is>
          <t>(1) Red team must prepare multiple independent C2 channels and entry vectors before active testing begins. (2) Leg-up process pre-agreed in red team test plan with clear criteria for when a leg-up is justified vs. when the red team should adapt TTPs (RTS Art. 11(8)). (3) Each leg-up documented with code, type, reason, and what it compensates for (Annex IV). (4) If detection is comprehensive, CTL proposes continuation measures to test managers (Art. 11(9)). (5) Limited purple teaming as a last resort, with test manager validation (Art. 11(10)).</t>
        </is>
      </c>
      <c r="I24" s="61" t="n">
        <v>2</v>
      </c>
      <c r="J24" s="61" t="n">
        <v>2</v>
      </c>
      <c r="K24" s="19">
        <f>IF(OR(I24="",J24=""),"",I24*J24)</f>
        <v/>
      </c>
      <c r="L24" s="19">
        <f>IF(K24="","",IF(K24&gt;=16,"Critical",IF(K24&gt;=10,"High",IF(K24&gt;=5,"Medium","Low"))))</f>
        <v/>
      </c>
      <c r="M24" s="63" t="inlineStr">
        <is>
          <t>CTL + lider testów red team</t>
        </is>
      </c>
      <c r="N24" s="61" t="inlineStr">
        <is>
          <t>Open</t>
        </is>
      </c>
    </row>
    <row r="25">
      <c r="A25" s="24" t="inlineStr">
        <is>
          <t>R-23</t>
        </is>
      </c>
      <c r="B25" s="40" t="inlineStr">
        <is>
          <t>Narzędzia red team (dedykowane implanty, frameworki eksploitów, narzędzia do zrzutu danych uwierzytelniających) zostają oznaczone i przesłane do dostawcy EDR/AV podmiotu</t>
        </is>
      </c>
      <c r="C25" s="35" t="inlineStr">
        <is>
          <t>Techniczne</t>
        </is>
      </c>
      <c r="D25" s="35" t="n">
        <v>4</v>
      </c>
      <c r="E25" s="35" t="n">
        <v>2</v>
      </c>
      <c r="F25" s="24">
        <f>IF(OR(D25="",E25=""),"",D25*E25)</f>
        <v/>
      </c>
      <c r="G25" s="24">
        <f>IF(F25="","",IF(F25&gt;=16,"Critical",IF(F25&gt;=10,"High",IF(F25&gt;=5,"Medium","Low"))))</f>
        <v/>
      </c>
      <c r="H25" s="59" t="inlineStr">
        <is>
          <t>(1) CTL documents whether endpoint security products send automated telemetry to vendor cloud, and shares with red team during planning. (2) Red team uses expendable tooling variants where automated submission is likely. (3) Where feasible and agreed, CTL configures sample submission exclusions for specific test directories (without alerting blue team to the reason). (4) Red team accepts this risk as part of live production testing - contract should not make entity liable for tool exposure via automated telemetry.</t>
        </is>
      </c>
      <c r="I25" s="35" t="n">
        <v>3</v>
      </c>
      <c r="J25" s="35" t="n">
        <v>1</v>
      </c>
      <c r="K25" s="24">
        <f>IF(OR(I25="",J25=""),"",I25*J25)</f>
        <v/>
      </c>
      <c r="L25" s="24">
        <f>IF(K25="","",IF(K25&gt;=16,"Critical",IF(K25&gt;=10,"High",IF(K25&gt;=5,"Medium","Low"))))</f>
        <v/>
      </c>
      <c r="M25" s="45" t="inlineStr">
        <is>
          <t>Lider testów red team</t>
        </is>
      </c>
      <c r="N25" s="35" t="inlineStr">
        <is>
          <t>Open</t>
        </is>
      </c>
    </row>
    <row r="26">
      <c r="A26" s="19" t="inlineStr">
        <is>
          <t>R-24</t>
        </is>
      </c>
      <c r="B26" s="60" t="inlineStr">
        <is>
          <t>Skanowanie sieci, eskalacja uprawnień lub ruch lateralny red team wyzwala zmiany stanu systemów</t>
        </is>
      </c>
      <c r="C26" s="61" t="inlineStr">
        <is>
          <t>Techniczne</t>
        </is>
      </c>
      <c r="D26" s="61" t="n">
        <v>3</v>
      </c>
      <c r="E26" s="61" t="n">
        <v>4</v>
      </c>
      <c r="F26" s="19">
        <f>IF(OR(D26="",E26=""),"",D26*E26)</f>
        <v/>
      </c>
      <c r="G26" s="19">
        <f>IF(F26="","",IF(F26&gt;=16,"Critical",IF(F26&gt;=10,"High",IF(F26&gt;=5,"Medium","Low"))))</f>
        <v/>
      </c>
      <c r="H26" s="62" t="inlineStr">
        <is>
          <t>(1) Red team test plan identifies high-risk actions (mass scanning, privilege escalation on production databases, disk-intensive operations) and defines safe execution parameters. (2) CTL monitors key production health metrics during active testing and correlates anomalies with red team activity log. (3) Red team provides daily activity summary (not just weekly) for high-risk phases. (4) Kill switch: CTL suspends specific scenario within 15 minutes if production impact suspected. (5) Post-test system health check before declaring active testing complete.</t>
        </is>
      </c>
      <c r="I26" s="61" t="n">
        <v>2</v>
      </c>
      <c r="J26" s="61" t="n">
        <v>3</v>
      </c>
      <c r="K26" s="19">
        <f>IF(OR(I26="",J26=""),"",I26*J26)</f>
        <v/>
      </c>
      <c r="L26" s="19">
        <f>IF(K26="","",IF(K26&gt;=16,"Critical",IF(K26&gt;=10,"High",IF(K26&gt;=5,"Medium","Low"))))</f>
        <v/>
      </c>
      <c r="M26" s="63" t="inlineStr">
        <is>
          <t>CTL + lider testów red team</t>
        </is>
      </c>
      <c r="N26" s="61" t="inlineStr">
        <is>
          <t>Open</t>
        </is>
      </c>
    </row>
    <row r="29">
      <c r="P29" s="53" t="inlineStr">
        <is>
          <t>MAPA CIEPLNA RYZYKA INHERENTNEGO</t>
        </is>
      </c>
    </row>
    <row r="30">
      <c r="P30" s="64" t="inlineStr">
        <is>
          <t>Wpływ \ Prawdop.</t>
        </is>
      </c>
      <c r="Q30" s="24" t="n">
        <v>1</v>
      </c>
      <c r="R30" s="24" t="n">
        <v>2</v>
      </c>
      <c r="S30" s="24" t="n">
        <v>3</v>
      </c>
      <c r="T30" s="24" t="n">
        <v>4</v>
      </c>
      <c r="U30" s="24" t="n">
        <v>5</v>
      </c>
    </row>
    <row r="31">
      <c r="P31" s="24" t="inlineStr">
        <is>
          <t>Wpływ 5</t>
        </is>
      </c>
      <c r="Q31" s="65">
        <f>COUNTIFS(D3:D26,1,E3:E26,5)</f>
        <v/>
      </c>
      <c r="R31" s="66">
        <f>COUNTIFS(D3:D26,2,E3:E26,5)</f>
        <v/>
      </c>
      <c r="S31" s="66">
        <f>COUNTIFS(D3:D26,3,E3:E26,5)</f>
        <v/>
      </c>
      <c r="T31" s="67">
        <f>COUNTIFS(D3:D26,4,E3:E26,5)</f>
        <v/>
      </c>
      <c r="U31" s="67">
        <f>COUNTIFS(D3:D26,5,E3:E26,5)</f>
        <v/>
      </c>
    </row>
    <row r="32">
      <c r="P32" s="24" t="inlineStr">
        <is>
          <t>Wpływ 4</t>
        </is>
      </c>
      <c r="Q32" s="68">
        <f>COUNTIFS(D3:D26,1,E3:E26,4)</f>
        <v/>
      </c>
      <c r="R32" s="65">
        <f>COUNTIFS(D3:D26,2,E3:E26,4)</f>
        <v/>
      </c>
      <c r="S32" s="66">
        <f>COUNTIFS(D3:D26,3,E3:E26,4)</f>
        <v/>
      </c>
      <c r="T32" s="67">
        <f>COUNTIFS(D3:D26,4,E3:E26,4)</f>
        <v/>
      </c>
      <c r="U32" s="67">
        <f>COUNTIFS(D3:D26,5,E3:E26,4)</f>
        <v/>
      </c>
    </row>
    <row r="33">
      <c r="P33" s="24" t="inlineStr">
        <is>
          <t>Wpływ 3</t>
        </is>
      </c>
      <c r="Q33" s="68">
        <f>COUNTIFS(D3:D26,1,E3:E26,3)</f>
        <v/>
      </c>
      <c r="R33" s="65">
        <f>COUNTIFS(D3:D26,2,E3:E26,3)</f>
        <v/>
      </c>
      <c r="S33" s="65">
        <f>COUNTIFS(D3:D26,3,E3:E26,3)</f>
        <v/>
      </c>
      <c r="T33" s="66">
        <f>COUNTIFS(D3:D26,4,E3:E26,3)</f>
        <v/>
      </c>
      <c r="U33" s="66">
        <f>COUNTIFS(D3:D26,5,E3:E26,3)</f>
        <v/>
      </c>
    </row>
    <row r="34">
      <c r="P34" s="24" t="inlineStr">
        <is>
          <t>Wpływ 2</t>
        </is>
      </c>
      <c r="Q34" s="68">
        <f>COUNTIFS(D3:D26,1,E3:E26,2)</f>
        <v/>
      </c>
      <c r="R34" s="68">
        <f>COUNTIFS(D3:D26,2,E3:E26,2)</f>
        <v/>
      </c>
      <c r="S34" s="65">
        <f>COUNTIFS(D3:D26,3,E3:E26,2)</f>
        <v/>
      </c>
      <c r="T34" s="65">
        <f>COUNTIFS(D3:D26,4,E3:E26,2)</f>
        <v/>
      </c>
      <c r="U34" s="66">
        <f>COUNTIFS(D3:D26,5,E3:E26,2)</f>
        <v/>
      </c>
    </row>
    <row r="35">
      <c r="P35" s="24" t="inlineStr">
        <is>
          <t>Wpływ 1</t>
        </is>
      </c>
      <c r="Q35" s="68">
        <f>COUNTIFS(D3:D26,1,E3:E26,1)</f>
        <v/>
      </c>
      <c r="R35" s="68">
        <f>COUNTIFS(D3:D26,2,E3:E26,1)</f>
        <v/>
      </c>
      <c r="S35" s="68">
        <f>COUNTIFS(D3:D26,3,E3:E26,1)</f>
        <v/>
      </c>
      <c r="T35" s="68">
        <f>COUNTIFS(D3:D26,4,E3:E26,1)</f>
        <v/>
      </c>
      <c r="U35" s="65">
        <f>COUNTIFS(D3:D26,5,E3:E26,1)</f>
        <v/>
      </c>
    </row>
  </sheetData>
  <sheetProtection selectLockedCells="0" selectUnlockedCells="0" sheet="1" objects="0" insertRows="1" insertHyperlinks="1" autoFilter="0" scenarios="0" formatColumns="0" deleteColumns="1" insertColumns="1" pivotTables="1" deleteRows="1" formatCells="1" formatRows="0" sort="0" password="CE4B"/>
  <mergeCells count="2">
    <mergeCell ref="P29:U29"/>
    <mergeCell ref="A1:N1"/>
  </mergeCells>
  <conditionalFormatting sqref="G3:G26">
    <cfRule type="cellIs" priority="1" operator="equal" dxfId="11">
      <formula>"Critical"</formula>
    </cfRule>
    <cfRule type="cellIs" priority="2" operator="equal" dxfId="1">
      <formula>"High"</formula>
    </cfRule>
    <cfRule type="cellIs" priority="3" operator="equal" dxfId="9">
      <formula>"Medium"</formula>
    </cfRule>
    <cfRule type="cellIs" priority="4" operator="equal" dxfId="3">
      <formula>"Low"</formula>
    </cfRule>
  </conditionalFormatting>
  <conditionalFormatting sqref="L3:L26">
    <cfRule type="cellIs" priority="5" operator="equal" dxfId="11">
      <formula>"Critical"</formula>
    </cfRule>
    <cfRule type="cellIs" priority="6" operator="equal" dxfId="1">
      <formula>"High"</formula>
    </cfRule>
    <cfRule type="cellIs" priority="7" operator="equal" dxfId="9">
      <formula>"Medium"</formula>
    </cfRule>
    <cfRule type="cellIs" priority="8" operator="equal" dxfId="3">
      <formula>"Low"</formula>
    </cfRule>
  </conditionalFormatting>
  <dataValidations count="3">
    <dataValidation sqref="C3 C4 C5 C6 C7 C8 C9 C10 C11 C12 C13 C14 C15 C16 C17 C18 C19 C20 C21 C22 C23 C24 C25 C26" showDropDown="0" showInputMessage="0" showErrorMessage="0" allowBlank="1" type="list">
      <formula1>"Operational,Confidentiality,Compliance,Reputational,Third-party,Scope,Personnel,Technical"</formula1>
    </dataValidation>
    <dataValidation sqref="N3 N4 N5 N6 N7 N8 N9 N10 N11 N12 N13 N14 N15 N16 N17 N18 N19 N20 N21 N22 N23 N24 N25 N26" showDropDown="0" showInputMessage="0" showErrorMessage="0" allowBlank="1" type="list">
      <formula1>"Open,Mitigating,Accepted,Closed"</formula1>
    </dataValidation>
    <dataValidation sqref="D3 D4 D5 D6 D7 D8 D9 D10 D11 D12 D13 D14 D15 D16 D17 D18 D19 D20 D21 D22 D23 D24 D25 D26 E3 E4 E5 E6 E7 E8 E9 E10 E11 E12 E13 E14 E15 E16 E17 E18 E19 E20 E21 E22 E23 E24 E25 E26 I3 I4 I5 I6 I7 I8 I9 I10 I11 I12 I13 I14 I15 I16 I17 I18 I19 I20 I21 I22 I23 I24 I25 I26 J3 J4 J5 J6 J7 J8 J9 J10 J11 J12 J13 J14 J15 J16 J17 J18 J19 J20 J21 J22 J23 J24 J25 J26" showDropDown="0" showInputMessage="0" showErrorMessage="0" allowBlank="1" type="list">
      <formula1>"1,2,3,4,5"</formula1>
    </dataValidation>
  </dataValidation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14.xml><?xml version="1.0" encoding="utf-8"?>
<worksheet xmlns="http://schemas.openxmlformats.org/spreadsheetml/2006/main">
  <sheetPr>
    <tabColor rgb="009E9E9E"/>
    <outlinePr summaryBelow="1" summaryRight="1"/>
    <pageSetUpPr fitToPage="1"/>
  </sheetPr>
  <dimension ref="A1:G34"/>
  <sheetViews>
    <sheetView workbookViewId="0">
      <pane xSplit="1" ySplit="2" topLeftCell="B3" activePane="bottomRight" state="frozen"/>
      <selection pane="topRight" activeCell="A1" sqref="A1"/>
      <selection pane="bottomLeft" activeCell="A1" sqref="A1"/>
      <selection pane="bottomRight" activeCell="A1" sqref="A1"/>
    </sheetView>
  </sheetViews>
  <sheetFormatPr baseColWidth="8" defaultRowHeight="15"/>
  <cols>
    <col width="16" customWidth="1" min="1" max="1"/>
    <col width="28" customWidth="1" min="2" max="2"/>
    <col width="20" customWidth="1" min="3" max="3"/>
    <col width="38" customWidth="1" min="4" max="4"/>
    <col width="28" customWidth="1" min="5" max="5"/>
    <col width="50" customWidth="1" min="6" max="6"/>
    <col width="45" customWidth="1" min="7" max="7"/>
  </cols>
  <sheetData>
    <row r="1">
      <c r="A1" s="36" t="inlineStr">
        <is>
          <t>PORÓWNANIE WDROŻEŃ KRAJOWYCH TLPT/TIBER</t>
        </is>
      </c>
    </row>
    <row r="2">
      <c r="A2" s="37" t="inlineStr">
        <is>
          <t>Kraj</t>
        </is>
      </c>
      <c r="B2" s="37" t="inlineStr">
        <is>
          <t>Organ TLPT</t>
        </is>
      </c>
      <c r="C2" s="37" t="inlineStr">
        <is>
          <t>Framework</t>
        </is>
      </c>
      <c r="D2" s="37" t="inlineStr">
        <is>
          <t>Status</t>
        </is>
      </c>
      <c r="E2" s="37" t="inlineStr">
        <is>
          <t>Testerzy wewnętrzni?</t>
        </is>
      </c>
      <c r="F2" s="37" t="inlineStr">
        <is>
          <t>Kluczowe różnice</t>
        </is>
      </c>
      <c r="G2" s="37" t="inlineStr">
        <is>
          <t>Link</t>
        </is>
      </c>
    </row>
    <row r="3">
      <c r="A3" s="20" t="inlineStr">
        <is>
          <t>EU/ECB (SSM)</t>
        </is>
      </c>
      <c r="B3" s="40" t="inlineStr">
        <is>
          <t>ECB (TCT-SSM, within DG/OMI)</t>
        </is>
      </c>
      <c r="C3" s="40" t="inlineStr">
        <is>
          <t>TIBER-EU / SSM Implementation Guide</t>
        </is>
      </c>
      <c r="D3" s="69" t="inlineStr">
        <is>
          <t>Operational (guide published Nov 2025)</t>
        </is>
      </c>
      <c r="E3" s="69" t="inlineStr">
        <is>
          <t>No - significant institutions must use external testers only</t>
        </is>
      </c>
      <c r="F3" s="69" t="inlineStr">
        <is>
          <t>ECB is both competent authority and TLPT authority for significant institutions. Applies uniform approach across all SSM-supervised significant institutions.</t>
        </is>
      </c>
      <c r="G3" s="44" t="inlineStr">
        <is>
          <t>https://www.bankingsupervision.europa.eu/ecb/pub/pdf/ssm.supervisory_guide202511.en.pdf</t>
        </is>
      </c>
    </row>
    <row r="4">
      <c r="A4" s="70" t="inlineStr">
        <is>
          <t>Austria</t>
        </is>
      </c>
      <c r="B4" s="60" t="inlineStr">
        <is>
          <t>OeNB (TCT-AT) + FMA</t>
        </is>
      </c>
      <c r="C4" s="60" t="inlineStr">
        <is>
          <t>TIBER-AT</t>
        </is>
      </c>
      <c r="D4" s="71" t="inlineStr">
        <is>
          <t>Operational (guide updated Jul 2025)</t>
        </is>
      </c>
      <c r="E4" s="71" t="inlineStr">
        <is>
          <t>Per RTS rules; significant institutions external only</t>
        </is>
      </c>
      <c r="F4" s="71" t="inlineStr">
        <is>
          <t>OeNB/FMA joint approach. Hosts annual T-REX provider conference. Implementation guide meets all DORA requirements.</t>
        </is>
      </c>
      <c r="G4" s="72" t="inlineStr">
        <is>
          <t>https://www.oenb.at/dam/jcr:0253da77-47da-44e9-979f-965d95222df1/2025-07-21-TIBER-AT-Implementation-Guide.pdf</t>
        </is>
      </c>
    </row>
    <row r="5">
      <c r="A5" s="20" t="inlineStr">
        <is>
          <t>Belgium</t>
        </is>
      </c>
      <c r="B5" s="40" t="inlineStr">
        <is>
          <t>NBB (TIBER-BE team)</t>
        </is>
      </c>
      <c r="C5" s="40" t="inlineStr">
        <is>
          <t>TIBER-BE / DORA-TLPT-BE</t>
        </is>
      </c>
      <c r="D5" s="69" t="inlineStr">
        <is>
          <t>Operational (since 2018; guide updated 2025)</t>
        </is>
      </c>
      <c r="E5" s="69" t="inlineStr">
        <is>
          <t>Per RTS rules; recommends external red team test manager even with internal testers</t>
        </is>
      </c>
      <c r="F5" s="69" t="inlineStr">
        <is>
          <t>One of earliest implementations (2018). NBB is TLPT authority for institutions under its supervision/oversight. Updated guide for DORA alignment.</t>
        </is>
      </c>
      <c r="G5" s="44" t="inlineStr">
        <is>
          <t>https://www.nbb.be/doc/be/be6/tiber-be_national_implementation_guide-2025.pdf</t>
        </is>
      </c>
    </row>
    <row r="6">
      <c r="A6" s="70" t="inlineStr">
        <is>
          <t>Czech Republic</t>
        </is>
      </c>
      <c r="B6" s="60" t="inlineStr">
        <is>
          <t>CNB (TCT-CZ)</t>
        </is>
      </c>
      <c r="C6" s="60" t="inlineStr">
        <is>
          <t>TIBER-CZ</t>
        </is>
      </c>
      <c r="D6" s="71" t="inlineStr">
        <is>
          <t>Operational (v1.0 published Mar 2025)</t>
        </is>
      </c>
      <c r="E6" s="71" t="inlineStr">
        <is>
          <t>Per RTS rules</t>
        </is>
      </c>
      <c r="F6" s="71" t="inlineStr">
        <is>
          <t>CNB focuses on "other systemically important institutions" and entities critical to Czech financial system. No deviations from TIBER-EU.</t>
        </is>
      </c>
      <c r="G6" s="72" t="inlineStr">
        <is>
          <t>https://www.cnb.cz/export/sites/cnb/cs/dohled-financni-trh/dora-digitalni-provozni-odolnost-financniho-trhu/tiber-implemetation-guide-cz.pdf</t>
        </is>
      </c>
    </row>
    <row r="7">
      <c r="A7" s="20" t="inlineStr">
        <is>
          <t>Denmark</t>
        </is>
      </c>
      <c r="B7" s="40" t="inlineStr">
        <is>
          <t>Danish FSA + Danmarks Nationalbank</t>
        </is>
      </c>
      <c r="C7" s="40" t="inlineStr">
        <is>
          <t>TIBER-DK</t>
        </is>
      </c>
      <c r="D7" s="69" t="inlineStr">
        <is>
          <t>Operational (v4.0 published Jan 2025)</t>
        </is>
      </c>
      <c r="E7" s="69" t="inlineStr">
        <is>
          <t>Per RTS rules</t>
        </is>
      </c>
      <c r="F7" s="69" t="inlineStr">
        <is>
          <t>Updated to version 4.0 for DORA alignment. Joint FSA/central bank approach.</t>
        </is>
      </c>
      <c r="G7" s="44" t="inlineStr">
        <is>
          <t>https://www.nationalbanken.dk/media/4msee5sm/tiber-dk-implementation-document.pdf</t>
        </is>
      </c>
    </row>
    <row r="8">
      <c r="A8" s="70" t="inlineStr">
        <is>
          <t>Finland</t>
        </is>
      </c>
      <c r="B8" s="60" t="inlineStr">
        <is>
          <t>FIN-FSA + Bank of Finland</t>
        </is>
      </c>
      <c r="C8" s="60" t="inlineStr">
        <is>
          <t>TIBER-FI</t>
        </is>
      </c>
      <c r="D8" s="71" t="inlineStr">
        <is>
          <t>Operational (v2.0 published Mar 2025)</t>
        </is>
      </c>
      <c r="E8" s="71" t="inlineStr">
        <is>
          <t>Per RTS rules</t>
        </is>
      </c>
      <c r="F8" s="71" t="inlineStr">
        <is>
          <t>FIN-FSA imposes TLPT obligations; Bank of Finland provides operational support including General Threat Landscape (GTL) report. Major 2.0 release for DORA/RTS alignment.</t>
        </is>
      </c>
      <c r="G8" s="72" t="inlineStr">
        <is>
          <t>https://www.suomenpankki.fi/globalassets/bof/en/money-and-payments/the-bank-of-finland-as-catalyst-payments-council/tiber-fi/tiber-fi-2.0-procedures-and-guidelines.pdf</t>
        </is>
      </c>
    </row>
    <row r="9">
      <c r="A9" s="20" t="inlineStr">
        <is>
          <t>France</t>
        </is>
      </c>
      <c r="B9" s="40" t="inlineStr">
        <is>
          <t>Banque de France</t>
        </is>
      </c>
      <c r="C9" s="40" t="inlineStr">
        <is>
          <t>TIBER-FR</t>
        </is>
      </c>
      <c r="D9" s="69" t="inlineStr">
        <is>
          <t>Operational (guide published Mar 2025)</t>
        </is>
      </c>
      <c r="E9" s="69" t="inlineStr">
        <is>
          <t>Per RTS rules</t>
        </is>
      </c>
      <c r="F9" s="69" t="inlineStr">
        <is>
          <t>Detailed national implementation guide published March 2025, fully aligned to DORA TLPT.</t>
        </is>
      </c>
      <c r="G9" s="44" t="inlineStr">
        <is>
          <t>https://www.banque-france.fr/system/files/2025-03/Guide_TIBER_2025_V5.pdf</t>
        </is>
      </c>
    </row>
    <row r="10">
      <c r="A10" s="70" t="inlineStr">
        <is>
          <t>Germany</t>
        </is>
      </c>
      <c r="B10" s="60" t="inlineStr">
        <is>
          <t>BaFin (supervisory) + Deutsche Bundesbank (operational)</t>
        </is>
      </c>
      <c r="C10" s="60" t="inlineStr">
        <is>
          <t>TIBER-DE</t>
        </is>
      </c>
      <c r="D10" s="71" t="inlineStr">
        <is>
          <t>Operational (v4.0 published Jul 2025)</t>
        </is>
      </c>
      <c r="E10" s="71" t="inlineStr">
        <is>
          <t>Per RTS rules; significant institutions external only</t>
        </is>
      </c>
      <c r="F10" s="71" t="inlineStr">
        <is>
          <t>Split authority model: BaFin identifies entities and handles supervisory tasks; Bundesbank runs operations and monitors tests. Framework available since 2020, updated to v4.0 for DORA.</t>
        </is>
      </c>
      <c r="G10" s="72" t="inlineStr">
        <is>
          <t>https://www.bundesbank.de/resource/blob/848920/d54c662179f26da23b9b0bc3daf9bafb/472B63F073F071307366337C94F8C870/tiber-implementierung-data.pdf</t>
        </is>
      </c>
    </row>
    <row r="11">
      <c r="A11" s="20" t="inlineStr">
        <is>
          <t>Iceland</t>
        </is>
      </c>
      <c r="B11" s="40" t="inlineStr">
        <is>
          <t>Central Bank of Iceland (Sedlabanki)</t>
        </is>
      </c>
      <c r="C11" s="40" t="inlineStr">
        <is>
          <t>TIBER-IS</t>
        </is>
      </c>
      <c r="D11" s="69" t="inlineStr">
        <is>
          <t>Operational (guide published)</t>
        </is>
      </c>
      <c r="E11" s="69" t="inlineStr">
        <is>
          <t>Per RTS rules</t>
        </is>
      </c>
      <c r="F11" s="69" t="inlineStr">
        <is>
          <t>EEA member, not EU. DORA applicable via EEA Agreement. Implementation guide published. Small financial sector - limited local provider capacity.</t>
        </is>
      </c>
      <c r="G11" s="44" t="inlineStr">
        <is>
          <t>https://www.sedlabanki.is/library/Skraarsafn/Fjarmalainnvidir/TIBER-IS-Implementation-Guide.pdf</t>
        </is>
      </c>
    </row>
    <row r="12">
      <c r="A12" s="70" t="inlineStr">
        <is>
          <t>Ireland</t>
        </is>
      </c>
      <c r="B12" s="60" t="inlineStr">
        <is>
          <t>Central Bank of Ireland</t>
        </is>
      </c>
      <c r="C12" s="60" t="inlineStr">
        <is>
          <t>TIBER-IE</t>
        </is>
      </c>
      <c r="D12" s="71" t="inlineStr">
        <is>
          <t>Operational (guide since Dec 2019; DORA-aligned update in progress)</t>
        </is>
      </c>
      <c r="E12" s="71" t="inlineStr">
        <is>
          <t>Per RTS rules</t>
        </is>
      </c>
      <c r="F12" s="71" t="inlineStr">
        <is>
          <t>Originally voluntary. TIBER-IE guide from 2019. Central Bank of Ireland revised TIBER-IE to align with DORA TLPT requirements. Testing now mandatory for identified entities.</t>
        </is>
      </c>
      <c r="G12" s="72" t="inlineStr">
        <is>
          <t>https://www.centralbank.ie/docs/default-source/financial-system/tiber-ie/tiber-ie-national-guide-december-2019.pdf</t>
        </is>
      </c>
    </row>
    <row r="13">
      <c r="A13" s="20" t="inlineStr">
        <is>
          <t>Italy</t>
        </is>
      </c>
      <c r="B13" s="40" t="inlineStr">
        <is>
          <t>Banca d'Italia + CONSOB + IVASS</t>
        </is>
      </c>
      <c r="C13" s="40" t="inlineStr">
        <is>
          <t>TIBER-IT</t>
        </is>
      </c>
      <c r="D13" s="69" t="inlineStr">
        <is>
          <t>Operational (guide updated Dec 2025)</t>
        </is>
      </c>
      <c r="E13" s="69" t="inlineStr">
        <is>
          <t>Per RTS rules</t>
        </is>
      </c>
      <c r="F13" s="69" t="inlineStr">
        <is>
          <t>Three-authority model: Banca d'Italia, CONSOB (securities), IVASS (insurance) jointly updated the TIBER-IT National Guide in December 2025. Single methodological framework for both mandatory and voluntary TLPT.</t>
        </is>
      </c>
      <c r="G13" s="44" t="inlineStr">
        <is>
          <t>https://www.bancaditalia.it/compiti/sispaga-mercati/tiber-it/index.html?com.dotmarketing.htmlpage.language=1</t>
        </is>
      </c>
    </row>
    <row r="14">
      <c r="A14" s="70" t="inlineStr">
        <is>
          <t>Liechtenstein</t>
        </is>
      </c>
      <c r="B14" s="60" t="inlineStr">
        <is>
          <t>FMA Liechtenstein (ICT Supervision and Cybersecurity Unit / TCT-LI)</t>
        </is>
      </c>
      <c r="C14" s="60" t="inlineStr">
        <is>
          <t>TIBER-EU LI</t>
        </is>
      </c>
      <c r="D14" s="71" t="inlineStr">
        <is>
          <t>Operational (in force Oct 2025)</t>
        </is>
      </c>
      <c r="E14" s="71" t="inlineStr">
        <is>
          <t>Per RTS rules</t>
        </is>
      </c>
      <c r="F14" s="71" t="inlineStr">
        <is>
          <t>EEA member, not EU. FMA Communication 2025/3 adopts TIBER-EU LI. EEA-DORA-DG entered into force 1 Feb 2025. FMA acts as competent authority per DORA Article 26.</t>
        </is>
      </c>
      <c r="G14" s="72" t="inlineStr">
        <is>
          <t>https://www.fma-li.li/en/supervision-regulation/dora/tiber-eu-li</t>
        </is>
      </c>
    </row>
    <row r="15">
      <c r="A15" s="20" t="inlineStr">
        <is>
          <t>Luxembourg</t>
        </is>
      </c>
      <c r="B15" s="40" t="inlineStr">
        <is>
          <t>CSSF + BCL</t>
        </is>
      </c>
      <c r="C15" s="40" t="inlineStr">
        <is>
          <t>TIBER-LU</t>
        </is>
      </c>
      <c r="D15" s="69" t="inlineStr">
        <is>
          <t>Operational (guide updated Jun 2025)</t>
        </is>
      </c>
      <c r="E15" s="69" t="inlineStr">
        <is>
          <t>Per RTS rules</t>
        </is>
      </c>
      <c r="F15" s="69" t="inlineStr">
        <is>
          <t>CSSF is TLPT authority per DORA Article 46. BCL co-developed framework. Changed from voluntary to mandatory for selected entities under DORA.</t>
        </is>
      </c>
      <c r="G15" s="44" t="inlineStr">
        <is>
          <t>https://www.cssf.lu/wp-content/uploads/TIBER-LU_Implementation_Guide.pdf</t>
        </is>
      </c>
    </row>
    <row r="16">
      <c r="A16" s="70" t="inlineStr">
        <is>
          <t>Malta</t>
        </is>
      </c>
      <c r="B16" s="60" t="inlineStr">
        <is>
          <t>MFSA</t>
        </is>
      </c>
      <c r="C16" s="60" t="inlineStr">
        <is>
          <t>TIBER-MT / DORA TLPT-MT</t>
        </is>
      </c>
      <c r="D16" s="71" t="inlineStr">
        <is>
          <t>Operational (NID published Jul 2025)</t>
        </is>
      </c>
      <c r="E16" s="71" t="inlineStr">
        <is>
          <t>Per RTS rules</t>
        </is>
      </c>
      <c r="F16" s="71" t="inlineStr">
        <is>
          <t>Published a combined "TIBER-MT and DORA TLPT-MT National Implementation Document" in July 2025.</t>
        </is>
      </c>
      <c r="G16" s="72" t="inlineStr">
        <is>
          <t>https://www.mfsa.mt/wp-content/uploads/2025/07/TIBER-MT-and-DORA-TLPT-MT-National-Implementation-Document.pdf</t>
        </is>
      </c>
    </row>
    <row r="17">
      <c r="A17" s="20" t="inlineStr">
        <is>
          <t>Netherlands</t>
        </is>
      </c>
      <c r="B17" s="40" t="inlineStr">
        <is>
          <t>DNB</t>
        </is>
      </c>
      <c r="C17" s="40" t="inlineStr">
        <is>
          <t>TIBER-NL (+ ART)</t>
        </is>
      </c>
      <c r="D17" s="69" t="inlineStr">
        <is>
          <t>Operational (most mature; since 2016)</t>
        </is>
      </c>
      <c r="E17" s="69" t="inlineStr">
        <is>
          <t>Per RTS rules</t>
        </is>
      </c>
      <c r="F17" s="69" t="inlineStr">
        <is>
          <t>Pioneer of TIBER - DNB introduced TIBER-NL in 2016, which became the basis for TIBER-EU. Now operates three frameworks: (1) TLPT (mandatory under DORA), (2) TIBER (voluntary, same methodology), (3) ART - Advanced Red-Teaming (launched 2024, broader scope). Also extended to Dutch government and water sector.</t>
        </is>
      </c>
      <c r="G17" s="44" t="inlineStr">
        <is>
          <t>https://www.dnb.nl/en/sector-information/cash-and-payment-systems/dnb-oversees-cyber-resilience-tests/threat-intelligence-based-ethical-red-teaming-tiber/</t>
        </is>
      </c>
    </row>
    <row r="18">
      <c r="A18" s="70" t="inlineStr">
        <is>
          <t>Norway</t>
        </is>
      </c>
      <c r="B18" s="60" t="inlineStr">
        <is>
          <t>Norges Bank + Finanstilsynet</t>
        </is>
      </c>
      <c r="C18" s="60" t="inlineStr">
        <is>
          <t>TIBER-NO</t>
        </is>
      </c>
      <c r="D18" s="71" t="inlineStr">
        <is>
          <t>Operational (v2.1 published Oct 2025)</t>
        </is>
      </c>
      <c r="E18" s="71" t="inlineStr">
        <is>
          <t>Per RTS rules</t>
        </is>
      </c>
      <c r="F18" s="71" t="inlineStr">
        <is>
          <t>EEA member, not EU. DORA transposed into Norwegian law. Joint central bank/FSA model. Active version management with regular updates (v1.3 Jun 2024, v2.0 Aug 2025, v2.1 Oct 2025).</t>
        </is>
      </c>
      <c r="G18" s="72" t="inlineStr">
        <is>
          <t>https://www.norges-bank.no/contentassets/73b28fbbae604487a3c7b6864f360254/tiber-no-operational-guide-2.1.pdf</t>
        </is>
      </c>
    </row>
    <row r="19">
      <c r="A19" s="20" t="inlineStr">
        <is>
          <t>Portugal</t>
        </is>
      </c>
      <c r="B19" s="40" t="inlineStr">
        <is>
          <t>Banco de Portugal</t>
        </is>
      </c>
      <c r="C19" s="40" t="inlineStr">
        <is>
          <t>TIBER-PT</t>
        </is>
      </c>
      <c r="D19" s="69" t="inlineStr">
        <is>
          <t>Operational (guide published)</t>
        </is>
      </c>
      <c r="E19" s="69" t="inlineStr">
        <is>
          <t>Per RTS rules</t>
        </is>
      </c>
      <c r="F19" s="69" t="inlineStr">
        <is>
          <t>Targets credit institutions, financial holding companies, payment institutions, e-money institutions under BdP supervision.</t>
        </is>
      </c>
      <c r="G19" s="44" t="inlineStr">
        <is>
          <t>https://www.bportugal.pt/sites/default/files/documents/2024-05/TIBER-PT_Guide.pdf</t>
        </is>
      </c>
    </row>
    <row r="20">
      <c r="A20" s="70" t="inlineStr">
        <is>
          <t>Romania</t>
        </is>
      </c>
      <c r="B20" s="60" t="inlineStr">
        <is>
          <t>National Bank of Romania (BNR)</t>
        </is>
      </c>
      <c r="C20" s="60" t="inlineStr">
        <is>
          <t>TIBER-RO</t>
        </is>
      </c>
      <c r="D20" s="71" t="inlineStr">
        <is>
          <t>Operational (regulation since 2022)</t>
        </is>
      </c>
      <c r="E20" s="71" t="inlineStr">
        <is>
          <t>Per RTS rules</t>
        </is>
      </c>
      <c r="F20" s="71" t="inlineStr">
        <is>
          <t>BNR Regulation no. 6/2022 established TIBER-RO. Published in Official Gazette May 2022. Now aligned with DORA TLPT requirements.</t>
        </is>
      </c>
      <c r="G20" s="72" t="inlineStr">
        <is>
          <t>https://www.bnr.ro/DocumentInformation.aspx?idDocument=40092&amp;directLink=1</t>
        </is>
      </c>
    </row>
    <row r="21">
      <c r="A21" s="20" t="inlineStr">
        <is>
          <t>Slovakia</t>
        </is>
      </c>
      <c r="B21" s="40" t="inlineStr">
        <is>
          <t>NBS (Narodna banka Slovenska / TCT-SK)</t>
        </is>
      </c>
      <c r="C21" s="40" t="inlineStr">
        <is>
          <t>TIBER-SK</t>
        </is>
      </c>
      <c r="D21" s="69" t="inlineStr">
        <is>
          <t>Operational (published Jun 2025)</t>
        </is>
      </c>
      <c r="E21" s="69" t="inlineStr">
        <is>
          <t>Per RTS rules; voluntary tests also accepted</t>
        </is>
      </c>
      <c r="F21" s="69" t="inlineStr">
        <is>
          <t>NBS published TIBER-SK framework June 2025. Held TLPT provider workshop June 2025. Explicitly states no deviations from TIBER-EU. Entities not in mandatory scope may request voluntary tests.</t>
        </is>
      </c>
      <c r="G21" s="44" t="inlineStr">
        <is>
          <t>https://nbs.sk/dokument/83839b35-f139-485f-8db8-73db88a51e23/stiahnut?force=false</t>
        </is>
      </c>
    </row>
    <row r="22">
      <c r="A22" s="70" t="inlineStr">
        <is>
          <t>Spain</t>
        </is>
      </c>
      <c r="B22" s="60" t="inlineStr">
        <is>
          <t>Banco de Espana + CNMV + DGSFP</t>
        </is>
      </c>
      <c r="C22" s="60" t="inlineStr">
        <is>
          <t>TIBER-ES</t>
        </is>
      </c>
      <c r="D22" s="71" t="inlineStr">
        <is>
          <t>Operational (guide published)</t>
        </is>
      </c>
      <c r="E22" s="71" t="inlineStr">
        <is>
          <t>Per RTS rules</t>
        </is>
      </c>
      <c r="F22" s="71" t="inlineStr">
        <is>
          <t>Three-authority model: Banco de Espana, CNMV (securities), DGSFP (insurance/pensions). Prioritizing DORA TLPT compliance for most critical financial institutions first.</t>
        </is>
      </c>
      <c r="G22" s="72" t="inlineStr">
        <is>
          <t>https://www.bde.es/f/webbde/INF/MenuHorizontal/Servicios/TIBER-ES/Guia_de_Implementacion_TIBER-ES_Ing.pdf</t>
        </is>
      </c>
    </row>
    <row r="23">
      <c r="A23" s="20" t="inlineStr">
        <is>
          <t>Sweden</t>
        </is>
      </c>
      <c r="B23" s="40" t="inlineStr">
        <is>
          <t>Sveriges Riksbank</t>
        </is>
      </c>
      <c r="C23" s="40" t="inlineStr">
        <is>
          <t>TIBER-SE</t>
        </is>
      </c>
      <c r="D23" s="69" t="inlineStr">
        <is>
          <t>Operational (guide being updated)</t>
        </is>
      </c>
      <c r="E23" s="69" t="inlineStr">
        <is>
          <t>Per RTS rules</t>
        </is>
      </c>
      <c r="F23" s="69" t="inlineStr">
        <is>
          <t>Riksbank Executive Board has formal ownership. Framework currently being updated for DORA/RTS alignment. TIBER-SE used to implement DORA TLPT in Sweden.</t>
        </is>
      </c>
      <c r="G23" s="44" t="inlineStr">
        <is>
          <t>https://www.riksbank.se/en-gb/financial-stability/the-riksbanks-responsibility-with-regard-to-financial-stability/preventing-financial-crises/the-riksbanks-work-on-cyber-risks/tiber-se/</t>
        </is>
      </c>
    </row>
    <row r="24">
      <c r="A24" s="70" t="inlineStr">
        <is>
          <t>Bulgaria</t>
        </is>
      </c>
      <c r="B24" s="60" t="inlineStr">
        <is>
          <t>Bulgarian National Bank (BNB)</t>
        </is>
      </c>
      <c r="C24" s="60" t="inlineStr">
        <is>
          <t>No national TIBER framework published</t>
        </is>
      </c>
      <c r="D24" s="71" t="inlineStr">
        <is>
          <t>DORA applies directly; no national implementation document</t>
        </is>
      </c>
      <c r="E24" s="71" t="inlineStr">
        <is>
          <t>Per RTS rules (no national variation)</t>
        </is>
      </c>
      <c r="F24" s="71" t="inlineStr">
        <is>
          <t>DORA directly applicable since Jan 2025. BNB has audited banking sector DORA preparedness. No significant institutions under SSM. No national TIBER document published.</t>
        </is>
      </c>
      <c r="G24" s="72" t="inlineStr">
        <is>
          <t>https://www.bnb.bg/</t>
        </is>
      </c>
    </row>
    <row r="25">
      <c r="A25" s="20" t="inlineStr">
        <is>
          <t>Croatia</t>
        </is>
      </c>
      <c r="B25" s="40" t="inlineStr">
        <is>
          <t>Croatian National Bank (HNB) + HANFA</t>
        </is>
      </c>
      <c r="C25" s="40" t="inlineStr">
        <is>
          <t>No national TIBER framework published</t>
        </is>
      </c>
      <c r="D25" s="69" t="inlineStr">
        <is>
          <t>DORA applies directly; no national implementation document</t>
        </is>
      </c>
      <c r="E25" s="69" t="inlineStr">
        <is>
          <t>Per RTS rules (no national variation)</t>
        </is>
      </c>
      <c r="F25" s="69" t="inlineStr">
        <is>
          <t>Joined eurozone 2023 and SSM. Unified supervisory structure led by HNB/HANFA. Local TLPT capacity is limited - most entities will rely on external EU providers.</t>
        </is>
      </c>
      <c r="G25" s="44" t="inlineStr">
        <is>
          <t>https://www.hnb.hr/</t>
        </is>
      </c>
    </row>
    <row r="26">
      <c r="A26" s="70" t="inlineStr">
        <is>
          <t>Cyprus</t>
        </is>
      </c>
      <c r="B26" s="60" t="inlineStr">
        <is>
          <t>Central Bank of Cyprus (CBC) + CySEC</t>
        </is>
      </c>
      <c r="C26" s="60" t="inlineStr">
        <is>
          <t>No national TIBER framework published</t>
        </is>
      </c>
      <c r="D26" s="71" t="inlineStr">
        <is>
          <t>DORA applies directly; no national implementation document</t>
        </is>
      </c>
      <c r="E26" s="71" t="inlineStr">
        <is>
          <t>Per RTS rules (no national variation)</t>
        </is>
      </c>
      <c r="F26" s="71" t="inlineStr">
        <is>
          <t>SSM member. Significant institutions fall under ECB's SSM guide. CBC and CySEC share competency. National implementation document expected.</t>
        </is>
      </c>
      <c r="G26" s="72" t="inlineStr">
        <is>
          <t>https://www.centralbank.cy/</t>
        </is>
      </c>
    </row>
    <row r="27">
      <c r="A27" s="20" t="inlineStr">
        <is>
          <t>Estonia</t>
        </is>
      </c>
      <c r="B27" s="40" t="inlineStr">
        <is>
          <t>Finantsinspektsioon (EFSA) + Eesti Pank</t>
        </is>
      </c>
      <c r="C27" s="40" t="inlineStr">
        <is>
          <t>No national TIBER framework published</t>
        </is>
      </c>
      <c r="D27" s="69" t="inlineStr">
        <is>
          <t>DORA applies directly; EFSA held DORA information seminars</t>
        </is>
      </c>
      <c r="E27" s="69" t="inlineStr">
        <is>
          <t>Per RTS rules (no national variation)</t>
        </is>
      </c>
      <c r="F27" s="69" t="inlineStr">
        <is>
          <t>Finantsinspektsioon is primary supervisor. DORA compliance data submission to EFSA/Eesti Pank from Jan 2026. Relatively small financial sector.</t>
        </is>
      </c>
      <c r="G27" s="44" t="inlineStr">
        <is>
          <t>https://www.fi.ee/en/news/finantsinspektsioon-holding-information-seminar-application-dora</t>
        </is>
      </c>
    </row>
    <row r="28">
      <c r="A28" s="70" t="inlineStr">
        <is>
          <t>Greece</t>
        </is>
      </c>
      <c r="B28" s="60" t="inlineStr">
        <is>
          <t>Bank of Greece (BoG)</t>
        </is>
      </c>
      <c r="C28" s="60" t="inlineStr">
        <is>
          <t>No national TIBER framework published</t>
        </is>
      </c>
      <c r="D28" s="71" t="inlineStr">
        <is>
          <t>DORA applies directly; BoG coordinating TLPT/TIBER-EU</t>
        </is>
      </c>
      <c r="E28" s="71" t="inlineStr">
        <is>
          <t>Per RTS rules (no national variation)</t>
        </is>
      </c>
      <c r="F28" s="71" t="inlineStr">
        <is>
          <t>SSM member. BoG implementing DORA (2025-2026) with TLPT/TIBER-EU coordination. Target: 30% faster resolution of severe incidents. Significant institutions under ECB's SSM guide.</t>
        </is>
      </c>
      <c r="G28" s="72" t="inlineStr">
        <is>
          <t>https://www.bankofgreece.gr/en/main-tasks/supervision/dora-digital-operational-resilience-act-for-the-financial-sector</t>
        </is>
      </c>
    </row>
    <row r="29">
      <c r="A29" s="20" t="inlineStr">
        <is>
          <t>Hungary</t>
        </is>
      </c>
      <c r="B29" s="40" t="inlineStr">
        <is>
          <t>Magyar Nemzeti Bank (MNB)</t>
        </is>
      </c>
      <c r="C29" s="40" t="inlineStr">
        <is>
          <t>No national TIBER framework published</t>
        </is>
      </c>
      <c r="D29" s="69" t="inlineStr">
        <is>
          <t>DORA applies directly; MNB actively implementing DORA</t>
        </is>
      </c>
      <c r="E29" s="69" t="inlineStr">
        <is>
          <t>Per RTS rules (no national variation)</t>
        </is>
      </c>
      <c r="F29" s="69" t="inlineStr">
        <is>
          <t>MNB modified IT recommendations for DORA. Created DORA incident reporting and service provider registry platforms. Not in SSM. National TIBER document not yet published.</t>
        </is>
      </c>
      <c r="G29" s="44" t="inlineStr">
        <is>
          <t>https://www.mnb.hu/felugyelet/felugyeleti-keretrendszer/felugyeleti-hirek/hirek-ujdonsagok/megjelent-a-dora-rendelet-fenyegetes-alapu-behatolasi-teszteles-tlpt-elvegzesenek-szabalyait-tartalmazo-vegleges-rts-e-az-eu-hivatalos-lapjaban</t>
        </is>
      </c>
    </row>
    <row r="30">
      <c r="A30" s="70" t="inlineStr">
        <is>
          <t>Latvia</t>
        </is>
      </c>
      <c r="B30" s="60" t="inlineStr">
        <is>
          <t>Latvijas Banka (includes former FKTK)</t>
        </is>
      </c>
      <c r="C30" s="60" t="inlineStr">
        <is>
          <t>No national TIBER framework published</t>
        </is>
      </c>
      <c r="D30" s="71" t="inlineStr">
        <is>
          <t>DORA applies directly; national DORA law in force Oct 2025</t>
        </is>
      </c>
      <c r="E30" s="71" t="inlineStr">
        <is>
          <t>Per RTS rules (no national variation)</t>
        </is>
      </c>
      <c r="F30" s="71" t="inlineStr">
        <is>
          <t>Latvia enacted its own national legislation ("Law on the Resilience of Digital Operations in the Financial Market and AI Use"), effective 1 Oct 2025. Goes beyond DORA with AI compliance mandates. Latvijas Banka absorbed FKTK. Not in SSM.</t>
        </is>
      </c>
      <c r="G30" s="72" t="inlineStr">
        <is>
          <t>https://www.bank.lv/en/operational-areas/supervision/ict-security-and-cyber-risks/dora-implementation-and-subjects</t>
        </is>
      </c>
    </row>
    <row r="31">
      <c r="A31" s="20" t="inlineStr">
        <is>
          <t>Lithuania</t>
        </is>
      </c>
      <c r="B31" s="40" t="inlineStr">
        <is>
          <t>Lietuvos bankas (Bank of Lithuania)</t>
        </is>
      </c>
      <c r="C31" s="40" t="inlineStr">
        <is>
          <t>No national TIBER framework published</t>
        </is>
      </c>
      <c r="D31" s="69" t="inlineStr">
        <is>
          <t>DORA applies directly; Bank of Lithuania is integrated supervisor</t>
        </is>
      </c>
      <c r="E31" s="69" t="inlineStr">
        <is>
          <t>Per RTS rules (no national variation)</t>
        </is>
      </c>
      <c r="F31" s="69" t="inlineStr">
        <is>
          <t>Bank of Lithuania serves as both central bank and financial supervisor. Supports DORA compliance with REGATA reporting platform. Not in SSM. National TIBER implementation expected.</t>
        </is>
      </c>
      <c r="G31" s="44" t="inlineStr">
        <is>
          <t>https://vendorica.com/supervisory/national-authorities/bank-of-lithuania/</t>
        </is>
      </c>
    </row>
    <row r="32">
      <c r="A32" s="70" t="inlineStr">
        <is>
          <t>Poland</t>
        </is>
      </c>
      <c r="B32" s="60" t="inlineStr">
        <is>
          <t>KNF (supervisory) + NBP (operational, expected)</t>
        </is>
      </c>
      <c r="C32" s="60" t="inlineStr">
        <is>
          <t>TIBER-PL (planned, not yet published)</t>
        </is>
      </c>
      <c r="D32" s="71" t="inlineStr">
        <is>
          <t>In development; no national implementation document published as of March 2026</t>
        </is>
      </c>
      <c r="E32" s="71" t="inlineStr">
        <is>
          <t>Per RTS rules (no national variation expected)</t>
        </is>
      </c>
      <c r="F32" s="71" t="inlineStr">
        <is>
          <t>Not in SSM (not in eurozone). KNF published communications on DORA/TIBER-EU. TIBER-PL was expected H1 2025 but remains unpublished. Large financial sector with significant external provider demand. DORA applies directly.</t>
        </is>
      </c>
      <c r="G32" s="72" t="inlineStr">
        <is>
          <t>https://www.knf.gov.pl/?articleId=91971&amp;p_id=18</t>
        </is>
      </c>
    </row>
    <row r="33">
      <c r="A33" s="20" t="inlineStr">
        <is>
          <t>Slovenia</t>
        </is>
      </c>
      <c r="B33" s="40" t="inlineStr">
        <is>
          <t>Banka Slovenije + ATVP + AZN</t>
        </is>
      </c>
      <c r="C33" s="40" t="inlineStr">
        <is>
          <t>No national TIBER framework published</t>
        </is>
      </c>
      <c r="D33" s="69" t="inlineStr">
        <is>
          <t>DORA transposition delayed; infringement procedure opened Mar 2025</t>
        </is>
      </c>
      <c r="E33" s="69" t="inlineStr">
        <is>
          <t>Per RTS rules (no national variation)</t>
        </is>
      </c>
      <c r="F33" s="69" t="inlineStr">
        <is>
          <t>One of 13 member states facing EU infringement procedure for incomplete DORA transposition (Mar 2025). Proposed national implementing regulation published Apr 2025. SSM member. Supervisory responsibilities split between three agencies.</t>
        </is>
      </c>
      <c r="G33" s="44" t="inlineStr">
        <is>
          <t>https://www.dlapiper.com/en/insights/publications/2025/02/application-of-the-digital-operational-resilience-act---dora</t>
        </is>
      </c>
    </row>
    <row r="34">
      <c r="A34" s="70" t="inlineStr">
        <is>
          <t>United Kingdom</t>
        </is>
      </c>
      <c r="B34" s="60" t="inlineStr">
        <is>
          <t>Bank of England (BoE) / PRA / FCA</t>
        </is>
      </c>
      <c r="C34" s="60" t="inlineStr">
        <is>
          <t>CBEST + STAR-FS</t>
        </is>
      </c>
      <c r="D34" s="71" t="inlineStr">
        <is>
          <t>Operational (CBEST since 2014; STAR-FS since 2024)</t>
        </is>
      </c>
      <c r="E34" s="71" t="inlineStr">
        <is>
          <t>Framework-specific; not bound by DORA rules</t>
        </is>
      </c>
      <c r="F34" s="71" t="inlineStr">
        <is>
          <t>UK is NOT subject to DORA. Runs its own independent framework. **CBEST**: for systemically critical institutions, high regulatory oversight, full BoE engagement. **STAR-FS** (2024): extends TLPT to wider range of firms (banks, building societies, insurers, FCA-regulated), lower regulatory oversight, can be self-initiated. Both use 4-phase model. BoE published 2025 CBEST thematic with cross-sector findings. Regulators consulting on ICT/cyber resilience expectations in H2 2025.</t>
        </is>
      </c>
      <c r="G34" s="72" t="inlineStr">
        <is>
          <t>https://www.bankofengland.co.uk/financial-stability/operational-resilience-of-the-financial-sector/cbest-threat-intelligence-led-assessments-implementation-guide</t>
        </is>
      </c>
    </row>
  </sheetData>
  <sheetProtection selectLockedCells="0" selectUnlockedCells="0" sheet="1" objects="0" insertRows="1" insertHyperlinks="1" autoFilter="0" scenarios="0" formatColumns="0" deleteColumns="1" insertColumns="1" pivotTables="1" deleteRows="1" formatCells="1" formatRows="0" sort="0" password="CE4B"/>
  <mergeCells count="1">
    <mergeCell ref="A1:G1"/>
  </mergeCells>
  <conditionalFormatting sqref="D3:D34">
    <cfRule type="expression" priority="1" dxfId="0">
      <formula>ISNUMBER(SEARCH("Operational",D3))</formula>
    </cfRule>
    <cfRule type="expression" priority="2" dxfId="12">
      <formula>ISNUMBER(SEARCH("Published",D3))</formula>
    </cfRule>
    <cfRule type="expression" priority="3" dxfId="13">
      <formula>ISNUMBER(SEARCH("development",D3))</formula>
    </cfRule>
  </conditionalFormatting>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2.xml><?xml version="1.0" encoding="utf-8"?>
<worksheet xmlns="http://schemas.openxmlformats.org/spreadsheetml/2006/main">
  <sheetPr>
    <tabColor rgb="00333333"/>
    <outlinePr summaryBelow="1" summaryRight="1"/>
    <pageSetUpPr fitToPage="1"/>
  </sheetPr>
  <dimension ref="A1:H31"/>
  <sheetViews>
    <sheetView workbookViewId="0">
      <selection activeCell="A1" sqref="A1"/>
    </sheetView>
  </sheetViews>
  <sheetFormatPr baseColWidth="8" defaultRowHeight="15"/>
  <cols>
    <col width="28" customWidth="1" min="1" max="1"/>
    <col width="22" customWidth="1" min="2" max="2"/>
    <col width="14" customWidth="1" min="3" max="3"/>
    <col width="14" customWidth="1" min="4" max="4"/>
    <col width="16" customWidth="1" min="5" max="5"/>
    <col width="16" customWidth="1" min="6" max="6"/>
    <col width="18" customWidth="1" min="7" max="7"/>
    <col width="16" customWidth="1" min="8" max="8"/>
  </cols>
  <sheetData>
    <row r="1">
      <c r="A1" s="14" t="inlineStr">
        <is>
          <t>TLPT DORA CHECKLISTA GOTOWOŚCI</t>
        </is>
      </c>
    </row>
    <row r="2">
      <c r="A2" s="16" t="inlineStr">
        <is>
          <t>Na podstawie DORA RTS 2025/1190 | TIBER-EU 2025</t>
        </is>
      </c>
    </row>
    <row r="4">
      <c r="A4" s="17" t="inlineStr">
        <is>
          <t>Postęp ogólny</t>
        </is>
      </c>
      <c r="C4" s="1">
        <f>COUNTIF('M1-Scope'!C4:C7,"Complete")+COUNTIF('M2-Governance'!C5:C42,"Complete")+COUNTIF('M3-Providers'!C5:C49,"Complete")+COUNTIF('M4-Preparation'!C5:C55,"Complete")+COUNTIF('M5-ThreatIntel'!C5:C44,"Complete")+COUNTIF('M6-RedTeam'!C5:C37,"Complete")+COUNTIF('M7-Closure'!C5:C58,"Complete")+COUNTIF('M8-Remediation'!C5:C30,"Complete")&amp;" / 261 items ukończono ("&amp;ROUND(IF(261=0,0,(COUNTIF('M1-Scope'!C4:C7,"Complete")+COUNTIF('M2-Governance'!C5:C42,"Complete")+COUNTIF('M3-Providers'!C5:C49,"Complete")+COUNTIF('M4-Preparation'!C5:C55,"Complete")+COUNTIF('M5-ThreatIntel'!C5:C44,"Complete")+COUNTIF('M6-RedTeam'!C5:C37,"Complete")+COUNTIF('M7-Closure'!C5:C58,"Complete")+COUNTIF('M8-Remediation'!C5:C30,"Complete"))/261*100),0)&amp;"%)"</f>
        <v/>
      </c>
    </row>
    <row r="6">
      <c r="A6" s="18" t="inlineStr">
        <is>
          <t>Status faz</t>
        </is>
      </c>
    </row>
    <row r="7">
      <c r="A7" s="19" t="inlineStr">
        <is>
          <t>Moduł</t>
        </is>
      </c>
      <c r="B7" s="19" t="inlineStr">
        <is>
          <t>Punkty</t>
        </is>
      </c>
      <c r="C7" s="19" t="inlineStr">
        <is>
          <t>Complete</t>
        </is>
      </c>
      <c r="D7" s="19" t="inlineStr">
        <is>
          <t>%</t>
        </is>
      </c>
      <c r="E7" s="19" t="inlineStr">
        <is>
          <t>Pasek postępu</t>
        </is>
      </c>
      <c r="F7" s="19" t="inlineStr">
        <is>
          <t>Krytyczne pozostałe</t>
        </is>
      </c>
      <c r="G7" s="19" t="inlineStr">
        <is>
          <t>Następny termin</t>
        </is>
      </c>
      <c r="H7" s="19" t="inlineStr"/>
    </row>
    <row r="8">
      <c r="A8" s="20" t="inlineStr">
        <is>
          <t>M1: CZY PODLEGAM OBOWIĄZKOWI?</t>
        </is>
      </c>
      <c r="B8" s="21" t="n">
        <v>4</v>
      </c>
      <c r="C8" s="21">
        <f>COUNTIF('M1-Scope'!C4:C7,"Complete")</f>
        <v/>
      </c>
      <c r="D8" s="73">
        <f>IF(4=0,0,ROUND(C8/4*100,0))</f>
        <v/>
      </c>
      <c r="E8" s="23">
        <f>IF(4=0,0,C8/4)</f>
        <v/>
      </c>
      <c r="F8" s="24">
        <f>COUNTIFS('M1-Scope'!C4:C7,"&lt;&gt;Complete",'M1-Scope'!D4:D7,"CRITICAL")-COUNTIFS('M1-Scope'!C4:C7,"N/A",'M1-Scope'!D4:D7,"CRITICAL")</f>
        <v/>
      </c>
      <c r="G8" s="74" t="n"/>
      <c r="H8" s="26" t="n"/>
    </row>
    <row r="9">
      <c r="A9" s="20" t="inlineStr">
        <is>
          <t>M2: STRUKTURA ZARZĄDZANIA</t>
        </is>
      </c>
      <c r="B9" s="21" t="n">
        <v>34</v>
      </c>
      <c r="C9" s="21">
        <f>COUNTIF('M2-Governance'!C5:C42,"Complete")</f>
        <v/>
      </c>
      <c r="D9" s="73">
        <f>IF(34=0,0,ROUND(C9/34*100,0))</f>
        <v/>
      </c>
      <c r="E9" s="23">
        <f>IF(34=0,0,C9/34)</f>
        <v/>
      </c>
      <c r="F9" s="24">
        <f>COUNTIFS('M2-Governance'!C5:C42,"&lt;&gt;Complete",'M2-Governance'!D5:D42,"CRITICAL")-COUNTIFS('M2-Governance'!C5:C42,"N/A",'M2-Governance'!D5:D42,"CRITICAL")</f>
        <v/>
      </c>
      <c r="G9" s="74" t="n"/>
      <c r="H9" s="26" t="n"/>
    </row>
    <row r="10">
      <c r="A10" s="20" t="inlineStr">
        <is>
          <t>M3: WYBÓR DOSTAWCÓW</t>
        </is>
      </c>
      <c r="B10" s="21" t="n">
        <v>42</v>
      </c>
      <c r="C10" s="21">
        <f>COUNTIF('M3-Providers'!C5:C49,"Complete")</f>
        <v/>
      </c>
      <c r="D10" s="73">
        <f>IF(42=0,0,ROUND(C10/42*100,0))</f>
        <v/>
      </c>
      <c r="E10" s="23">
        <f>IF(42=0,0,C10/42)</f>
        <v/>
      </c>
      <c r="F10" s="24">
        <f>COUNTIFS('M3-Providers'!C5:C49,"&lt;&gt;Complete",'M3-Providers'!D5:D49,"CRITICAL")-COUNTIFS('M3-Providers'!C5:C49,"N/A",'M3-Providers'!D5:D49,"CRITICAL")</f>
        <v/>
      </c>
      <c r="G10" s="74" t="n"/>
      <c r="H10" s="26" t="n"/>
    </row>
    <row r="11">
      <c r="A11" s="20" t="inlineStr">
        <is>
          <t>M4: FAZA PRZYGOTOWAWCZA</t>
        </is>
      </c>
      <c r="B11" s="21" t="n">
        <v>45</v>
      </c>
      <c r="C11" s="21">
        <f>COUNTIF('M4-Preparation'!C5:C55,"Complete")</f>
        <v/>
      </c>
      <c r="D11" s="73">
        <f>IF(45=0,0,ROUND(C11/45*100,0))</f>
        <v/>
      </c>
      <c r="E11" s="23">
        <f>IF(45=0,0,C11/45)</f>
        <v/>
      </c>
      <c r="F11" s="24">
        <f>COUNTIFS('M4-Preparation'!C5:C55,"&lt;&gt;Complete",'M4-Preparation'!D5:D55,"CRITICAL")-COUNTIFS('M4-Preparation'!C5:C55,"N/A",'M4-Preparation'!D5:D55,"CRITICAL")</f>
        <v/>
      </c>
      <c r="G11" s="74" t="n"/>
      <c r="H11" s="26" t="n"/>
    </row>
    <row r="12">
      <c r="A12" s="20" t="inlineStr">
        <is>
          <t>M5: ROZPOZNANIE ZAGROŻEŃ</t>
        </is>
      </c>
      <c r="B12" s="21" t="n">
        <v>36</v>
      </c>
      <c r="C12" s="21">
        <f>COUNTIF('M5-ThreatIntel'!C5:C44,"Complete")</f>
        <v/>
      </c>
      <c r="D12" s="73">
        <f>IF(36=0,0,ROUND(C12/36*100,0))</f>
        <v/>
      </c>
      <c r="E12" s="23">
        <f>IF(36=0,0,C12/36)</f>
        <v/>
      </c>
      <c r="F12" s="24">
        <f>COUNTIFS('M5-ThreatIntel'!C5:C44,"&lt;&gt;Complete",'M5-ThreatIntel'!D5:D44,"CRITICAL")-COUNTIFS('M5-ThreatIntel'!C5:C44,"N/A",'M5-ThreatIntel'!D5:D44,"CRITICAL")</f>
        <v/>
      </c>
      <c r="G12" s="74" t="n"/>
      <c r="H12" s="26" t="n"/>
    </row>
    <row r="13">
      <c r="A13" s="20" t="inlineStr">
        <is>
          <t>M6: TESTY RED TEAM</t>
        </is>
      </c>
      <c r="B13" s="21" t="n">
        <v>29</v>
      </c>
      <c r="C13" s="21">
        <f>COUNTIF('M6-RedTeam'!C5:C37,"Complete")</f>
        <v/>
      </c>
      <c r="D13" s="73">
        <f>IF(29=0,0,ROUND(C13/29*100,0))</f>
        <v/>
      </c>
      <c r="E13" s="23">
        <f>IF(29=0,0,C13/29)</f>
        <v/>
      </c>
      <c r="F13" s="24">
        <f>COUNTIFS('M6-RedTeam'!C5:C37,"&lt;&gt;Complete",'M6-RedTeam'!D5:D37,"CRITICAL")-COUNTIFS('M6-RedTeam'!C5:C37,"N/A",'M6-RedTeam'!D5:D37,"CRITICAL")</f>
        <v/>
      </c>
      <c r="G13" s="74" t="n"/>
      <c r="H13" s="26" t="n"/>
    </row>
    <row r="14">
      <c r="A14" s="20" t="inlineStr">
        <is>
          <t>M7: FAZA ZAMKNIĘCIA</t>
        </is>
      </c>
      <c r="B14" s="21" t="n">
        <v>48</v>
      </c>
      <c r="C14" s="21">
        <f>COUNTIF('M7-Closure'!C5:C58,"Complete")</f>
        <v/>
      </c>
      <c r="D14" s="73">
        <f>IF(48=0,0,ROUND(C14/48*100,0))</f>
        <v/>
      </c>
      <c r="E14" s="23">
        <f>IF(48=0,0,C14/48)</f>
        <v/>
      </c>
      <c r="F14" s="24">
        <f>COUNTIFS('M7-Closure'!C5:C58,"&lt;&gt;Complete",'M7-Closure'!D5:D58,"CRITICAL")-COUNTIFS('M7-Closure'!C5:C58,"N/A",'M7-Closure'!D5:D58,"CRITICAL")</f>
        <v/>
      </c>
      <c r="G14" s="74" t="n"/>
      <c r="H14" s="26" t="n"/>
    </row>
    <row r="15">
      <c r="A15" s="20" t="inlineStr">
        <is>
          <t>M8: REMEDIACJA I ATESTACJA</t>
        </is>
      </c>
      <c r="B15" s="21" t="n">
        <v>23</v>
      </c>
      <c r="C15" s="21">
        <f>COUNTIF('M8-Remediation'!C5:C30,"Complete")</f>
        <v/>
      </c>
      <c r="D15" s="73">
        <f>IF(23=0,0,ROUND(C15/23*100,0))</f>
        <v/>
      </c>
      <c r="E15" s="23">
        <f>IF(23=0,0,C15/23)</f>
        <v/>
      </c>
      <c r="F15" s="24">
        <f>COUNTIFS('M8-Remediation'!C5:C30,"&lt;&gt;Complete",'M8-Remediation'!D5:D30,"CRITICAL")-COUNTIFS('M8-Remediation'!C5:C30,"N/A",'M8-Remediation'!D5:D30,"CRITICAL")</f>
        <v/>
      </c>
      <c r="G15" s="74" t="n"/>
      <c r="H15" s="26" t="n"/>
    </row>
    <row r="16">
      <c r="A16" s="27" t="inlineStr">
        <is>
          <t>Konfiguracja</t>
        </is>
      </c>
      <c r="E16" s="15" t="n"/>
      <c r="F16" s="15" t="n"/>
      <c r="G16" s="15" t="n"/>
      <c r="H16" s="15" t="n"/>
    </row>
    <row r="17">
      <c r="A17" s="28" t="inlineStr">
        <is>
          <t>Data powiadomienia:</t>
        </is>
      </c>
      <c r="B17" s="75" t="n"/>
      <c r="C17" s="26" t="n"/>
      <c r="D17" s="26" t="n"/>
      <c r="E17" s="26" t="n"/>
      <c r="F17" s="26" t="n"/>
      <c r="G17" s="26" t="n"/>
      <c r="H17" s="26" t="n"/>
    </row>
    <row r="18">
      <c r="A18" s="30" t="inlineStr">
        <is>
          <t>Wprowadź datę otrzymania przez podmiot powiadomienia TLPT od właściwego organu.</t>
        </is>
      </c>
      <c r="B18" s="76" t="n"/>
      <c r="C18" s="76" t="n"/>
      <c r="D18" s="76" t="n"/>
      <c r="E18" s="76" t="n"/>
      <c r="F18" s="76" t="n"/>
      <c r="G18" s="76" t="n"/>
      <c r="H18" s="77" t="n"/>
    </row>
    <row r="19">
      <c r="A19" s="27" t="inlineStr">
        <is>
          <t>Kluczowe terminy</t>
        </is>
      </c>
    </row>
    <row r="20">
      <c r="A20" s="19" t="inlineStr">
        <is>
          <t>Kamień milowy</t>
        </is>
      </c>
      <c r="B20" s="19" t="inlineStr">
        <is>
          <t>Termin</t>
        </is>
      </c>
      <c r="C20" s="19" t="inlineStr">
        <is>
          <t>Pozostałe dni</t>
        </is>
      </c>
      <c r="D20" s="19" t="inlineStr">
        <is>
          <t>Status</t>
        </is>
      </c>
      <c r="E20" s="31" t="n"/>
      <c r="F20" s="31" t="n"/>
      <c r="G20" s="31" t="n"/>
      <c r="H20" s="31" t="n"/>
    </row>
    <row r="21">
      <c r="A21" s="32" t="inlineStr">
        <is>
          <t>M1: Karta projektu</t>
        </is>
      </c>
      <c r="B21" s="78">
        <f>IF(NotificationDate="","",NotificationDate+90)</f>
        <v/>
      </c>
      <c r="C21" s="21">
        <f>IF(B21="","",B21-TODAY())</f>
        <v/>
      </c>
      <c r="D21" s="21">
        <f>IF(C21="","",IF(C21&lt;0,"OVERDUE",IF(C21&lt;14,"IMMINENT","On Track")))</f>
        <v/>
      </c>
      <c r="E21" s="26" t="n"/>
      <c r="F21" s="26" t="n"/>
      <c r="G21" s="26" t="n"/>
      <c r="H21" s="26" t="n"/>
    </row>
    <row r="22">
      <c r="A22" s="32" t="inlineStr">
        <is>
          <t>M3: Specyfikacja zakresu</t>
        </is>
      </c>
      <c r="B22" s="78">
        <f>IF(NotificationDate="","",NotificationDate+180)</f>
        <v/>
      </c>
      <c r="C22" s="21">
        <f>IF(B22="","",B22-TODAY())</f>
        <v/>
      </c>
      <c r="D22" s="21">
        <f>IF(C22="","",IF(C22&lt;0,"OVERDUE",IF(C22&lt;14,"IMMINENT","On Track")))</f>
        <v/>
      </c>
      <c r="E22" s="26" t="n"/>
      <c r="F22" s="26" t="n"/>
      <c r="G22" s="26" t="n"/>
      <c r="H22" s="26" t="n"/>
    </row>
    <row r="23">
      <c r="A23" s="32" t="inlineStr">
        <is>
          <t>M7: TTIR złożony</t>
        </is>
      </c>
      <c r="B23" s="78">
        <f>IF(NotificationDate="","",NotificationDate+225)</f>
        <v/>
      </c>
      <c r="C23" s="21">
        <f>IF(B23="","",B23-TODAY())</f>
        <v/>
      </c>
      <c r="D23" s="21">
        <f>IF(C23="","",IF(C23&lt;0,"OVERDUE",IF(C23&lt;14,"IMMINENT","On Track")))</f>
        <v/>
      </c>
      <c r="E23" s="26" t="n"/>
      <c r="F23" s="26" t="n"/>
      <c r="G23" s="26" t="n"/>
      <c r="H23" s="26" t="n"/>
    </row>
    <row r="24">
      <c r="A24" s="32" t="inlineStr">
        <is>
          <t>M8: Plan testów red team</t>
        </is>
      </c>
      <c r="B24" s="78">
        <f>IF(NotificationDate="","",NotificationDate+255)</f>
        <v/>
      </c>
      <c r="C24" s="21">
        <f>IF(B24="","",B24-TODAY())</f>
        <v/>
      </c>
      <c r="D24" s="21">
        <f>IF(C24="","",IF(C24&lt;0,"OVERDUE",IF(C24&lt;14,"IMMINENT","On Track")))</f>
        <v/>
      </c>
      <c r="E24" s="26" t="n"/>
      <c r="F24" s="26" t="n"/>
      <c r="G24" s="26" t="n"/>
      <c r="H24" s="26" t="n"/>
    </row>
    <row r="25">
      <c r="A25" s="32" t="inlineStr">
        <is>
          <t>M11: Koniec testów aktywnych</t>
        </is>
      </c>
      <c r="B25" s="78">
        <f>IF(NotificationDate="","",NotificationDate+339)</f>
        <v/>
      </c>
      <c r="C25" s="21">
        <f>IF(B25="","",B25-TODAY())</f>
        <v/>
      </c>
      <c r="D25" s="21">
        <f>IF(C25="","",IF(C25&lt;0,"OVERDUE",IF(C25&lt;14,"IMMINENT","On Track")))</f>
        <v/>
      </c>
      <c r="E25" s="26" t="n"/>
      <c r="F25" s="26" t="n"/>
      <c r="G25" s="26" t="n"/>
      <c r="H25" s="26" t="n"/>
    </row>
    <row r="26">
      <c r="A26" s="32" t="inlineStr">
        <is>
          <t>M13: Raport red team</t>
        </is>
      </c>
      <c r="B26" s="78">
        <f>IF(NotificationDate="","",NotificationDate+367)</f>
        <v/>
      </c>
      <c r="C26" s="21">
        <f>IF(B26="","",B26-TODAY())</f>
        <v/>
      </c>
      <c r="D26" s="21">
        <f>IF(C26="","",IF(C26&lt;0,"OVERDUE",IF(C26&lt;14,"IMMINENT","On Track")))</f>
        <v/>
      </c>
      <c r="E26" s="26" t="n"/>
      <c r="F26" s="26" t="n"/>
      <c r="G26" s="26" t="n"/>
      <c r="H26" s="26" t="n"/>
    </row>
    <row r="27">
      <c r="A27" s="32" t="inlineStr">
        <is>
          <t>M18: Raport podsumowujący</t>
        </is>
      </c>
      <c r="B27" s="78">
        <f>IF(NotificationDate="","",NotificationDate+481)</f>
        <v/>
      </c>
      <c r="C27" s="21">
        <f>IF(B27="","",B27-TODAY())</f>
        <v/>
      </c>
      <c r="D27" s="21">
        <f>IF(C27="","",IF(C27&lt;0,"OVERDUE",IF(C27&lt;14,"IMMINENT","On Track")))</f>
        <v/>
      </c>
      <c r="E27" s="26" t="n"/>
      <c r="F27" s="26" t="n"/>
      <c r="G27" s="26" t="n"/>
      <c r="H27" s="26" t="n"/>
    </row>
    <row r="29">
      <c r="A29" s="27" t="inlineStr">
        <is>
          <t>Status dostawców</t>
        </is>
      </c>
      <c r="E29" s="15" t="n"/>
      <c r="F29" s="15" t="n"/>
      <c r="G29" s="15" t="n"/>
      <c r="H29" s="15" t="n"/>
    </row>
    <row r="30">
      <c r="A30" s="34" t="inlineStr">
        <is>
          <t>Dostawca TI:</t>
        </is>
      </c>
      <c r="B30" s="35" t="inlineStr">
        <is>
          <t>Not Started</t>
        </is>
      </c>
      <c r="C30" s="26" t="n"/>
      <c r="D30" s="26" t="n"/>
      <c r="E30" s="26" t="n"/>
      <c r="F30" s="26" t="n"/>
      <c r="G30" s="26" t="n"/>
      <c r="H30" s="26" t="n"/>
    </row>
    <row r="31">
      <c r="A31" s="34" t="inlineStr">
        <is>
          <t>Dostawca RT:</t>
        </is>
      </c>
      <c r="B31" s="35" t="inlineStr">
        <is>
          <t>Not Started</t>
        </is>
      </c>
      <c r="C31" s="26" t="n"/>
      <c r="D31" s="26" t="n"/>
      <c r="E31" s="26" t="n"/>
      <c r="F31" s="26" t="n"/>
      <c r="G31" s="26" t="n"/>
      <c r="H31" s="26" t="n"/>
    </row>
  </sheetData>
  <sheetProtection selectLockedCells="0" selectUnlockedCells="0" sheet="1" objects="0" insertRows="1" insertHyperlinks="1" autoFilter="0" scenarios="0" formatColumns="0" deleteColumns="1" insertColumns="1" pivotTables="1" deleteRows="1" formatCells="1" formatRows="0" sort="0" password="CE4B"/>
  <mergeCells count="9">
    <mergeCell ref="A4:B4"/>
    <mergeCell ref="A18:H18"/>
    <mergeCell ref="A2:H2"/>
    <mergeCell ref="A29:D29"/>
    <mergeCell ref="A19:H19"/>
    <mergeCell ref="C4:H4"/>
    <mergeCell ref="A16:D16"/>
    <mergeCell ref="A1:H1"/>
    <mergeCell ref="A6:H6"/>
  </mergeCells>
  <conditionalFormatting sqref="E8:E15">
    <cfRule type="dataBar" priority="1">
      <dataBar>
        <cfvo type="num" val="0"/>
        <cfvo type="num" val="1"/>
        <color rgb="0027AE60"/>
      </dataBar>
    </cfRule>
  </conditionalFormatting>
  <conditionalFormatting sqref="F8:F15">
    <cfRule type="expression" priority="2" dxfId="0">
      <formula>F8=0</formula>
    </cfRule>
    <cfRule type="expression" priority="3" dxfId="1">
      <formula>F8&gt;0</formula>
    </cfRule>
  </conditionalFormatting>
  <conditionalFormatting sqref="D21:D27">
    <cfRule type="cellIs" priority="4" operator="equal" dxfId="1">
      <formula>"OVERDUE"</formula>
    </cfRule>
    <cfRule type="cellIs" priority="5" operator="equal" dxfId="2">
      <formula>"IMMINENT"</formula>
    </cfRule>
    <cfRule type="cellIs" priority="6" operator="equal" dxfId="3">
      <formula>"On Track"</formula>
    </cfRule>
  </conditionalFormatting>
  <dataValidations count="3">
    <dataValidation sqref="B17" showDropDown="0" showInputMessage="0" showErrorMessage="1" allowBlank="1" errorTitle="Invalid Date" error="Please enter a valid date" type="date" operator="greaterThan">
      <formula1>2020-01-01</formula1>
    </dataValidation>
    <dataValidation sqref="G8:G15" showDropDown="0" showInputMessage="0" showErrorMessage="1" allowBlank="1" errorTitle="Invalid Date" error="Please enter a valid date" type="date" operator="greaterThan">
      <formula1>2020-01-01</formula1>
    </dataValidation>
    <dataValidation sqref="B30 B31" showDropDown="0" showInputMessage="0" showErrorMessage="0" allowBlank="1" type="list">
      <formula1>"Not Started,Evaluating,Selected"</formula1>
    </dataValidation>
  </dataValidations>
  <pageMargins left="0.75" right="0.75" top="1" bottom="1" header="0.5" footer="0.5"/>
  <pageSetup orientation="portrait" fitToHeight="0" fitToWidth="1"/>
  <headerFooter>
    <oddHeader>&amp;LAFINE | TLPT DORA Checklista gotowości&amp;RPage &amp;P of &amp;N</oddHeader>
    <oddFooter>&amp;CAFINE sp. z o.o. | afine.com</oddFooter>
    <evenHeader/>
    <evenFooter/>
    <firstHeader/>
    <firstFooter/>
  </headerFooter>
</worksheet>
</file>

<file path=xl/worksheets/sheet3.xml><?xml version="1.0" encoding="utf-8"?>
<worksheet xmlns="http://schemas.openxmlformats.org/spreadsheetml/2006/main">
  <sheetPr>
    <tabColor rgb="0027AE60"/>
    <outlinePr summaryBelow="1" summaryRight="1"/>
    <pageSetUpPr fitToPage="1"/>
  </sheetPr>
  <dimension ref="A1:J9"/>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Moduł 1: CZY PODLEGAM OBOWIĄZKOWI?</t>
        </is>
      </c>
    </row>
    <row r="2">
      <c r="A2" s="37" t="inlineStr">
        <is>
          <t>#</t>
        </is>
      </c>
      <c r="B2" s="37" t="inlineStr">
        <is>
          <t>Element checklisty</t>
        </is>
      </c>
      <c r="C2" s="37" t="inlineStr">
        <is>
          <t>Status</t>
        </is>
      </c>
      <c r="D2" s="37" t="inlineStr">
        <is>
          <t>Priorytet</t>
        </is>
      </c>
      <c r="E2" s="37" t="inlineStr">
        <is>
          <t>Właściciel</t>
        </is>
      </c>
      <c r="F2" s="37" t="inlineStr">
        <is>
          <t>Termin</t>
        </is>
      </c>
      <c r="G2" s="37" t="inlineStr">
        <is>
          <t>Data realizacji</t>
        </is>
      </c>
      <c r="H2" s="37" t="inlineStr">
        <is>
          <t>Odniesienie RTS</t>
        </is>
      </c>
      <c r="I2" s="37" t="inlineStr">
        <is>
          <t>Dowody/Uwagi</t>
        </is>
      </c>
      <c r="J2" s="37" t="inlineStr">
        <is>
          <t>Ryzyko pominięcia</t>
        </is>
      </c>
    </row>
    <row r="3">
      <c r="A3" s="38">
        <f>"Postęp: "&amp;COUNTIF(C4:C7,"Complete")&amp;" / 4 ukończono ("&amp;IF(4=0,0,ROUND(COUNTIF(C4:C7,"Complete")/4*100,0))&amp;"%)"</f>
        <v/>
      </c>
      <c r="B3" s="76" t="n"/>
      <c r="C3" s="76" t="n"/>
      <c r="D3" s="76" t="n"/>
      <c r="E3" s="76" t="n"/>
      <c r="F3" s="76" t="n"/>
      <c r="G3" s="76" t="n"/>
      <c r="H3" s="76" t="n"/>
      <c r="I3" s="76" t="n"/>
      <c r="J3" s="77" t="n"/>
    </row>
    <row r="4">
      <c r="A4" s="39" t="inlineStr">
        <is>
          <t>1.1</t>
        </is>
      </c>
      <c r="B4" s="40" t="inlineStr">
        <is>
          <t>Określ typ podmiotu - czy należysz do jednego z 20 typów podmiotów finansowych wg art. 2 DORA?</t>
        </is>
      </c>
      <c r="C4" s="35" t="inlineStr">
        <is>
          <t>Not Started</t>
        </is>
      </c>
      <c r="D4" s="41" t="inlineStr">
        <is>
          <t>CRITICAL</t>
        </is>
      </c>
      <c r="E4" s="42" t="n"/>
      <c r="F4" s="79" t="n"/>
      <c r="G4" s="79" t="n"/>
      <c r="H4" s="44" t="inlineStr">
        <is>
          <t>DORA Art. 2(1)</t>
        </is>
      </c>
      <c r="I4" s="45" t="n"/>
      <c r="J4" s="35" t="n"/>
    </row>
    <row r="5">
      <c r="A5" s="39" t="inlineStr">
        <is>
          <t>1.2</t>
        </is>
      </c>
      <c r="B5" s="40" t="inlineStr">
        <is>
          <t>Sprawdź progi obowiązkowe (art. 2 RTS):</t>
        </is>
      </c>
      <c r="C5" s="35" t="inlineStr">
        <is>
          <t>Not Started</t>
        </is>
      </c>
      <c r="D5" s="41" t="inlineStr">
        <is>
          <t>CRITICAL</t>
        </is>
      </c>
      <c r="E5" s="42" t="n"/>
      <c r="F5" s="79" t="n"/>
      <c r="G5" s="79" t="n"/>
      <c r="H5" s="44" t="inlineStr">
        <is>
          <t>RTS Art. 2</t>
        </is>
      </c>
      <c r="I5" s="45" t="n"/>
      <c r="J5" s="35" t="n"/>
    </row>
    <row r="6">
      <c r="A6" s="39" t="inlineStr">
        <is>
          <t>1.3</t>
        </is>
      </c>
      <c r="B6" s="40" t="inlineStr">
        <is>
          <t>Sprawdź włączenie uznaniowe - nawet poniżej progów, właściwy organ krajowy może Cię wyznaczyć na podstawie:</t>
        </is>
      </c>
      <c r="C6" s="35" t="inlineStr">
        <is>
          <t>Not Started</t>
        </is>
      </c>
      <c r="D6" s="46" t="inlineStr">
        <is>
          <t>HIGH</t>
        </is>
      </c>
      <c r="E6" s="42" t="n"/>
      <c r="F6" s="79" t="n"/>
      <c r="G6" s="79" t="n"/>
      <c r="H6" s="44" t="inlineStr">
        <is>
          <t>RTS Art. 2; DORA Art. 26(8)</t>
        </is>
      </c>
      <c r="I6" s="45" t="n"/>
      <c r="J6" s="35" t="n"/>
    </row>
    <row r="7">
      <c r="A7" s="39" t="inlineStr">
        <is>
          <t>1.4</t>
        </is>
      </c>
      <c r="B7" s="40" t="inlineStr">
        <is>
          <t>Sprawdź możliwość zwolnienia - właściwe organy mogą zwolnić podmioty o „niskim profilu ryzyka ICT” nawet jeśli formalnie podlegają obowiązkowi</t>
        </is>
      </c>
      <c r="C7" s="35" t="inlineStr">
        <is>
          <t>Not Started</t>
        </is>
      </c>
      <c r="D7" s="46" t="inlineStr">
        <is>
          <t>HIGH</t>
        </is>
      </c>
      <c r="E7" s="42" t="n"/>
      <c r="F7" s="79" t="n"/>
      <c r="G7" s="79" t="n"/>
      <c r="H7" s="44" t="inlineStr">
        <is>
          <t>DORA Art. 26(8)</t>
        </is>
      </c>
      <c r="I7" s="45" t="n"/>
      <c r="J7" s="35" t="n"/>
    </row>
    <row r="8">
      <c r="A8" s="26" t="n"/>
      <c r="B8" s="47" t="inlineStr">
        <is>
          <t>WSKAZÓWKA: Podmioty często zakładają zwolnienie, bo nie przekraczają jednego progu, tylko po to, żeby trzy miesiące później zostać wyznaczonym na podstawie uznaniowej. Jeśli krajowy organ sygnalizował zainteresowanie Twoim podmiotem, traktuj to jako pewność, nie możliwość. Zacznij przygotowania teraz.</t>
        </is>
      </c>
      <c r="C8" s="26" t="n"/>
      <c r="D8" s="26" t="n"/>
      <c r="E8" s="26" t="n"/>
      <c r="F8" s="26" t="n"/>
      <c r="G8" s="26" t="n"/>
      <c r="H8" s="26" t="n"/>
      <c r="I8" s="26" t="n"/>
      <c r="J8" s="26" t="n"/>
    </row>
    <row r="9">
      <c r="A9" s="26" t="n"/>
      <c r="B9" s="47" t="inlineStr">
        <is>
          <t>WSKAZÓWKA: Nie czekaj na formalne powiadomienie. Jeśli jesteś blisko progów, zacznij przygotowania teraz. 3-miesięczny termin inicjacji rozpoczyna się w dniu powiadomienia - a definiowanie zakresu bez wcześniejszych prac przygotowawczych oznacza stracone tygodnie.</t>
        </is>
      </c>
      <c r="C9" s="26" t="n"/>
      <c r="D9" s="26" t="n"/>
      <c r="E9" s="26" t="n"/>
      <c r="F9" s="26" t="n"/>
      <c r="G9" s="26" t="n"/>
      <c r="H9" s="26" t="n"/>
      <c r="I9" s="26" t="n"/>
      <c r="J9" s="26" t="n"/>
    </row>
  </sheetData>
  <sheetProtection selectLockedCells="0" selectUnlockedCells="0" sheet="1" objects="0" insertRows="1" insertHyperlinks="1" autoFilter="0" scenarios="0" formatColumns="0" deleteColumns="1" insertColumns="1" pivotTables="1" deleteRows="1" formatCells="1" formatRows="0" sort="0" password="CE4B"/>
  <mergeCells count="2">
    <mergeCell ref="A1:J1"/>
    <mergeCell ref="A3:J3"/>
  </mergeCells>
  <conditionalFormatting sqref="A4:J7">
    <cfRule type="expression" priority="1" dxfId="4" stopIfTrue="1">
      <formula>$C4="N/A"</formula>
    </cfRule>
    <cfRule type="expression" priority="2" dxfId="5" stopIfTrue="1">
      <formula>AND($C4&lt;&gt;"Complete",$C4&lt;&gt;"N/A",$C4&lt;&gt;"",$F4&lt;&gt;"",$F4&lt;TODAY())</formula>
    </cfRule>
    <cfRule type="expression" priority="3" dxfId="0" stopIfTrue="1">
      <formula>$C4="Complete"</formula>
    </cfRule>
  </conditionalFormatting>
  <dataValidations count="4">
    <dataValidation sqref="C4:C7" showDropDown="0" showInputMessage="0" showErrorMessage="0" allowBlank="1" errorTitle="Invalid Status" error="Select: Not Started, In Progress, Complete, N/A" type="list">
      <formula1>"Not Started,In Progress,Complete,N/A"</formula1>
    </dataValidation>
    <dataValidation sqref="J4:J7" showDropDown="0" showInputMessage="0" showErrorMessage="0" allowBlank="1" errorTitle="Invalid Risk" error="Select: High, Medium, Low" type="list">
      <formula1>"High,Medium,Low"</formula1>
    </dataValidation>
    <dataValidation sqref="F4:F7" showDropDown="0" showInputMessage="0" showErrorMessage="1" allowBlank="1" errorTitle="Invalid Date" error="Please enter a valid date" type="date" operator="greaterThan">
      <formula1>2020-01-01</formula1>
    </dataValidation>
    <dataValidation sqref="G4:G7"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4" r:id="rId1"/>
    <hyperlink xmlns:r="http://schemas.openxmlformats.org/officeDocument/2006/relationships" ref="H5" r:id="rId2"/>
    <hyperlink xmlns:r="http://schemas.openxmlformats.org/officeDocument/2006/relationships" ref="H6" r:id="rId3"/>
    <hyperlink xmlns:r="http://schemas.openxmlformats.org/officeDocument/2006/relationships" ref="H7" r:id="rId4"/>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4.xml><?xml version="1.0" encoding="utf-8"?>
<worksheet xmlns="http://schemas.openxmlformats.org/spreadsheetml/2006/main">
  <sheetPr>
    <tabColor rgb="0027AE60"/>
    <outlinePr summaryBelow="1" summaryRight="1"/>
    <pageSetUpPr fitToPage="1"/>
  </sheetPr>
  <dimension ref="A1:J43"/>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Moduł 2: STRUKTURA ZARZĄDZANIA</t>
        </is>
      </c>
    </row>
    <row r="2">
      <c r="A2" s="37" t="inlineStr">
        <is>
          <t>#</t>
        </is>
      </c>
      <c r="B2" s="37" t="inlineStr">
        <is>
          <t>Element checklisty</t>
        </is>
      </c>
      <c r="C2" s="37" t="inlineStr">
        <is>
          <t>Status</t>
        </is>
      </c>
      <c r="D2" s="37" t="inlineStr">
        <is>
          <t>Priorytet</t>
        </is>
      </c>
      <c r="E2" s="37" t="inlineStr">
        <is>
          <t>Właściciel</t>
        </is>
      </c>
      <c r="F2" s="37" t="inlineStr">
        <is>
          <t>Termin</t>
        </is>
      </c>
      <c r="G2" s="37" t="inlineStr">
        <is>
          <t>Data realizacji</t>
        </is>
      </c>
      <c r="H2" s="37" t="inlineStr">
        <is>
          <t>Odniesienie RTS</t>
        </is>
      </c>
      <c r="I2" s="37" t="inlineStr">
        <is>
          <t>Dowody/Uwagi</t>
        </is>
      </c>
      <c r="J2" s="37" t="inlineStr">
        <is>
          <t>Ryzyko pominięcia</t>
        </is>
      </c>
    </row>
    <row r="3">
      <c r="A3" s="38">
        <f>"Postęp: "&amp;COUNTIF(C5:C42,"Complete")&amp;" / 34 ukończono ("&amp;IF(34=0,0,ROUND(COUNTIF(C5:C42,"Complete")/34*100,0))&amp;"%)"</f>
        <v/>
      </c>
      <c r="B3" s="76" t="n"/>
      <c r="C3" s="76" t="n"/>
      <c r="D3" s="76" t="n"/>
      <c r="E3" s="76" t="n"/>
      <c r="F3" s="76" t="n"/>
      <c r="G3" s="76" t="n"/>
      <c r="H3" s="76" t="n"/>
      <c r="I3" s="76" t="n"/>
      <c r="J3" s="77" t="n"/>
    </row>
    <row r="4">
      <c r="A4" s="48" t="inlineStr">
        <is>
          <t>2A: Przygotowanie organu zarządzającego</t>
        </is>
      </c>
      <c r="B4" s="76" t="n"/>
      <c r="C4" s="76" t="n"/>
      <c r="D4" s="76" t="n"/>
      <c r="E4" s="76" t="n"/>
      <c r="F4" s="76" t="n"/>
      <c r="G4" s="76" t="n"/>
      <c r="H4" s="76" t="n"/>
      <c r="I4" s="76" t="n"/>
      <c r="J4" s="77" t="n"/>
    </row>
    <row r="5">
      <c r="A5" s="39" t="inlineStr">
        <is>
          <t>2.1</t>
        </is>
      </c>
      <c r="B5" s="40" t="inlineStr">
        <is>
          <t>Przedstaw zarządowi/kierownictwu obowiązki i harmonogram TLPT (12-18 miesięcy)</t>
        </is>
      </c>
      <c r="C5" s="35" t="inlineStr">
        <is>
          <t>Not Started</t>
        </is>
      </c>
      <c r="D5" s="46" t="inlineStr">
        <is>
          <t>HIGH</t>
        </is>
      </c>
      <c r="E5" s="42" t="n"/>
      <c r="F5" s="79" t="n"/>
      <c r="G5" s="79" t="n"/>
      <c r="H5" s="44" t="inlineStr">
        <is>
          <t>DORA Art. 26(1); RTS Art. 9(6)</t>
        </is>
      </c>
      <c r="I5" s="45" t="n"/>
      <c r="J5" s="35" t="n"/>
    </row>
    <row r="6">
      <c r="A6" s="39" t="inlineStr">
        <is>
          <t>2.2</t>
        </is>
      </c>
      <c r="B6" s="40" t="inlineStr">
        <is>
          <t>Potwierdź dostępność organu zarządzającego do formalnego zatwierdzenia specyfikacji zakresu (wymagane przez art. 9(6) RTS)</t>
        </is>
      </c>
      <c r="C6" s="35" t="inlineStr">
        <is>
          <t>Not Started</t>
        </is>
      </c>
      <c r="D6" s="41" t="inlineStr">
        <is>
          <t>CRITICAL</t>
        </is>
      </c>
      <c r="E6" s="42" t="n"/>
      <c r="F6" s="79" t="n"/>
      <c r="G6" s="79" t="n"/>
      <c r="H6" s="44" t="inlineStr">
        <is>
          <t>RTS Art. 9(6)</t>
        </is>
      </c>
      <c r="I6" s="45" t="n"/>
      <c r="J6" s="35" t="n"/>
    </row>
    <row r="7">
      <c r="A7" s="39" t="inlineStr">
        <is>
          <t>2.3</t>
        </is>
      </c>
      <c r="B7" s="40" t="inlineStr">
        <is>
          <t>Wyznacz osobę odpowiedzialną za budżet - typowy koszt TLPT to 150-500 tys. EUR za dostawców TI + red team</t>
        </is>
      </c>
      <c r="C7" s="35" t="inlineStr">
        <is>
          <t>Not Started</t>
        </is>
      </c>
      <c r="D7" s="46" t="inlineStr">
        <is>
          <t>HIGH</t>
        </is>
      </c>
      <c r="E7" s="42" t="n"/>
      <c r="F7" s="79" t="n"/>
      <c r="G7" s="79" t="n"/>
      <c r="H7" s="50" t="inlineStr">
        <is>
          <t>Dobra praktyka</t>
        </is>
      </c>
      <c r="I7" s="45" t="n"/>
      <c r="J7" s="35" t="n"/>
    </row>
    <row r="8">
      <c r="A8" s="39" t="inlineStr">
        <is>
          <t>2.4</t>
        </is>
      </c>
      <c r="B8" s="40" t="inlineStr">
        <is>
          <t>Ustal harmonogram raportowania postępów TLPT na poziomie zarządu</t>
        </is>
      </c>
      <c r="C8" s="35" t="inlineStr">
        <is>
          <t>Not Started</t>
        </is>
      </c>
      <c r="D8" s="51" t="inlineStr">
        <is>
          <t>MEDIUM</t>
        </is>
      </c>
      <c r="E8" s="42" t="n"/>
      <c r="F8" s="79" t="n"/>
      <c r="G8" s="79" t="n"/>
      <c r="H8" s="44" t="inlineStr">
        <is>
          <t>RTS Art. 4; RTS Art. 9(4)</t>
        </is>
      </c>
      <c r="I8" s="45" t="n"/>
      <c r="J8" s="35" t="n"/>
    </row>
    <row r="9">
      <c r="A9" s="48" t="inlineStr">
        <is>
          <t>2B: Utworzenie zespołu kontrolnego</t>
        </is>
      </c>
      <c r="B9" s="76" t="n"/>
      <c r="C9" s="76" t="n"/>
      <c r="D9" s="76" t="n"/>
      <c r="E9" s="76" t="n"/>
      <c r="F9" s="76" t="n"/>
      <c r="G9" s="76" t="n"/>
      <c r="H9" s="76" t="n"/>
      <c r="I9" s="76" t="n"/>
      <c r="J9" s="77" t="n"/>
    </row>
    <row r="10">
      <c r="A10" s="39" t="inlineStr">
        <is>
          <t>2.5</t>
        </is>
      </c>
      <c r="B10" s="40" t="inlineStr">
        <is>
          <t>Wyznacz lidera zespołu kontrolnego (CTL) o kompetencjach:</t>
        </is>
      </c>
      <c r="C10" s="35" t="inlineStr">
        <is>
          <t>Not Started</t>
        </is>
      </c>
      <c r="D10" s="41" t="inlineStr">
        <is>
          <t>CRITICAL</t>
        </is>
      </c>
      <c r="E10" s="42" t="n"/>
      <c r="F10" s="79" t="n"/>
      <c r="G10" s="79" t="n"/>
      <c r="H10" s="44" t="inlineStr">
        <is>
          <t>RTS Art. 4; RTS Art. 9(4)</t>
        </is>
      </c>
      <c r="I10" s="45" t="n"/>
      <c r="J10" s="35" t="n"/>
    </row>
    <row r="11">
      <c r="A11" s="39" t="inlineStr">
        <is>
          <t>2.6</t>
        </is>
      </c>
      <c r="B11" s="40" t="inlineStr">
        <is>
          <t>Wysoka pozycja organizacyjna z bezpośrednim dostępem do kierownictwa</t>
        </is>
      </c>
      <c r="C11" s="35" t="inlineStr">
        <is>
          <t>Not Started</t>
        </is>
      </c>
      <c r="D11" s="41" t="inlineStr">
        <is>
          <t>CRITICAL</t>
        </is>
      </c>
      <c r="E11" s="42" t="n"/>
      <c r="F11" s="79" t="n"/>
      <c r="G11" s="79" t="n"/>
      <c r="H11" s="44" t="inlineStr">
        <is>
          <t>RTS Art. 4</t>
        </is>
      </c>
      <c r="I11" s="45" t="n"/>
      <c r="J11" s="35" t="n"/>
    </row>
    <row r="12">
      <c r="A12" s="39" t="inlineStr">
        <is>
          <t>2.7</t>
        </is>
      </c>
      <c r="B12" s="40" t="inlineStr">
        <is>
          <t>Uprawnienia do podejmowania wiążących decyzji bez ujawniania innym zespołom</t>
        </is>
      </c>
      <c r="C12" s="35" t="inlineStr">
        <is>
          <t>Not Started</t>
        </is>
      </c>
      <c r="D12" s="41" t="inlineStr">
        <is>
          <t>CRITICAL</t>
        </is>
      </c>
      <c r="E12" s="42" t="n"/>
      <c r="F12" s="79" t="n"/>
      <c r="G12" s="79" t="n"/>
      <c r="H12" s="44" t="inlineStr">
        <is>
          <t>RTS Art. 4</t>
        </is>
      </c>
      <c r="I12" s="45" t="n"/>
      <c r="J12" s="35" t="n"/>
    </row>
    <row r="13">
      <c r="A13" s="39" t="inlineStr">
        <is>
          <t>2.8</t>
        </is>
      </c>
      <c r="B13" s="40" t="inlineStr">
        <is>
          <t>Dostępność do poświęcenia znaczącego czasu przez 12-18 miesięcy</t>
        </is>
      </c>
      <c r="C13" s="35" t="inlineStr">
        <is>
          <t>Not Started</t>
        </is>
      </c>
      <c r="D13" s="46" t="inlineStr">
        <is>
          <t>HIGH</t>
        </is>
      </c>
      <c r="E13" s="42" t="n"/>
      <c r="F13" s="79" t="n"/>
      <c r="G13" s="79" t="n"/>
      <c r="H13" s="50" t="inlineStr">
        <is>
          <t>Dobra praktyka</t>
        </is>
      </c>
      <c r="I13" s="45" t="n"/>
      <c r="J13" s="35" t="n"/>
    </row>
    <row r="14">
      <c r="A14" s="26" t="n"/>
      <c r="B14" s="47" t="inlineStr">
        <is>
          <t>WSKAZÓWKA: Rola lidera zespołu kontrolnego to pełnoetatowe zajęcie udające dodatkowy obowiązek. W TLPT, gdzie CTL jednocześnie prowadził bieżące operacje bezpieczeństwa, problemy z harmonogramem pojawiają się w trzecim miesiącu. Jeśli Twój kandydat na CTL nie może poświęcić 50% swojego czasu, szukaj kogoś innego.</t>
        </is>
      </c>
      <c r="C14" s="26" t="n"/>
      <c r="D14" s="26" t="n"/>
      <c r="E14" s="26" t="n"/>
      <c r="F14" s="26" t="n"/>
      <c r="G14" s="26" t="n"/>
      <c r="H14" s="26" t="n"/>
      <c r="I14" s="26" t="n"/>
      <c r="J14" s="26" t="n"/>
    </row>
    <row r="15">
      <c r="A15" s="39" t="inlineStr">
        <is>
          <t>2.9</t>
        </is>
      </c>
      <c r="B15" s="40" t="inlineStr">
        <is>
          <t>Rozumienie zarówno operacji biznesowych, jak i systemów ICT</t>
        </is>
      </c>
      <c r="C15" s="35" t="inlineStr">
        <is>
          <t>Not Started</t>
        </is>
      </c>
      <c r="D15" s="46" t="inlineStr">
        <is>
          <t>HIGH</t>
        </is>
      </c>
      <c r="E15" s="42" t="n"/>
      <c r="F15" s="79" t="n"/>
      <c r="G15" s="79" t="n"/>
      <c r="H15" s="44" t="inlineStr">
        <is>
          <t>RTS Art. 9(4)</t>
        </is>
      </c>
      <c r="I15" s="45" t="n"/>
      <c r="J15" s="35" t="n"/>
    </row>
    <row r="16">
      <c r="A16" s="39" t="inlineStr">
        <is>
          <t>2.10</t>
        </is>
      </c>
      <c r="B16" s="40" t="inlineStr">
        <is>
          <t>Zbuduj zespół kontrolny (zalecane 3-5 osób):</t>
        </is>
      </c>
      <c r="C16" s="35" t="inlineStr">
        <is>
          <t>Not Started</t>
        </is>
      </c>
      <c r="D16" s="46" t="inlineStr">
        <is>
          <t>HIGH</t>
        </is>
      </c>
      <c r="E16" s="42" t="n"/>
      <c r="F16" s="79" t="n"/>
      <c r="G16" s="79" t="n"/>
      <c r="H16" s="44" t="inlineStr">
        <is>
          <t>RTS Art. 9(4)</t>
        </is>
      </c>
      <c r="I16" s="45" t="n"/>
      <c r="J16" s="35" t="n"/>
    </row>
    <row r="17">
      <c r="A17" s="39" t="inlineStr">
        <is>
          <t>2.11</t>
        </is>
      </c>
      <c r="B17" s="40" t="inlineStr">
        <is>
          <t>CTL (obowiązkowy)</t>
        </is>
      </c>
      <c r="C17" s="35" t="inlineStr">
        <is>
          <t>Not Started</t>
        </is>
      </c>
      <c r="D17" s="41" t="inlineStr">
        <is>
          <t>CRITICAL</t>
        </is>
      </c>
      <c r="E17" s="42" t="n"/>
      <c r="F17" s="79" t="n"/>
      <c r="G17" s="79" t="n"/>
      <c r="H17" s="44" t="inlineStr">
        <is>
          <t>RTS Art. 4</t>
        </is>
      </c>
      <c r="I17" s="45" t="n"/>
      <c r="J17" s="35" t="n"/>
    </row>
    <row r="18">
      <c r="A18" s="39" t="inlineStr">
        <is>
          <t>2.12</t>
        </is>
      </c>
      <c r="B18" s="40" t="inlineStr">
        <is>
          <t>Przedstawiciel ryzyka/compliance</t>
        </is>
      </c>
      <c r="C18" s="35" t="inlineStr">
        <is>
          <t>Not Started</t>
        </is>
      </c>
      <c r="D18" s="46" t="inlineStr">
        <is>
          <t>HIGH</t>
        </is>
      </c>
      <c r="E18" s="42" t="n"/>
      <c r="F18" s="79" t="n"/>
      <c r="G18" s="79" t="n"/>
      <c r="H18" s="44" t="inlineStr">
        <is>
          <t>RTS Art. 9(4)</t>
        </is>
      </c>
      <c r="I18" s="45" t="n"/>
      <c r="J18" s="35" t="n"/>
    </row>
    <row r="19">
      <c r="A19" s="39" t="inlineStr">
        <is>
          <t>2.13</t>
        </is>
      </c>
      <c r="B19" s="40" t="inlineStr">
        <is>
          <t>Przedstawiciel ICT/infrastruktury</t>
        </is>
      </c>
      <c r="C19" s="35" t="inlineStr">
        <is>
          <t>Not Started</t>
        </is>
      </c>
      <c r="D19" s="46" t="inlineStr">
        <is>
          <t>HIGH</t>
        </is>
      </c>
      <c r="E19" s="42" t="n"/>
      <c r="F19" s="79" t="n"/>
      <c r="G19" s="79" t="n"/>
      <c r="H19" s="44" t="inlineStr">
        <is>
          <t>RTS Art. 9(4)</t>
        </is>
      </c>
      <c r="I19" s="45" t="n"/>
      <c r="J19" s="35" t="n"/>
    </row>
    <row r="20">
      <c r="A20" s="39" t="inlineStr">
        <is>
          <t>2.14</t>
        </is>
      </c>
      <c r="B20" s="40" t="inlineStr">
        <is>
          <t>Przedstawiciel operacji biznesowych</t>
        </is>
      </c>
      <c r="C20" s="35" t="inlineStr">
        <is>
          <t>Not Started</t>
        </is>
      </c>
      <c r="D20" s="46" t="inlineStr">
        <is>
          <t>HIGH</t>
        </is>
      </c>
      <c r="E20" s="42" t="n"/>
      <c r="F20" s="79" t="n"/>
      <c r="G20" s="79" t="n"/>
      <c r="H20" s="44" t="inlineStr">
        <is>
          <t>RTS Art. 9(4)</t>
        </is>
      </c>
      <c r="I20" s="45" t="n"/>
      <c r="J20" s="35" t="n"/>
    </row>
    <row r="21">
      <c r="A21" s="39" t="inlineStr">
        <is>
          <t>2.15</t>
        </is>
      </c>
      <c r="B21" s="40" t="inlineStr">
        <is>
          <t>Przedstawiciel prawny/zakupowy (opcjonalnie)</t>
        </is>
      </c>
      <c r="C21" s="35" t="inlineStr">
        <is>
          <t>Not Started</t>
        </is>
      </c>
      <c r="D21" s="51" t="inlineStr">
        <is>
          <t>MEDIUM</t>
        </is>
      </c>
      <c r="E21" s="42" t="n"/>
      <c r="F21" s="79" t="n"/>
      <c r="G21" s="79" t="n"/>
      <c r="H21" s="50" t="inlineStr">
        <is>
          <t>Dobra praktyka</t>
        </is>
      </c>
      <c r="I21" s="45" t="n"/>
      <c r="J21" s="35" t="n"/>
    </row>
    <row r="22">
      <c r="A22" s="39" t="inlineStr">
        <is>
          <t>2.16</t>
        </is>
      </c>
      <c r="B22" s="40" t="inlineStr">
        <is>
          <t>Ustal protokoły poufności:</t>
        </is>
      </c>
      <c r="C22" s="35" t="inlineStr">
        <is>
          <t>Not Started</t>
        </is>
      </c>
      <c r="D22" s="46" t="inlineStr">
        <is>
          <t>HIGH</t>
        </is>
      </c>
      <c r="E22" s="42" t="n"/>
      <c r="F22" s="79" t="n"/>
      <c r="G22" s="79" t="n"/>
      <c r="H22" s="44" t="inlineStr">
        <is>
          <t>RTS Art. 4</t>
        </is>
      </c>
      <c r="I22" s="45" t="n"/>
      <c r="J22" s="35" t="n"/>
    </row>
    <row r="23">
      <c r="A23" s="39" t="inlineStr">
        <is>
          <t>2.17</t>
        </is>
      </c>
      <c r="B23" s="40" t="inlineStr">
        <is>
          <t>Szyfrowane kanały komunikacji (oddzielone od poczty korporacyjnej)</t>
        </is>
      </c>
      <c r="C23" s="35" t="inlineStr">
        <is>
          <t>Not Started</t>
        </is>
      </c>
      <c r="D23" s="46" t="inlineStr">
        <is>
          <t>HIGH</t>
        </is>
      </c>
      <c r="E23" s="42" t="n"/>
      <c r="F23" s="79" t="n"/>
      <c r="G23" s="79" t="n"/>
      <c r="H23" s="44" t="inlineStr">
        <is>
          <t>RTS Art. 4; RTS Art. 9(2)</t>
        </is>
      </c>
      <c r="I23" s="45" t="n"/>
      <c r="J23" s="35" t="n"/>
    </row>
    <row r="24">
      <c r="A24" s="39" t="inlineStr">
        <is>
          <t>2.18</t>
        </is>
      </c>
      <c r="B24" s="40" t="inlineStr">
        <is>
          <t>Bezpieczny data room na dokumenty TLPT</t>
        </is>
      </c>
      <c r="C24" s="35" t="inlineStr">
        <is>
          <t>Not Started</t>
        </is>
      </c>
      <c r="D24" s="46" t="inlineStr">
        <is>
          <t>HIGH</t>
        </is>
      </c>
      <c r="E24" s="42" t="n"/>
      <c r="F24" s="79" t="n"/>
      <c r="G24" s="79" t="n"/>
      <c r="H24" s="44" t="inlineStr">
        <is>
          <t>RTS Art. 4; RTS Art. 9(2)</t>
        </is>
      </c>
      <c r="I24" s="45" t="n"/>
      <c r="J24" s="35" t="n"/>
    </row>
    <row r="25">
      <c r="A25" s="39" t="inlineStr">
        <is>
          <t>2.19</t>
        </is>
      </c>
      <c r="B25" s="40" t="inlineStr">
        <is>
          <t>Kryptonim ćwiczenia</t>
        </is>
      </c>
      <c r="C25" s="35" t="inlineStr">
        <is>
          <t>Not Started</t>
        </is>
      </c>
      <c r="D25" s="51" t="inlineStr">
        <is>
          <t>MEDIUM</t>
        </is>
      </c>
      <c r="E25" s="42" t="n"/>
      <c r="F25" s="79" t="n"/>
      <c r="G25" s="79" t="n"/>
      <c r="H25" s="44" t="inlineStr">
        <is>
          <t>RTS Art. 4; RTS Art. 9(2)</t>
        </is>
      </c>
      <c r="I25" s="45" t="n"/>
      <c r="J25" s="35" t="n"/>
    </row>
    <row r="26">
      <c r="A26" s="39" t="inlineStr">
        <is>
          <t>2.20</t>
        </is>
      </c>
      <c r="B26" s="40" t="inlineStr">
        <is>
          <t>Legendy na spotkania zespołu kontrolnego</t>
        </is>
      </c>
      <c r="C26" s="35" t="inlineStr">
        <is>
          <t>Not Started</t>
        </is>
      </c>
      <c r="D26" s="51" t="inlineStr">
        <is>
          <t>MEDIUM</t>
        </is>
      </c>
      <c r="E26" s="42" t="n"/>
      <c r="F26" s="79" t="n"/>
      <c r="G26" s="79" t="n"/>
      <c r="H26" s="44" t="inlineStr">
        <is>
          <t>RTS Art. 4</t>
        </is>
      </c>
      <c r="I26" s="45" t="n"/>
      <c r="J26" s="35" t="n"/>
    </row>
    <row r="27">
      <c r="A27" s="26" t="n"/>
      <c r="B27" s="47" t="inlineStr">
        <is>
          <t>WSKAZÓWKA: Twoja historia przykrywkowa zostanie sprawdzona. Gdy blue team wykryje podejrzaną aktywność i eskaluje do reagowania na incydenty, zespół kontrolny ma ok. 30 minut na opanowanie sytuacji bez ujawniania testu. Przećwicz ten scenariusz zanim rozpocznie się testowanie.</t>
        </is>
      </c>
      <c r="C27" s="26" t="n"/>
      <c r="D27" s="26" t="n"/>
      <c r="E27" s="26" t="n"/>
      <c r="F27" s="26" t="n"/>
      <c r="G27" s="26" t="n"/>
      <c r="H27" s="26" t="n"/>
      <c r="I27" s="26" t="n"/>
      <c r="J27" s="26" t="n"/>
    </row>
    <row r="28">
      <c r="A28" s="39" t="inlineStr">
        <is>
          <t>2.21</t>
        </is>
      </c>
      <c r="B28" s="40" t="inlineStr">
        <is>
          <t>Protokół ograniczania incydentu w przypadku wykrycia aktywności red team przez blue team</t>
        </is>
      </c>
      <c r="C28" s="35" t="inlineStr">
        <is>
          <t>Not Started</t>
        </is>
      </c>
      <c r="D28" s="46" t="inlineStr">
        <is>
          <t>HIGH</t>
        </is>
      </c>
      <c r="E28" s="42" t="n"/>
      <c r="F28" s="79" t="n"/>
      <c r="G28" s="79" t="n"/>
      <c r="H28" s="44" t="inlineStr">
        <is>
          <t>RTS Art. 4; RTS Art. 11(9)</t>
        </is>
      </c>
      <c r="I28" s="45" t="n"/>
      <c r="J28" s="35" t="n"/>
    </row>
    <row r="29">
      <c r="A29" s="48" t="inlineStr">
        <is>
          <t>2C: Mapowanie funkcji krytycznych (zacznij wcześnie)</t>
        </is>
      </c>
      <c r="B29" s="76" t="n"/>
      <c r="C29" s="76" t="n"/>
      <c r="D29" s="76" t="n"/>
      <c r="E29" s="76" t="n"/>
      <c r="F29" s="76" t="n"/>
      <c r="G29" s="76" t="n"/>
      <c r="H29" s="76" t="n"/>
      <c r="I29" s="76" t="n"/>
      <c r="J29" s="77" t="n"/>
    </row>
    <row r="30">
      <c r="A30" s="39" t="inlineStr">
        <is>
          <t>2.22</t>
        </is>
      </c>
      <c r="B30" s="40" t="inlineStr">
        <is>
          <t>Zidentyfikuj WSZYSTKIE funkcje krytyczne lub istotne (CIF) wg art. 3(22) DORA</t>
        </is>
      </c>
      <c r="C30" s="35" t="inlineStr">
        <is>
          <t>Not Started</t>
        </is>
      </c>
      <c r="D30" s="41" t="inlineStr">
        <is>
          <t>CRITICAL</t>
        </is>
      </c>
      <c r="E30" s="42" t="n"/>
      <c r="F30" s="79" t="n"/>
      <c r="G30" s="79" t="n"/>
      <c r="H30" s="44" t="inlineStr">
        <is>
          <t>DORA Art. 3(22); DORA Art. 26(2)</t>
        </is>
      </c>
      <c r="I30" s="45" t="n"/>
      <c r="J30" s="35" t="n"/>
    </row>
    <row r="31">
      <c r="A31" s="39" t="inlineStr">
        <is>
          <t>2.23</t>
        </is>
      </c>
      <c r="B31" s="40" t="inlineStr">
        <is>
          <t>Dla każdej CIF zmapuj:</t>
        </is>
      </c>
      <c r="C31" s="35" t="inlineStr">
        <is>
          <t>Not Started</t>
        </is>
      </c>
      <c r="D31" s="41" t="inlineStr">
        <is>
          <t>CRITICAL</t>
        </is>
      </c>
      <c r="E31" s="42" t="n"/>
      <c r="F31" s="79" t="n"/>
      <c r="G31" s="79" t="n"/>
      <c r="H31" s="44" t="inlineStr">
        <is>
          <t>RTS Art. 9(6); RTS Annex II</t>
        </is>
      </c>
      <c r="I31" s="45" t="n"/>
      <c r="J31" s="35" t="n"/>
    </row>
    <row r="32">
      <c r="A32" s="39" t="inlineStr">
        <is>
          <t>2.24</t>
        </is>
      </c>
      <c r="B32" s="40" t="inlineStr">
        <is>
          <t>Zidentyfikowane wspierające systemy ICT</t>
        </is>
      </c>
      <c r="C32" s="35" t="inlineStr">
        <is>
          <t>Not Started</t>
        </is>
      </c>
      <c r="D32" s="41" t="inlineStr">
        <is>
          <t>CRITICAL</t>
        </is>
      </c>
      <c r="E32" s="42" t="n"/>
      <c r="F32" s="79" t="n"/>
      <c r="G32" s="79" t="n"/>
      <c r="H32" s="44" t="inlineStr">
        <is>
          <t>RTS Annex II</t>
        </is>
      </c>
      <c r="I32" s="45" t="n"/>
      <c r="J32" s="35" t="n"/>
    </row>
    <row r="33">
      <c r="A33" s="39" t="inlineStr">
        <is>
          <t>2.25</t>
        </is>
      </c>
      <c r="B33" s="40" t="inlineStr">
        <is>
          <t>Status outsourcingu (wewnętrzny vs. zewnętrzny dostawca)</t>
        </is>
      </c>
      <c r="C33" s="35" t="inlineStr">
        <is>
          <t>Not Started</t>
        </is>
      </c>
      <c r="D33" s="41" t="inlineStr">
        <is>
          <t>CRITICAL</t>
        </is>
      </c>
      <c r="E33" s="42" t="n"/>
      <c r="F33" s="79" t="n"/>
      <c r="G33" s="79" t="n"/>
      <c r="H33" s="44" t="inlineStr">
        <is>
          <t>RTS Annex II</t>
        </is>
      </c>
      <c r="I33" s="45" t="n"/>
      <c r="J33" s="35" t="n"/>
    </row>
    <row r="34">
      <c r="A34" s="39" t="inlineStr">
        <is>
          <t>2.26</t>
        </is>
      </c>
      <c r="B34" s="40" t="inlineStr">
        <is>
          <t>Nazwa dostawcy i odniesienie do umowy (jeśli outsourcing)</t>
        </is>
      </c>
      <c r="C34" s="35" t="inlineStr">
        <is>
          <t>Not Started</t>
        </is>
      </c>
      <c r="D34" s="46" t="inlineStr">
        <is>
          <t>HIGH</t>
        </is>
      </c>
      <c r="E34" s="42" t="n"/>
      <c r="F34" s="79" t="n"/>
      <c r="G34" s="79" t="n"/>
      <c r="H34" s="44" t="inlineStr">
        <is>
          <t>RTS Annex II</t>
        </is>
      </c>
      <c r="I34" s="45" t="n"/>
      <c r="J34" s="35" t="n"/>
    </row>
    <row r="35">
      <c r="A35" s="39" t="inlineStr">
        <is>
          <t>2.27</t>
        </is>
      </c>
      <c r="B35" s="40" t="inlineStr">
        <is>
          <t>Jurysdykcje, w których funkcja działa</t>
        </is>
      </c>
      <c r="C35" s="35" t="inlineStr">
        <is>
          <t>Not Started</t>
        </is>
      </c>
      <c r="D35" s="46" t="inlineStr">
        <is>
          <t>HIGH</t>
        </is>
      </c>
      <c r="E35" s="42" t="n"/>
      <c r="F35" s="79" t="n"/>
      <c r="G35" s="79" t="n"/>
      <c r="H35" s="44" t="inlineStr">
        <is>
          <t>RTS Annex II</t>
        </is>
      </c>
      <c r="I35" s="45" t="n"/>
      <c r="J35" s="35" t="n"/>
    </row>
    <row r="36">
      <c r="A36" s="39" t="inlineStr">
        <is>
          <t>2.28</t>
        </is>
      </c>
      <c r="B36" s="40" t="inlineStr">
        <is>
          <t>Powiązania z innymi funkcjami/podmiotami</t>
        </is>
      </c>
      <c r="C36" s="35" t="inlineStr">
        <is>
          <t>Not Started</t>
        </is>
      </c>
      <c r="D36" s="46" t="inlineStr">
        <is>
          <t>HIGH</t>
        </is>
      </c>
      <c r="E36" s="42" t="n"/>
      <c r="F36" s="79" t="n"/>
      <c r="G36" s="79" t="n"/>
      <c r="H36" s="44" t="inlineStr">
        <is>
          <t>RTS Art. 9(7)</t>
        </is>
      </c>
      <c r="I36" s="45" t="n"/>
      <c r="J36" s="35" t="n"/>
    </row>
    <row r="37">
      <c r="A37" s="39" t="inlineStr">
        <is>
          <t>2.29</t>
        </is>
      </c>
      <c r="B37" s="40" t="inlineStr">
        <is>
          <t>Użyj 7 kryteriów z art. 9(7) RTS do rankingu CIF:
  - Krytyczność/istotność i wpływ na sektor finansowy
  - Znaczenie dla bieżącej działalności
  - Zastępowalność
  - Powiązania wzajemne
  - Lokalizacja geograficzna
  - Zależność sektorowa
  - Dostępne rozpoznanie zagrożeń</t>
        </is>
      </c>
      <c r="C37" s="35" t="inlineStr">
        <is>
          <t>Not Started</t>
        </is>
      </c>
      <c r="D37" s="41" t="inlineStr">
        <is>
          <t>CRITICAL</t>
        </is>
      </c>
      <c r="E37" s="42" t="n"/>
      <c r="F37" s="79" t="n"/>
      <c r="G37" s="79" t="n"/>
      <c r="H37" s="44" t="inlineStr">
        <is>
          <t>RTS Art. 9(7)</t>
        </is>
      </c>
      <c r="I37" s="45" t="n"/>
      <c r="J37" s="35" t="n"/>
    </row>
    <row r="38">
      <c r="A38" s="39" t="inlineStr">
        <is>
          <t>2.30</t>
        </is>
      </c>
      <c r="B38" s="40" t="inlineStr">
        <is>
          <t>Przygotuj uzasadnienie dla każdej CIF wyłączonej z zakresu TLPT</t>
        </is>
      </c>
      <c r="C38" s="35" t="inlineStr">
        <is>
          <t>Not Started</t>
        </is>
      </c>
      <c r="D38" s="41" t="inlineStr">
        <is>
          <t>CRITICAL</t>
        </is>
      </c>
      <c r="E38" s="42" t="n"/>
      <c r="F38" s="79" t="n"/>
      <c r="G38" s="79" t="n"/>
      <c r="H38" s="44" t="inlineStr">
        <is>
          <t>RTS Art. 9(6); RTS Annex II</t>
        </is>
      </c>
      <c r="I38" s="45" t="n"/>
      <c r="J38" s="35" t="n"/>
    </row>
    <row r="39">
      <c r="A39" s="39" t="inlineStr">
        <is>
          <t>2.31</t>
        </is>
      </c>
      <c r="B39" s="40" t="inlineStr">
        <is>
          <t>Zdefiniuj wstępne "flagi" dla każdej CIF w zakresie:</t>
        </is>
      </c>
      <c r="C39" s="35" t="inlineStr">
        <is>
          <t>Not Started</t>
        </is>
      </c>
      <c r="D39" s="46" t="inlineStr">
        <is>
          <t>HIGH</t>
        </is>
      </c>
      <c r="E39" s="42" t="n"/>
      <c r="F39" s="79" t="n"/>
      <c r="G39" s="79" t="n"/>
      <c r="H39" s="44" t="inlineStr">
        <is>
          <t>RTS Annex II</t>
        </is>
      </c>
      <c r="I39" s="45" t="n"/>
      <c r="J39" s="35" t="n"/>
    </row>
    <row r="40">
      <c r="A40" s="39" t="inlineStr">
        <is>
          <t>2.32</t>
        </is>
      </c>
      <c r="B40" s="40" t="inlineStr">
        <is>
          <t>Co najmniej jedna celująca w poufność</t>
        </is>
      </c>
      <c r="C40" s="35" t="inlineStr">
        <is>
          <t>Not Started</t>
        </is>
      </c>
      <c r="D40" s="46" t="inlineStr">
        <is>
          <t>HIGH</t>
        </is>
      </c>
      <c r="E40" s="42" t="n"/>
      <c r="F40" s="79" t="n"/>
      <c r="G40" s="79" t="n"/>
      <c r="H40" s="44" t="inlineStr">
        <is>
          <t>RTS Annex II; RTS Annex III</t>
        </is>
      </c>
      <c r="I40" s="45" t="n"/>
      <c r="J40" s="35" t="n"/>
    </row>
    <row r="41">
      <c r="A41" s="39" t="inlineStr">
        <is>
          <t>2.33</t>
        </is>
      </c>
      <c r="B41" s="40" t="inlineStr">
        <is>
          <t>Co najmniej jedna celująca w integralność</t>
        </is>
      </c>
      <c r="C41" s="35" t="inlineStr">
        <is>
          <t>Not Started</t>
        </is>
      </c>
      <c r="D41" s="46" t="inlineStr">
        <is>
          <t>HIGH</t>
        </is>
      </c>
      <c r="E41" s="42" t="n"/>
      <c r="F41" s="79" t="n"/>
      <c r="G41" s="79" t="n"/>
      <c r="H41" s="44" t="inlineStr">
        <is>
          <t>RTS Annex II; RTS Annex III</t>
        </is>
      </c>
      <c r="I41" s="45" t="n"/>
      <c r="J41" s="35" t="n"/>
    </row>
    <row r="42">
      <c r="A42" s="39" t="inlineStr">
        <is>
          <t>2.34</t>
        </is>
      </c>
      <c r="B42" s="40" t="inlineStr">
        <is>
          <t>Co najmniej jedna celująca w dostępność</t>
        </is>
      </c>
      <c r="C42" s="35" t="inlineStr">
        <is>
          <t>Not Started</t>
        </is>
      </c>
      <c r="D42" s="46" t="inlineStr">
        <is>
          <t>HIGH</t>
        </is>
      </c>
      <c r="E42" s="42" t="n"/>
      <c r="F42" s="79" t="n"/>
      <c r="G42" s="79" t="n"/>
      <c r="H42" s="44" t="inlineStr">
        <is>
          <t>RTS Annex II; RTS Annex III</t>
        </is>
      </c>
      <c r="I42" s="45" t="n"/>
      <c r="J42" s="35" t="n"/>
    </row>
    <row r="43">
      <c r="A43" s="26" t="n"/>
      <c r="B43" s="47" t="inlineStr">
        <is>
          <t>WSKAZÓWKA: To najtrudniejsza część. Większość banków nie ma czystego mapowania między procesami biznesowymi a systemami ICT. Zacznij 6+ miesięcy przed spodziewanym powiadomieniem. Instytucje regularnie zużywają połowę fazy przygotowawczej na samo mapowanie CIF.</t>
        </is>
      </c>
      <c r="C43" s="26" t="n"/>
      <c r="D43" s="26" t="n"/>
      <c r="E43" s="26" t="n"/>
      <c r="F43" s="26" t="n"/>
      <c r="G43" s="26" t="n"/>
      <c r="H43" s="26" t="n"/>
      <c r="I43" s="26" t="n"/>
      <c r="J43" s="26" t="n"/>
    </row>
  </sheetData>
  <sheetProtection selectLockedCells="0" selectUnlockedCells="0" sheet="1" objects="0" insertRows="1" insertHyperlinks="1" autoFilter="0" scenarios="0" formatColumns="0" deleteColumns="1" insertColumns="1" pivotTables="1" deleteRows="1" formatCells="1" formatRows="0" sort="0" password="CE4B"/>
  <mergeCells count="5">
    <mergeCell ref="A1:J1"/>
    <mergeCell ref="A9:J9"/>
    <mergeCell ref="A3:J3"/>
    <mergeCell ref="A29:J29"/>
    <mergeCell ref="A4:J4"/>
  </mergeCells>
  <conditionalFormatting sqref="A5:J42">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42" showDropDown="0" showInputMessage="0" showErrorMessage="0" allowBlank="1" errorTitle="Invalid Status" error="Select: Not Started, In Progress, Complete, N/A" type="list">
      <formula1>"Not Started,In Progress,Complete,N/A"</formula1>
    </dataValidation>
    <dataValidation sqref="J5:J42" showDropDown="0" showInputMessage="0" showErrorMessage="0" allowBlank="1" errorTitle="Invalid Risk" error="Select: High, Medium, Low" type="list">
      <formula1>"High,Medium,Low"</formula1>
    </dataValidation>
    <dataValidation sqref="F5:F42" showDropDown="0" showInputMessage="0" showErrorMessage="1" allowBlank="1" errorTitle="Invalid Date" error="Please enter a valid date" type="date" operator="greaterThan">
      <formula1>2020-01-01</formula1>
    </dataValidation>
    <dataValidation sqref="G5:G42"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8" r:id="rId3"/>
    <hyperlink xmlns:r="http://schemas.openxmlformats.org/officeDocument/2006/relationships" ref="H10" r:id="rId4"/>
    <hyperlink xmlns:r="http://schemas.openxmlformats.org/officeDocument/2006/relationships" ref="H11" r:id="rId5"/>
    <hyperlink xmlns:r="http://schemas.openxmlformats.org/officeDocument/2006/relationships" ref="H12" r:id="rId6"/>
    <hyperlink xmlns:r="http://schemas.openxmlformats.org/officeDocument/2006/relationships" ref="H15" r:id="rId7"/>
    <hyperlink xmlns:r="http://schemas.openxmlformats.org/officeDocument/2006/relationships" ref="H16" r:id="rId8"/>
    <hyperlink xmlns:r="http://schemas.openxmlformats.org/officeDocument/2006/relationships" ref="H17" r:id="rId9"/>
    <hyperlink xmlns:r="http://schemas.openxmlformats.org/officeDocument/2006/relationships" ref="H18" r:id="rId10"/>
    <hyperlink xmlns:r="http://schemas.openxmlformats.org/officeDocument/2006/relationships" ref="H19" r:id="rId11"/>
    <hyperlink xmlns:r="http://schemas.openxmlformats.org/officeDocument/2006/relationships" ref="H20" r:id="rId12"/>
    <hyperlink xmlns:r="http://schemas.openxmlformats.org/officeDocument/2006/relationships" ref="H22" r:id="rId13"/>
    <hyperlink xmlns:r="http://schemas.openxmlformats.org/officeDocument/2006/relationships" ref="H23" r:id="rId14"/>
    <hyperlink xmlns:r="http://schemas.openxmlformats.org/officeDocument/2006/relationships" ref="H24" r:id="rId15"/>
    <hyperlink xmlns:r="http://schemas.openxmlformats.org/officeDocument/2006/relationships" ref="H25" r:id="rId16"/>
    <hyperlink xmlns:r="http://schemas.openxmlformats.org/officeDocument/2006/relationships" ref="H26" r:id="rId17"/>
    <hyperlink xmlns:r="http://schemas.openxmlformats.org/officeDocument/2006/relationships" ref="H28" r:id="rId18"/>
    <hyperlink xmlns:r="http://schemas.openxmlformats.org/officeDocument/2006/relationships" ref="H30" r:id="rId19"/>
    <hyperlink xmlns:r="http://schemas.openxmlformats.org/officeDocument/2006/relationships" ref="H31" r:id="rId20"/>
    <hyperlink xmlns:r="http://schemas.openxmlformats.org/officeDocument/2006/relationships" ref="H32" r:id="rId21"/>
    <hyperlink xmlns:r="http://schemas.openxmlformats.org/officeDocument/2006/relationships" ref="H33" r:id="rId22"/>
    <hyperlink xmlns:r="http://schemas.openxmlformats.org/officeDocument/2006/relationships" ref="H34" r:id="rId23"/>
    <hyperlink xmlns:r="http://schemas.openxmlformats.org/officeDocument/2006/relationships" ref="H35" r:id="rId24"/>
    <hyperlink xmlns:r="http://schemas.openxmlformats.org/officeDocument/2006/relationships" ref="H36" r:id="rId25"/>
    <hyperlink xmlns:r="http://schemas.openxmlformats.org/officeDocument/2006/relationships" ref="H37" r:id="rId26"/>
    <hyperlink xmlns:r="http://schemas.openxmlformats.org/officeDocument/2006/relationships" ref="H38" r:id="rId27"/>
    <hyperlink xmlns:r="http://schemas.openxmlformats.org/officeDocument/2006/relationships" ref="H39" r:id="rId28"/>
    <hyperlink xmlns:r="http://schemas.openxmlformats.org/officeDocument/2006/relationships" ref="H40" r:id="rId29"/>
    <hyperlink xmlns:r="http://schemas.openxmlformats.org/officeDocument/2006/relationships" ref="H41" r:id="rId30"/>
    <hyperlink xmlns:r="http://schemas.openxmlformats.org/officeDocument/2006/relationships" ref="H42" r:id="rId31"/>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5.xml><?xml version="1.0" encoding="utf-8"?>
<worksheet xmlns="http://schemas.openxmlformats.org/spreadsheetml/2006/main">
  <sheetPr>
    <tabColor rgb="0027AE60"/>
    <outlinePr summaryBelow="1" summaryRight="1"/>
    <pageSetUpPr fitToPage="1"/>
  </sheetPr>
  <dimension ref="A1:J50"/>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Moduł 3: WYBÓR DOSTAWCÓW</t>
        </is>
      </c>
    </row>
    <row r="2">
      <c r="A2" s="37" t="inlineStr">
        <is>
          <t>#</t>
        </is>
      </c>
      <c r="B2" s="37" t="inlineStr">
        <is>
          <t>Element checklisty</t>
        </is>
      </c>
      <c r="C2" s="37" t="inlineStr">
        <is>
          <t>Status</t>
        </is>
      </c>
      <c r="D2" s="37" t="inlineStr">
        <is>
          <t>Priorytet</t>
        </is>
      </c>
      <c r="E2" s="37" t="inlineStr">
        <is>
          <t>Właściciel</t>
        </is>
      </c>
      <c r="F2" s="37" t="inlineStr">
        <is>
          <t>Termin</t>
        </is>
      </c>
      <c r="G2" s="37" t="inlineStr">
        <is>
          <t>Data realizacji</t>
        </is>
      </c>
      <c r="H2" s="37" t="inlineStr">
        <is>
          <t>Odniesienie RTS</t>
        </is>
      </c>
      <c r="I2" s="37" t="inlineStr">
        <is>
          <t>Dowody/Uwagi</t>
        </is>
      </c>
      <c r="J2" s="37" t="inlineStr">
        <is>
          <t>Ryzyko pominięcia</t>
        </is>
      </c>
    </row>
    <row r="3">
      <c r="A3" s="38">
        <f>"Postęp: "&amp;COUNTIF(C5:C49,"Complete")&amp;" / 42 ukończono ("&amp;IF(42=0,0,ROUND(COUNTIF(C5:C49,"Complete")/42*100,0))&amp;"%)"</f>
        <v/>
      </c>
      <c r="B3" s="76" t="n"/>
      <c r="C3" s="76" t="n"/>
      <c r="D3" s="76" t="n"/>
      <c r="E3" s="76" t="n"/>
      <c r="F3" s="76" t="n"/>
      <c r="G3" s="76" t="n"/>
      <c r="H3" s="76" t="n"/>
      <c r="I3" s="76" t="n"/>
      <c r="J3" s="77" t="n"/>
    </row>
    <row r="4">
      <c r="A4" s="48" t="inlineStr">
        <is>
          <t>3A: Ocena dostawcy rozpoznania zagrożeń</t>
        </is>
      </c>
      <c r="B4" s="76" t="n"/>
      <c r="C4" s="76" t="n"/>
      <c r="D4" s="76" t="n"/>
      <c r="E4" s="76" t="n"/>
      <c r="F4" s="76" t="n"/>
      <c r="G4" s="76" t="n"/>
      <c r="H4" s="76" t="n"/>
      <c r="I4" s="76" t="n"/>
      <c r="J4" s="77" t="n"/>
    </row>
    <row r="5">
      <c r="A5" s="39" t="inlineStr">
        <is>
          <t>3.1</t>
        </is>
      </c>
      <c r="B5" s="40" t="inlineStr">
        <is>
          <t>Zewnętrzny wobec podmiotu finansowego (obowiązkowe - brak wewnętrznego TI dla TLPT)</t>
        </is>
      </c>
      <c r="C5" s="35" t="inlineStr">
        <is>
          <t>Not Started</t>
        </is>
      </c>
      <c r="D5" s="41" t="inlineStr">
        <is>
          <t>CRITICAL</t>
        </is>
      </c>
      <c r="E5" s="42" t="n"/>
      <c r="F5" s="79" t="n"/>
      <c r="G5" s="79" t="n"/>
      <c r="H5" s="44" t="inlineStr">
        <is>
          <t>DORA Art. 27(2); RTS Art. 1</t>
        </is>
      </c>
      <c r="I5" s="45" t="n"/>
      <c r="J5" s="35" t="n"/>
    </row>
    <row r="6">
      <c r="A6" s="39" t="inlineStr">
        <is>
          <t>3.2</t>
        </is>
      </c>
      <c r="B6" s="40" t="inlineStr">
        <is>
          <t>Manager z minimum 5-letnim doświadczeniem w rozpoznaniu zagrożeń</t>
        </is>
      </c>
      <c r="C6" s="35" t="inlineStr">
        <is>
          <t>Not Started</t>
        </is>
      </c>
      <c r="D6" s="41" t="inlineStr">
        <is>
          <t>CRITICAL</t>
        </is>
      </c>
      <c r="E6" s="42" t="n"/>
      <c r="F6" s="79" t="n"/>
      <c r="G6" s="79" t="n"/>
      <c r="H6" s="44" t="inlineStr">
        <is>
          <t>RTS Art. 7(1); TIBER-EU Procurement Guidance</t>
        </is>
      </c>
      <c r="I6" s="45" t="n"/>
      <c r="J6" s="35" t="n"/>
    </row>
    <row r="7">
      <c r="A7" s="39" t="inlineStr">
        <is>
          <t>3.3</t>
        </is>
      </c>
      <c r="B7" s="40" t="inlineStr">
        <is>
          <t>Dodatkowi członkowie zespołu z minimum 2-letnim doświadczeniem</t>
        </is>
      </c>
      <c r="C7" s="35" t="inlineStr">
        <is>
          <t>Not Started</t>
        </is>
      </c>
      <c r="D7" s="41" t="inlineStr">
        <is>
          <t>CRITICAL</t>
        </is>
      </c>
      <c r="E7" s="42" t="n"/>
      <c r="F7" s="79" t="n"/>
      <c r="G7" s="79" t="n"/>
      <c r="H7" s="44" t="inlineStr">
        <is>
          <t>RTS Art. 7(1); TIBER-EU Procurement Guidance</t>
        </is>
      </c>
      <c r="I7" s="45" t="n"/>
      <c r="J7" s="35" t="n"/>
    </row>
    <row r="8">
      <c r="A8" s="39" t="inlineStr">
        <is>
          <t>3.4</t>
        </is>
      </c>
      <c r="B8" s="40" t="inlineStr">
        <is>
          <t>Minimum 3 referencje klientów z wcześniejszych zleceń TI for pentest/red team</t>
        </is>
      </c>
      <c r="C8" s="35" t="inlineStr">
        <is>
          <t>Not Started</t>
        </is>
      </c>
      <c r="D8" s="41" t="inlineStr">
        <is>
          <t>CRITICAL</t>
        </is>
      </c>
      <c r="E8" s="42" t="n"/>
      <c r="F8" s="79" t="n"/>
      <c r="G8" s="79" t="n"/>
      <c r="H8" s="44" t="inlineStr">
        <is>
          <t>TIBER-EU Procurement Guidance</t>
        </is>
      </c>
      <c r="I8" s="45" t="n"/>
      <c r="J8" s="35" t="n"/>
    </row>
    <row r="9">
      <c r="A9" s="39" t="inlineStr">
        <is>
          <t>3.5</t>
        </is>
      </c>
      <c r="B9" s="40" t="inlineStr">
        <is>
          <t>Ubezpieczenie odpowiedzialności zawodowej obejmujące zaniedbania</t>
        </is>
      </c>
      <c r="C9" s="35" t="inlineStr">
        <is>
          <t>Not Started</t>
        </is>
      </c>
      <c r="D9" s="41" t="inlineStr">
        <is>
          <t>CRITICAL</t>
        </is>
      </c>
      <c r="E9" s="42" t="n"/>
      <c r="F9" s="79" t="n"/>
      <c r="G9" s="79" t="n"/>
      <c r="H9" s="44" t="inlineStr">
        <is>
          <t>DORA Art. 27(1)(e); RTS Art. 7(1)</t>
        </is>
      </c>
      <c r="I9" s="45" t="n"/>
      <c r="J9" s="35" t="n"/>
    </row>
    <row r="10">
      <c r="A10" s="39" t="inlineStr">
        <is>
          <t>3.6</t>
        </is>
      </c>
      <c r="B10" s="40" t="inlineStr">
        <is>
          <t>Certyfikaty zgodne z uznanymi standardami rynkowymi</t>
        </is>
      </c>
      <c r="C10" s="35" t="inlineStr">
        <is>
          <t>Not Started</t>
        </is>
      </c>
      <c r="D10" s="46" t="inlineStr">
        <is>
          <t>HIGH</t>
        </is>
      </c>
      <c r="E10" s="42" t="n"/>
      <c r="F10" s="79" t="n"/>
      <c r="G10" s="79" t="n"/>
      <c r="H10" s="44" t="inlineStr">
        <is>
          <t>DORA Art. 27(1)(c); RTS Art. 7(1)</t>
        </is>
      </c>
      <c r="I10" s="45" t="n"/>
      <c r="J10" s="35" t="n"/>
    </row>
    <row r="11">
      <c r="A11" s="39" t="inlineStr">
        <is>
          <t>3.7</t>
        </is>
      </c>
      <c r="B11" s="40" t="inlineStr">
        <is>
          <t>Brak konfliktu interesów z podmiotem lub zaangażowanymi dostawcami ICT</t>
        </is>
      </c>
      <c r="C11" s="35" t="inlineStr">
        <is>
          <t>Not Started</t>
        </is>
      </c>
      <c r="D11" s="41" t="inlineStr">
        <is>
          <t>CRITICAL</t>
        </is>
      </c>
      <c r="E11" s="42" t="n"/>
      <c r="F11" s="79" t="n"/>
      <c r="G11" s="79" t="n"/>
      <c r="H11" s="44" t="inlineStr">
        <is>
          <t>RTS Art. 7(1)</t>
        </is>
      </c>
      <c r="I11" s="45" t="n"/>
      <c r="J11" s="35" t="n"/>
    </row>
    <row r="12">
      <c r="A12" s="39" t="inlineStr">
        <is>
          <t>3.8</t>
        </is>
      </c>
      <c r="B12" s="40" t="inlineStr">
        <is>
          <t>Nie wykonuje jednocześnie zadań blue team dla podmiotu</t>
        </is>
      </c>
      <c r="C12" s="35" t="inlineStr">
        <is>
          <t>Not Started</t>
        </is>
      </c>
      <c r="D12" s="41" t="inlineStr">
        <is>
          <t>CRITICAL</t>
        </is>
      </c>
      <c r="E12" s="42" t="n"/>
      <c r="F12" s="79" t="n"/>
      <c r="G12" s="79" t="n"/>
      <c r="H12" s="44" t="inlineStr">
        <is>
          <t>RTS Art. 7(1); TIBER-EU Procurement Guidance</t>
        </is>
      </c>
      <c r="I12" s="45" t="n"/>
      <c r="J12" s="35" t="n"/>
    </row>
    <row r="13">
      <c r="A13" s="39" t="inlineStr">
        <is>
          <t>3.9</t>
        </is>
      </c>
      <c r="B13" s="40" t="inlineStr">
        <is>
          <t>Oddzielony od personelu red team (jeśli ta sama firma dostarcza oba)</t>
        </is>
      </c>
      <c r="C13" s="35" t="inlineStr">
        <is>
          <t>Not Started</t>
        </is>
      </c>
      <c r="D13" s="41" t="inlineStr">
        <is>
          <t>CRITICAL</t>
        </is>
      </c>
      <c r="E13" s="42" t="n"/>
      <c r="F13" s="79" t="n"/>
      <c r="G13" s="79" t="n"/>
      <c r="H13" s="44" t="inlineStr">
        <is>
          <t>RTS Art. 7(1); TIBER-EU Procurement Guidance</t>
        </is>
      </c>
      <c r="I13" s="45" t="n"/>
      <c r="J13" s="35" t="n"/>
    </row>
    <row r="14">
      <c r="A14" s="48" t="inlineStr">
        <is>
          <t>3B: Ocena dostawcy red team</t>
        </is>
      </c>
      <c r="B14" s="76" t="n"/>
      <c r="C14" s="76" t="n"/>
      <c r="D14" s="76" t="n"/>
      <c r="E14" s="76" t="n"/>
      <c r="F14" s="76" t="n"/>
      <c r="G14" s="76" t="n"/>
      <c r="H14" s="76" t="n"/>
      <c r="I14" s="76" t="n"/>
      <c r="J14" s="77" t="n"/>
    </row>
    <row r="15">
      <c r="A15" s="39" t="inlineStr">
        <is>
          <t>3.10</t>
        </is>
      </c>
      <c r="B15" s="40" t="inlineStr">
        <is>
          <t>Lider testów z minimum 5-letnim doświadczeniem w testach penetracyjnych i red team</t>
        </is>
      </c>
      <c r="C15" s="35" t="inlineStr">
        <is>
          <t>Not Started</t>
        </is>
      </c>
      <c r="D15" s="41" t="inlineStr">
        <is>
          <t>CRITICAL</t>
        </is>
      </c>
      <c r="E15" s="42" t="n"/>
      <c r="F15" s="79" t="n"/>
      <c r="G15" s="79" t="n"/>
      <c r="H15" s="44" t="inlineStr">
        <is>
          <t>RTS Art. 7(1); TIBER-EU Procurement Guidance</t>
        </is>
      </c>
      <c r="I15" s="45" t="n"/>
      <c r="J15" s="35" t="n"/>
    </row>
    <row r="16">
      <c r="A16" s="39" t="inlineStr">
        <is>
          <t>3.11</t>
        </is>
      </c>
      <c r="B16" s="40" t="inlineStr">
        <is>
          <t>Co najmniej 2 dodatkowych członków zespołu z minimum 2-letnim doświadczeniem każdy</t>
        </is>
      </c>
      <c r="C16" s="35" t="inlineStr">
        <is>
          <t>Not Started</t>
        </is>
      </c>
      <c r="D16" s="41" t="inlineStr">
        <is>
          <t>CRITICAL</t>
        </is>
      </c>
      <c r="E16" s="42" t="n"/>
      <c r="F16" s="79" t="n"/>
      <c r="G16" s="79" t="n"/>
      <c r="H16" s="44" t="inlineStr">
        <is>
          <t>RTS Art. 7(1); TIBER-EU Procurement Guidance</t>
        </is>
      </c>
      <c r="I16" s="45" t="n"/>
      <c r="J16" s="35" t="n"/>
    </row>
    <row r="17">
      <c r="A17" s="39" t="inlineStr">
        <is>
          <t>3.12</t>
        </is>
      </c>
      <c r="B17" s="40" t="inlineStr">
        <is>
          <t>Minimalny skład zespołu: 3 osoby z odpowiednią rezerwą kadrową</t>
        </is>
      </c>
      <c r="C17" s="35" t="inlineStr">
        <is>
          <t>Not Started</t>
        </is>
      </c>
      <c r="D17" s="41" t="inlineStr">
        <is>
          <t>CRITICAL</t>
        </is>
      </c>
      <c r="E17" s="42" t="n"/>
      <c r="F17" s="79" t="n"/>
      <c r="G17" s="79" t="n"/>
      <c r="H17" s="44" t="inlineStr">
        <is>
          <t>RTS Art. 7(1); TIBER-EU Procurement Guidance</t>
        </is>
      </c>
      <c r="I17" s="45" t="n"/>
      <c r="J17" s="35" t="n"/>
    </row>
    <row r="18">
      <c r="A18" s="39" t="inlineStr">
        <is>
          <t>3.13</t>
        </is>
      </c>
      <c r="B18" s="40" t="inlineStr">
        <is>
          <t>Minimum 5 referencji klientów z wcześniejszych zleceń pentestowych/red team</t>
        </is>
      </c>
      <c r="C18" s="35" t="inlineStr">
        <is>
          <t>Not Started</t>
        </is>
      </c>
      <c r="D18" s="41" t="inlineStr">
        <is>
          <t>CRITICAL</t>
        </is>
      </c>
      <c r="E18" s="42" t="n"/>
      <c r="F18" s="79" t="n"/>
      <c r="G18" s="79" t="n"/>
      <c r="H18" s="44" t="inlineStr">
        <is>
          <t>TIBER-EU Procurement Guidance</t>
        </is>
      </c>
      <c r="I18" s="45" t="n"/>
      <c r="J18" s="35" t="n"/>
    </row>
    <row r="19">
      <c r="A19" s="39" t="inlineStr">
        <is>
          <t>3.14</t>
        </is>
      </c>
      <c r="B19" s="40" t="inlineStr">
        <is>
          <t>Ubezpieczenie odpowiedzialności zawodowej obejmujące zaniedbania</t>
        </is>
      </c>
      <c r="C19" s="35" t="inlineStr">
        <is>
          <t>Not Started</t>
        </is>
      </c>
      <c r="D19" s="41" t="inlineStr">
        <is>
          <t>CRITICAL</t>
        </is>
      </c>
      <c r="E19" s="42" t="n"/>
      <c r="F19" s="79" t="n"/>
      <c r="G19" s="79" t="n"/>
      <c r="H19" s="44" t="inlineStr">
        <is>
          <t>DORA Art. 27(1)(e); RTS Art. 7(1)</t>
        </is>
      </c>
      <c r="I19" s="45" t="n"/>
      <c r="J19" s="35" t="n"/>
    </row>
    <row r="20">
      <c r="A20" s="39" t="inlineStr">
        <is>
          <t>3.15</t>
        </is>
      </c>
      <c r="B20" s="40" t="inlineStr">
        <is>
          <t>Certyfikaty zgodne z uznanymi standardami rynkowymi</t>
        </is>
      </c>
      <c r="C20" s="35" t="inlineStr">
        <is>
          <t>Not Started</t>
        </is>
      </c>
      <c r="D20" s="46" t="inlineStr">
        <is>
          <t>HIGH</t>
        </is>
      </c>
      <c r="E20" s="42" t="n"/>
      <c r="F20" s="79" t="n"/>
      <c r="G20" s="79" t="n"/>
      <c r="H20" s="44" t="inlineStr">
        <is>
          <t>DORA Art. 27(1)(c); RTS Art. 7(1)</t>
        </is>
      </c>
      <c r="I20" s="45" t="n"/>
      <c r="J20" s="35" t="n"/>
    </row>
    <row r="21">
      <c r="A21" s="39" t="inlineStr">
        <is>
          <t>3.16</t>
        </is>
      </c>
      <c r="B21" s="40" t="inlineStr">
        <is>
          <t>Brak konfliktu interesów z podmiotem lub zaangażowanymi dostawcami ICT</t>
        </is>
      </c>
      <c r="C21" s="35" t="inlineStr">
        <is>
          <t>Not Started</t>
        </is>
      </c>
      <c r="D21" s="41" t="inlineStr">
        <is>
          <t>CRITICAL</t>
        </is>
      </c>
      <c r="E21" s="42" t="n"/>
      <c r="F21" s="79" t="n"/>
      <c r="G21" s="79" t="n"/>
      <c r="H21" s="44" t="inlineStr">
        <is>
          <t>RTS Art. 7(1)</t>
        </is>
      </c>
      <c r="I21" s="45" t="n"/>
      <c r="J21" s="35" t="n"/>
    </row>
    <row r="22">
      <c r="A22" s="39" t="inlineStr">
        <is>
          <t>3.17</t>
        </is>
      </c>
      <c r="B22" s="40" t="inlineStr">
        <is>
          <t>Nie wykonuje jednocześnie zadań blue team dla podmiotu</t>
        </is>
      </c>
      <c r="C22" s="35" t="inlineStr">
        <is>
          <t>Not Started</t>
        </is>
      </c>
      <c r="D22" s="41" t="inlineStr">
        <is>
          <t>CRITICAL</t>
        </is>
      </c>
      <c r="E22" s="42" t="n"/>
      <c r="F22" s="79" t="n"/>
      <c r="G22" s="79" t="n"/>
      <c r="H22" s="44" t="inlineStr">
        <is>
          <t>RTS Art. 7(1); TIBER-EU Procurement Guidance</t>
        </is>
      </c>
      <c r="I22" s="45" t="n"/>
      <c r="J22" s="35" t="n"/>
    </row>
    <row r="23">
      <c r="A23" s="39" t="inlineStr">
        <is>
          <t>3.18</t>
        </is>
      </c>
      <c r="B23" s="40" t="inlineStr">
        <is>
          <t>Gromadzenie wywiadu ze źródeł otwartych</t>
        </is>
      </c>
      <c r="C23" s="35" t="inlineStr">
        <is>
          <t>Not Started</t>
        </is>
      </c>
      <c r="D23" s="46" t="inlineStr">
        <is>
          <t>HIGH</t>
        </is>
      </c>
      <c r="E23" s="42" t="n"/>
      <c r="F23" s="79" t="n"/>
      <c r="G23" s="79" t="n"/>
      <c r="H23" s="44" t="inlineStr">
        <is>
          <t>TIBER-EU Procurement Guidance</t>
        </is>
      </c>
      <c r="I23" s="45" t="n"/>
      <c r="J23" s="35" t="n"/>
    </row>
    <row r="24">
      <c r="A24" s="39" t="inlineStr">
        <is>
          <t>3.19</t>
        </is>
      </c>
      <c r="B24" s="40" t="inlineStr">
        <is>
          <t>Tworzenie eksploitów</t>
        </is>
      </c>
      <c r="C24" s="35" t="inlineStr">
        <is>
          <t>Not Started</t>
        </is>
      </c>
      <c r="D24" s="46" t="inlineStr">
        <is>
          <t>HIGH</t>
        </is>
      </c>
      <c r="E24" s="42" t="n"/>
      <c r="F24" s="79" t="n"/>
      <c r="G24" s="79" t="n"/>
      <c r="H24" s="44" t="inlineStr">
        <is>
          <t>TIBER-EU Procurement Guidance</t>
        </is>
      </c>
      <c r="I24" s="45" t="n"/>
      <c r="J24" s="35" t="n"/>
    </row>
    <row r="25">
      <c r="A25" s="39" t="inlineStr">
        <is>
          <t>3.20</t>
        </is>
      </c>
      <c r="B25" s="40" t="inlineStr">
        <is>
          <t>Tworzenie dedykowanego malware</t>
        </is>
      </c>
      <c r="C25" s="35" t="inlineStr">
        <is>
          <t>Not Started</t>
        </is>
      </c>
      <c r="D25" s="46" t="inlineStr">
        <is>
          <t>HIGH</t>
        </is>
      </c>
      <c r="E25" s="42" t="n"/>
      <c r="F25" s="79" t="n"/>
      <c r="G25" s="79" t="n"/>
      <c r="H25" s="44" t="inlineStr">
        <is>
          <t>TIBER-EU Procurement Guidance</t>
        </is>
      </c>
      <c r="I25" s="45" t="n"/>
      <c r="J25" s="35" t="n"/>
    </row>
    <row r="26">
      <c r="A26" s="39" t="inlineStr">
        <is>
          <t>3.21</t>
        </is>
      </c>
      <c r="B26" s="40" t="inlineStr">
        <is>
          <t>Eksploitacja oparta na Active Directory</t>
        </is>
      </c>
      <c r="C26" s="35" t="inlineStr">
        <is>
          <t>Not Started</t>
        </is>
      </c>
      <c r="D26" s="46" t="inlineStr">
        <is>
          <t>HIGH</t>
        </is>
      </c>
      <c r="E26" s="42" t="n"/>
      <c r="F26" s="79" t="n"/>
      <c r="G26" s="79" t="n"/>
      <c r="H26" s="44" t="inlineStr">
        <is>
          <t>TIBER-EU Procurement Guidance</t>
        </is>
      </c>
      <c r="I26" s="45" t="n"/>
      <c r="J26" s="35" t="n"/>
    </row>
    <row r="27">
      <c r="A27" s="39" t="inlineStr">
        <is>
          <t>3.22</t>
        </is>
      </c>
      <c r="B27" s="40" t="inlineStr">
        <is>
          <t>Testy bezpieczeństwa fizycznego</t>
        </is>
      </c>
      <c r="C27" s="35" t="inlineStr">
        <is>
          <t>Not Started</t>
        </is>
      </c>
      <c r="D27" s="51" t="inlineStr">
        <is>
          <t>MEDIUM</t>
        </is>
      </c>
      <c r="E27" s="42" t="n"/>
      <c r="F27" s="79" t="n"/>
      <c r="G27" s="79" t="n"/>
      <c r="H27" s="44" t="inlineStr">
        <is>
          <t>TIBER-EU Procurement Guidance</t>
        </is>
      </c>
      <c r="I27" s="45" t="n"/>
      <c r="J27" s="35" t="n"/>
    </row>
    <row r="28">
      <c r="A28" s="39" t="inlineStr">
        <is>
          <t>3.23</t>
        </is>
      </c>
      <c r="B28" s="40" t="inlineStr">
        <is>
          <t>Ataki z wykorzystaniem HID</t>
        </is>
      </c>
      <c r="C28" s="35" t="inlineStr">
        <is>
          <t>Not Started</t>
        </is>
      </c>
      <c r="D28" s="51" t="inlineStr">
        <is>
          <t>MEDIUM</t>
        </is>
      </c>
      <c r="E28" s="42" t="n"/>
      <c r="F28" s="79" t="n"/>
      <c r="G28" s="79" t="n"/>
      <c r="H28" s="44" t="inlineStr">
        <is>
          <t>TIBER-EU Procurement Guidance</t>
        </is>
      </c>
      <c r="I28" s="45" t="n"/>
      <c r="J28" s="35" t="n"/>
    </row>
    <row r="29">
      <c r="A29" s="39" t="inlineStr">
        <is>
          <t>3.24</t>
        </is>
      </c>
      <c r="B29" s="40" t="inlineStr">
        <is>
          <t>Omijanie AV/EDR/NDR/XDR</t>
        </is>
      </c>
      <c r="C29" s="35" t="inlineStr">
        <is>
          <t>Not Started</t>
        </is>
      </c>
      <c r="D29" s="46" t="inlineStr">
        <is>
          <t>HIGH</t>
        </is>
      </c>
      <c r="E29" s="42" t="n"/>
      <c r="F29" s="79" t="n"/>
      <c r="G29" s="79" t="n"/>
      <c r="H29" s="44" t="inlineStr">
        <is>
          <t>TIBER-EU Procurement Guidance</t>
        </is>
      </c>
      <c r="I29" s="45" t="n"/>
      <c r="J29" s="35" t="n"/>
    </row>
    <row r="30">
      <c r="A30" s="39" t="inlineStr">
        <is>
          <t>3.25</t>
        </is>
      </c>
      <c r="B30" s="40" t="inlineStr">
        <is>
          <t>Omijanie rozwiązań bezpieczeństwa poczty</t>
        </is>
      </c>
      <c r="C30" s="35" t="inlineStr">
        <is>
          <t>Not Started</t>
        </is>
      </c>
      <c r="D30" s="46" t="inlineStr">
        <is>
          <t>HIGH</t>
        </is>
      </c>
      <c r="E30" s="42" t="n"/>
      <c r="F30" s="79" t="n"/>
      <c r="G30" s="79" t="n"/>
      <c r="H30" s="44" t="inlineStr">
        <is>
          <t>TIBER-EU Procurement Guidance</t>
        </is>
      </c>
      <c r="I30" s="45" t="n"/>
      <c r="J30" s="35" t="n"/>
    </row>
    <row r="31">
      <c r="A31" s="39" t="inlineStr">
        <is>
          <t>3.26</t>
        </is>
      </c>
      <c r="B31" s="40" t="inlineStr">
        <is>
          <t>Omijanie secure web gateway</t>
        </is>
      </c>
      <c r="C31" s="35" t="inlineStr">
        <is>
          <t>Not Started</t>
        </is>
      </c>
      <c r="D31" s="51" t="inlineStr">
        <is>
          <t>MEDIUM</t>
        </is>
      </c>
      <c r="E31" s="42" t="n"/>
      <c r="F31" s="79" t="n"/>
      <c r="G31" s="79" t="n"/>
      <c r="H31" s="44" t="inlineStr">
        <is>
          <t>TIBER-EU Procurement Guidance</t>
        </is>
      </c>
      <c r="I31" s="45" t="n"/>
      <c r="J31" s="35" t="n"/>
    </row>
    <row r="32">
      <c r="A32" s="39" t="inlineStr">
        <is>
          <t>3.27</t>
        </is>
      </c>
      <c r="B32" s="40" t="inlineStr">
        <is>
          <t>Omijanie rozwiązań anti-phishing</t>
        </is>
      </c>
      <c r="C32" s="35" t="inlineStr">
        <is>
          <t>Not Started</t>
        </is>
      </c>
      <c r="D32" s="51" t="inlineStr">
        <is>
          <t>MEDIUM</t>
        </is>
      </c>
      <c r="E32" s="42" t="n"/>
      <c r="F32" s="79" t="n"/>
      <c r="G32" s="79" t="n"/>
      <c r="H32" s="44" t="inlineStr">
        <is>
          <t>TIBER-EU Procurement Guidance</t>
        </is>
      </c>
      <c r="I32" s="45" t="n"/>
      <c r="J32" s="35" t="n"/>
    </row>
    <row r="33">
      <c r="A33" s="39" t="inlineStr">
        <is>
          <t>3.28</t>
        </is>
      </c>
      <c r="B33" s="40" t="inlineStr">
        <is>
          <t>Testy penetracyjne Web/API/Mobile</t>
        </is>
      </c>
      <c r="C33" s="35" t="inlineStr">
        <is>
          <t>Not Started</t>
        </is>
      </c>
      <c r="D33" s="46" t="inlineStr">
        <is>
          <t>HIGH</t>
        </is>
      </c>
      <c r="E33" s="42" t="n"/>
      <c r="F33" s="79" t="n"/>
      <c r="G33" s="79" t="n"/>
      <c r="H33" s="44" t="inlineStr">
        <is>
          <t>TIBER-EU Procurement Guidance</t>
        </is>
      </c>
      <c r="I33" s="45" t="n"/>
      <c r="J33" s="35" t="n"/>
    </row>
    <row r="34">
      <c r="A34" s="39" t="inlineStr">
        <is>
          <t>3.29</t>
        </is>
      </c>
      <c r="B34" s="40" t="inlineStr">
        <is>
          <t>Testy mainframe (jeśli dotyczy)</t>
        </is>
      </c>
      <c r="C34" s="35" t="inlineStr">
        <is>
          <t>Not Started</t>
        </is>
      </c>
      <c r="D34" s="51" t="inlineStr">
        <is>
          <t>MEDIUM</t>
        </is>
      </c>
      <c r="E34" s="42" t="n"/>
      <c r="F34" s="79" t="n"/>
      <c r="G34" s="79" t="n"/>
      <c r="H34" s="44" t="inlineStr">
        <is>
          <t>TIBER-EU Procurement Guidance</t>
        </is>
      </c>
      <c r="I34" s="45" t="n"/>
      <c r="J34" s="35" t="n"/>
    </row>
    <row r="35">
      <c r="A35" s="39" t="inlineStr">
        <is>
          <t>3.30</t>
        </is>
      </c>
      <c r="B35" s="40" t="inlineStr">
        <is>
          <t>Testy penetracyjne Wi-Fi</t>
        </is>
      </c>
      <c r="C35" s="35" t="inlineStr">
        <is>
          <t>Not Started</t>
        </is>
      </c>
      <c r="D35" s="51" t="inlineStr">
        <is>
          <t>MEDIUM</t>
        </is>
      </c>
      <c r="E35" s="42" t="n"/>
      <c r="F35" s="79" t="n"/>
      <c r="G35" s="79" t="n"/>
      <c r="H35" s="44" t="inlineStr">
        <is>
          <t>TIBER-EU Procurement Guidance</t>
        </is>
      </c>
      <c r="I35" s="45" t="n"/>
      <c r="J35" s="35" t="n"/>
    </row>
    <row r="36">
      <c r="A36" s="39" t="inlineStr">
        <is>
          <t>3.31</t>
        </is>
      </c>
      <c r="B36" s="40" t="inlineStr">
        <is>
          <t>Inżynieria społeczna</t>
        </is>
      </c>
      <c r="C36" s="35" t="inlineStr">
        <is>
          <t>Not Started</t>
        </is>
      </c>
      <c r="D36" s="46" t="inlineStr">
        <is>
          <t>HIGH</t>
        </is>
      </c>
      <c r="E36" s="42" t="n"/>
      <c r="F36" s="79" t="n"/>
      <c r="G36" s="79" t="n"/>
      <c r="H36" s="44" t="inlineStr">
        <is>
          <t>TIBER-EU Procurement Guidance</t>
        </is>
      </c>
      <c r="I36" s="45" t="n"/>
      <c r="J36" s="35" t="n"/>
    </row>
    <row r="37">
      <c r="A37" s="39" t="inlineStr">
        <is>
          <t>3.32</t>
        </is>
      </c>
      <c r="B37" s="40" t="inlineStr">
        <is>
          <t>Wiedza z zakresu incident response</t>
        </is>
      </c>
      <c r="C37" s="35" t="inlineStr">
        <is>
          <t>Not Started</t>
        </is>
      </c>
      <c r="D37" s="51" t="inlineStr">
        <is>
          <t>MEDIUM</t>
        </is>
      </c>
      <c r="E37" s="42" t="n"/>
      <c r="F37" s="79" t="n"/>
      <c r="G37" s="79" t="n"/>
      <c r="H37" s="44" t="inlineStr">
        <is>
          <t>TIBER-EU Procurement Guidance</t>
        </is>
      </c>
      <c r="I37" s="45" t="n"/>
      <c r="J37" s="35" t="n"/>
    </row>
    <row r="38">
      <c r="A38" s="39" t="inlineStr">
        <is>
          <t>3.33</t>
        </is>
      </c>
      <c r="B38" s="40" t="inlineStr">
        <is>
          <t>Tworzenie ofensywnych narzędzi bezpieczeństwa</t>
        </is>
      </c>
      <c r="C38" s="35" t="inlineStr">
        <is>
          <t>Not Started</t>
        </is>
      </c>
      <c r="D38" s="51" t="inlineStr">
        <is>
          <t>MEDIUM</t>
        </is>
      </c>
      <c r="E38" s="42" t="n"/>
      <c r="F38" s="79" t="n"/>
      <c r="G38" s="79" t="n"/>
      <c r="H38" s="44" t="inlineStr">
        <is>
          <t>TIBER-EU Procurement Guidance</t>
        </is>
      </c>
      <c r="I38" s="45" t="n"/>
      <c r="J38" s="35" t="n"/>
    </row>
    <row r="39">
      <c r="A39" s="26" t="n"/>
      <c r="B39" s="47" t="inlineStr">
        <is>
          <t>WSKAZÓWKA: Przy ocenie dostawców red team certyfikaty to część historii. OSCE, OSED, OSEP, OSWE i CRTO wskazują, że zespół potrafi działać poza standardowymi testami penetracyjnymi - tworzenie dedykowanych eksploitów, omijanie EDR, operacje na poziomie kernela. Poproś o konkretne przykłady.</t>
        </is>
      </c>
      <c r="C39" s="26" t="n"/>
      <c r="D39" s="26" t="n"/>
      <c r="E39" s="26" t="n"/>
      <c r="F39" s="26" t="n"/>
      <c r="G39" s="26" t="n"/>
      <c r="H39" s="26" t="n"/>
      <c r="I39" s="26" t="n"/>
      <c r="J39" s="26" t="n"/>
    </row>
    <row r="40">
      <c r="A40" s="48" t="inlineStr">
        <is>
          <t>3C: Kluczowe elementy umowy</t>
        </is>
      </c>
      <c r="B40" s="76" t="n"/>
      <c r="C40" s="76" t="n"/>
      <c r="D40" s="76" t="n"/>
      <c r="E40" s="76" t="n"/>
      <c r="F40" s="76" t="n"/>
      <c r="G40" s="76" t="n"/>
      <c r="H40" s="76" t="n"/>
      <c r="I40" s="76" t="n"/>
      <c r="J40" s="77" t="n"/>
    </row>
    <row r="41">
      <c r="A41" s="39" t="inlineStr">
        <is>
          <t>3.34</t>
        </is>
      </c>
      <c r="B41" s="40" t="inlineStr">
        <is>
          <t>Zdefiniuj warunki kill switch i ścieżkę eskalacji</t>
        </is>
      </c>
      <c r="C41" s="35" t="inlineStr">
        <is>
          <t>Not Started</t>
        </is>
      </c>
      <c r="D41" s="41" t="inlineStr">
        <is>
          <t>CRITICAL</t>
        </is>
      </c>
      <c r="E41" s="42" t="n"/>
      <c r="F41" s="79" t="n"/>
      <c r="G41" s="79" t="n"/>
      <c r="H41" s="44" t="inlineStr">
        <is>
          <t>RTS Art. 11(10); RTS Art. 5</t>
        </is>
      </c>
      <c r="I41" s="45" t="n"/>
      <c r="J41" s="35" t="n"/>
    </row>
    <row r="42">
      <c r="A42" s="39" t="inlineStr">
        <is>
          <t>3.35</t>
        </is>
      </c>
      <c r="B42" s="40" t="inlineStr">
        <is>
          <t>Określ obsługę danych: generowanie, przechowywanie, agregację, raportowanie, niszczenie</t>
        </is>
      </c>
      <c r="C42" s="35" t="inlineStr">
        <is>
          <t>Not Started</t>
        </is>
      </c>
      <c r="D42" s="41" t="inlineStr">
        <is>
          <t>CRITICAL</t>
        </is>
      </c>
      <c r="E42" s="42" t="n"/>
      <c r="F42" s="79" t="n"/>
      <c r="G42" s="79" t="n"/>
      <c r="H42" s="44" t="inlineStr">
        <is>
          <t>DORA Art. 27(3); TIBER-EU Procurement Guidance</t>
        </is>
      </c>
      <c r="I42" s="45" t="n"/>
      <c r="J42" s="35" t="n"/>
    </row>
    <row r="43">
      <c r="A43" s="39" t="inlineStr">
        <is>
          <t>3.36</t>
        </is>
      </c>
      <c r="B43" s="40" t="inlineStr">
        <is>
          <t>Zdefiniuj granice zakresu: co jest dozwolone vs. zabronione</t>
        </is>
      </c>
      <c r="C43" s="35" t="inlineStr">
        <is>
          <t>Not Started</t>
        </is>
      </c>
      <c r="D43" s="41" t="inlineStr">
        <is>
          <t>CRITICAL</t>
        </is>
      </c>
      <c r="E43" s="42" t="n"/>
      <c r="F43" s="79" t="n"/>
      <c r="G43" s="79" t="n"/>
      <c r="H43" s="44" t="inlineStr">
        <is>
          <t>RTS Art. 11(1); RTS Annex IV</t>
        </is>
      </c>
      <c r="I43" s="45" t="n"/>
      <c r="J43" s="35" t="n"/>
    </row>
    <row r="44">
      <c r="A44" s="39" t="inlineStr">
        <is>
          <t>3.37</t>
        </is>
      </c>
      <c r="B44" s="40" t="inlineStr">
        <is>
          <t>Uwzględnij wymogi ubezpieczenia odpowiedzialności zawodowej</t>
        </is>
      </c>
      <c r="C44" s="35" t="inlineStr">
        <is>
          <t>Not Started</t>
        </is>
      </c>
      <c r="D44" s="41" t="inlineStr">
        <is>
          <t>CRITICAL</t>
        </is>
      </c>
      <c r="E44" s="42" t="n"/>
      <c r="F44" s="79" t="n"/>
      <c r="G44" s="79" t="n"/>
      <c r="H44" s="44" t="inlineStr">
        <is>
          <t>DORA Art. 27(1)(e)</t>
        </is>
      </c>
      <c r="I44" s="45" t="n"/>
      <c r="J44" s="35" t="n"/>
    </row>
    <row r="45">
      <c r="A45" s="39" t="inlineStr">
        <is>
          <t>3.38</t>
        </is>
      </c>
      <c r="B45" s="40" t="inlineStr">
        <is>
          <t>Określ cotygodniowy harmonogram raportowania i format</t>
        </is>
      </c>
      <c r="C45" s="35" t="inlineStr">
        <is>
          <t>Not Started</t>
        </is>
      </c>
      <c r="D45" s="46" t="inlineStr">
        <is>
          <t>HIGH</t>
        </is>
      </c>
      <c r="E45" s="42" t="n"/>
      <c r="F45" s="79" t="n"/>
      <c r="G45" s="79" t="n"/>
      <c r="H45" s="44" t="inlineStr">
        <is>
          <t>RTS Art. 11(7)</t>
        </is>
      </c>
      <c r="I45" s="45" t="n"/>
      <c r="J45" s="35" t="n"/>
    </row>
    <row r="46">
      <c r="A46" s="39" t="inlineStr">
        <is>
          <t>3.39</t>
        </is>
      </c>
      <c r="B46" s="40" t="inlineStr">
        <is>
          <t>Zdefiniuj proces leg-up i łańcuch zatwierdzeń</t>
        </is>
      </c>
      <c r="C46" s="35" t="inlineStr">
        <is>
          <t>Not Started</t>
        </is>
      </c>
      <c r="D46" s="46" t="inlineStr">
        <is>
          <t>HIGH</t>
        </is>
      </c>
      <c r="E46" s="42" t="n"/>
      <c r="F46" s="79" t="n"/>
      <c r="G46" s="79" t="n"/>
      <c r="H46" s="44" t="inlineStr">
        <is>
          <t>RTS Art. 11(8)</t>
        </is>
      </c>
      <c r="I46" s="45" t="n"/>
      <c r="J46" s="35" t="n"/>
    </row>
    <row r="47">
      <c r="A47" s="39" t="inlineStr">
        <is>
          <t>3.40</t>
        </is>
      </c>
      <c r="B47" s="40" t="inlineStr">
        <is>
          <t>Ureguluj własność intelektualną i poufność</t>
        </is>
      </c>
      <c r="C47" s="35" t="inlineStr">
        <is>
          <t>Not Started</t>
        </is>
      </c>
      <c r="D47" s="46" t="inlineStr">
        <is>
          <t>HIGH</t>
        </is>
      </c>
      <c r="E47" s="42" t="n"/>
      <c r="F47" s="79" t="n"/>
      <c r="G47" s="79" t="n"/>
      <c r="H47" s="44" t="inlineStr">
        <is>
          <t>DORA Art. 27(3)</t>
        </is>
      </c>
      <c r="I47" s="45" t="n"/>
      <c r="J47" s="35" t="n"/>
    </row>
    <row r="48">
      <c r="A48" s="39" t="inlineStr">
        <is>
          <t>3.41</t>
        </is>
      </c>
      <c r="B48" s="40" t="inlineStr">
        <is>
          <t>Uwzględnij przepisy o dostępie regulacyjnym (TM may request reports)</t>
        </is>
      </c>
      <c r="C48" s="35" t="inlineStr">
        <is>
          <t>Not Started</t>
        </is>
      </c>
      <c r="D48" s="41" t="inlineStr">
        <is>
          <t>CRITICAL</t>
        </is>
      </c>
      <c r="E48" s="42" t="n"/>
      <c r="F48" s="79" t="n"/>
      <c r="G48" s="79" t="n"/>
      <c r="H48" s="44" t="inlineStr">
        <is>
          <t>RTS Art. 12(3)</t>
        </is>
      </c>
      <c r="I48" s="45" t="n"/>
      <c r="J48" s="35" t="n"/>
    </row>
    <row r="49">
      <c r="A49" s="39" t="inlineStr">
        <is>
          <t>3.42</t>
        </is>
      </c>
      <c r="B49" s="40" t="inlineStr">
        <is>
          <t>Jeśli ta sama firma dostarcza TI i RT: umowna separacja zespołów</t>
        </is>
      </c>
      <c r="C49" s="35" t="inlineStr">
        <is>
          <t>Not Started</t>
        </is>
      </c>
      <c r="D49" s="41" t="inlineStr">
        <is>
          <t>CRITICAL</t>
        </is>
      </c>
      <c r="E49" s="42" t="n"/>
      <c r="F49" s="79" t="n"/>
      <c r="G49" s="79" t="n"/>
      <c r="H49" s="44" t="inlineStr">
        <is>
          <t>RTS Art. 7(1); TIBER-EU Procurement Guidance</t>
        </is>
      </c>
      <c r="I49" s="45" t="n"/>
      <c r="J49" s="35" t="n"/>
    </row>
    <row r="50">
      <c r="A50" s="26" t="n"/>
      <c r="B50" s="47" t="inlineStr">
        <is>
          <t>WSKAZÓWKA: Rozbieżność między dostawcą TI a red teamem to jeden z najczęstszych problemów jakościowych w TLPT. TTIR opisuje aktorów zagrożeń i scenariusze w kategoriach abstrakcyjnych; red team potrzebuje konkretnych, wykonalnych ścieżek ataku. Zadbaj o sesję roboczą, na której dostawca TI i red team wspólnie przełożą scenariusze na plany testów.</t>
        </is>
      </c>
      <c r="C50" s="26" t="n"/>
      <c r="D50" s="26" t="n"/>
      <c r="E50" s="26" t="n"/>
      <c r="F50" s="26" t="n"/>
      <c r="G50" s="26" t="n"/>
      <c r="H50" s="26" t="n"/>
      <c r="I50" s="26" t="n"/>
      <c r="J50" s="26" t="n"/>
    </row>
  </sheetData>
  <sheetProtection selectLockedCells="0" selectUnlockedCells="0" sheet="1" objects="0" insertRows="1" insertHyperlinks="1" autoFilter="0" scenarios="0" formatColumns="0" deleteColumns="1" insertColumns="1" pivotTables="1" deleteRows="1" formatCells="1" formatRows="0" sort="0" password="CE4B"/>
  <mergeCells count="5">
    <mergeCell ref="A1:J1"/>
    <mergeCell ref="A14:J14"/>
    <mergeCell ref="A40:J40"/>
    <mergeCell ref="A3:J3"/>
    <mergeCell ref="A4:J4"/>
  </mergeCells>
  <conditionalFormatting sqref="A5:J49">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49" showDropDown="0" showInputMessage="0" showErrorMessage="0" allowBlank="1" errorTitle="Invalid Status" error="Select: Not Started, In Progress, Complete, N/A" type="list">
      <formula1>"Not Started,In Progress,Complete,N/A"</formula1>
    </dataValidation>
    <dataValidation sqref="J5:J49" showDropDown="0" showInputMessage="0" showErrorMessage="0" allowBlank="1" errorTitle="Invalid Risk" error="Select: High, Medium, Low" type="list">
      <formula1>"High,Medium,Low"</formula1>
    </dataValidation>
    <dataValidation sqref="F5:F49" showDropDown="0" showInputMessage="0" showErrorMessage="1" allowBlank="1" errorTitle="Invalid Date" error="Please enter a valid date" type="date" operator="greaterThan">
      <formula1>2020-01-01</formula1>
    </dataValidation>
    <dataValidation sqref="G5:G49"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0" r:id="rId6"/>
    <hyperlink xmlns:r="http://schemas.openxmlformats.org/officeDocument/2006/relationships" ref="H11" r:id="rId7"/>
    <hyperlink xmlns:r="http://schemas.openxmlformats.org/officeDocument/2006/relationships" ref="H12" r:id="rId8"/>
    <hyperlink xmlns:r="http://schemas.openxmlformats.org/officeDocument/2006/relationships" ref="H13" r:id="rId9"/>
    <hyperlink xmlns:r="http://schemas.openxmlformats.org/officeDocument/2006/relationships" ref="H15" r:id="rId10"/>
    <hyperlink xmlns:r="http://schemas.openxmlformats.org/officeDocument/2006/relationships" ref="H16" r:id="rId11"/>
    <hyperlink xmlns:r="http://schemas.openxmlformats.org/officeDocument/2006/relationships" ref="H17" r:id="rId12"/>
    <hyperlink xmlns:r="http://schemas.openxmlformats.org/officeDocument/2006/relationships" ref="H18" r:id="rId13"/>
    <hyperlink xmlns:r="http://schemas.openxmlformats.org/officeDocument/2006/relationships" ref="H19" r:id="rId14"/>
    <hyperlink xmlns:r="http://schemas.openxmlformats.org/officeDocument/2006/relationships" ref="H20" r:id="rId15"/>
    <hyperlink xmlns:r="http://schemas.openxmlformats.org/officeDocument/2006/relationships" ref="H21" r:id="rId16"/>
    <hyperlink xmlns:r="http://schemas.openxmlformats.org/officeDocument/2006/relationships" ref="H22" r:id="rId17"/>
    <hyperlink xmlns:r="http://schemas.openxmlformats.org/officeDocument/2006/relationships" ref="H23" r:id="rId18"/>
    <hyperlink xmlns:r="http://schemas.openxmlformats.org/officeDocument/2006/relationships" ref="H24" r:id="rId19"/>
    <hyperlink xmlns:r="http://schemas.openxmlformats.org/officeDocument/2006/relationships" ref="H25" r:id="rId20"/>
    <hyperlink xmlns:r="http://schemas.openxmlformats.org/officeDocument/2006/relationships" ref="H26" r:id="rId21"/>
    <hyperlink xmlns:r="http://schemas.openxmlformats.org/officeDocument/2006/relationships" ref="H27" r:id="rId22"/>
    <hyperlink xmlns:r="http://schemas.openxmlformats.org/officeDocument/2006/relationships" ref="H28" r:id="rId23"/>
    <hyperlink xmlns:r="http://schemas.openxmlformats.org/officeDocument/2006/relationships" ref="H29" r:id="rId24"/>
    <hyperlink xmlns:r="http://schemas.openxmlformats.org/officeDocument/2006/relationships" ref="H30" r:id="rId25"/>
    <hyperlink xmlns:r="http://schemas.openxmlformats.org/officeDocument/2006/relationships" ref="H31" r:id="rId26"/>
    <hyperlink xmlns:r="http://schemas.openxmlformats.org/officeDocument/2006/relationships" ref="H32" r:id="rId27"/>
    <hyperlink xmlns:r="http://schemas.openxmlformats.org/officeDocument/2006/relationships" ref="H33" r:id="rId28"/>
    <hyperlink xmlns:r="http://schemas.openxmlformats.org/officeDocument/2006/relationships" ref="H34" r:id="rId29"/>
    <hyperlink xmlns:r="http://schemas.openxmlformats.org/officeDocument/2006/relationships" ref="H35" r:id="rId30"/>
    <hyperlink xmlns:r="http://schemas.openxmlformats.org/officeDocument/2006/relationships" ref="H36" r:id="rId31"/>
    <hyperlink xmlns:r="http://schemas.openxmlformats.org/officeDocument/2006/relationships" ref="H37" r:id="rId32"/>
    <hyperlink xmlns:r="http://schemas.openxmlformats.org/officeDocument/2006/relationships" ref="H38" r:id="rId33"/>
    <hyperlink xmlns:r="http://schemas.openxmlformats.org/officeDocument/2006/relationships" ref="H41" r:id="rId34"/>
    <hyperlink xmlns:r="http://schemas.openxmlformats.org/officeDocument/2006/relationships" ref="H42" r:id="rId35"/>
    <hyperlink xmlns:r="http://schemas.openxmlformats.org/officeDocument/2006/relationships" ref="H43" r:id="rId36"/>
    <hyperlink xmlns:r="http://schemas.openxmlformats.org/officeDocument/2006/relationships" ref="H44" r:id="rId37"/>
    <hyperlink xmlns:r="http://schemas.openxmlformats.org/officeDocument/2006/relationships" ref="H45" r:id="rId38"/>
    <hyperlink xmlns:r="http://schemas.openxmlformats.org/officeDocument/2006/relationships" ref="H46" r:id="rId39"/>
    <hyperlink xmlns:r="http://schemas.openxmlformats.org/officeDocument/2006/relationships" ref="H47" r:id="rId40"/>
    <hyperlink xmlns:r="http://schemas.openxmlformats.org/officeDocument/2006/relationships" ref="H48" r:id="rId41"/>
    <hyperlink xmlns:r="http://schemas.openxmlformats.org/officeDocument/2006/relationships" ref="H49" r:id="rId42"/>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6.xml><?xml version="1.0" encoding="utf-8"?>
<worksheet xmlns="http://schemas.openxmlformats.org/spreadsheetml/2006/main">
  <sheetPr>
    <tabColor rgb="0027AE60"/>
    <outlinePr summaryBelow="1" summaryRight="1"/>
    <pageSetUpPr fitToPage="1"/>
  </sheetPr>
  <dimension ref="A1:J57"/>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Moduł 4: FAZA PRZYGOTOWAWCZA</t>
        </is>
      </c>
    </row>
    <row r="2">
      <c r="A2" s="37" t="inlineStr">
        <is>
          <t>#</t>
        </is>
      </c>
      <c r="B2" s="37" t="inlineStr">
        <is>
          <t>Element checklisty</t>
        </is>
      </c>
      <c r="C2" s="37" t="inlineStr">
        <is>
          <t>Status</t>
        </is>
      </c>
      <c r="D2" s="37" t="inlineStr">
        <is>
          <t>Priorytet</t>
        </is>
      </c>
      <c r="E2" s="37" t="inlineStr">
        <is>
          <t>Właściciel</t>
        </is>
      </c>
      <c r="F2" s="37" t="inlineStr">
        <is>
          <t>Termin</t>
        </is>
      </c>
      <c r="G2" s="37" t="inlineStr">
        <is>
          <t>Data realizacji</t>
        </is>
      </c>
      <c r="H2" s="37" t="inlineStr">
        <is>
          <t>Odniesienie RTS</t>
        </is>
      </c>
      <c r="I2" s="37" t="inlineStr">
        <is>
          <t>Dowody/Uwagi</t>
        </is>
      </c>
      <c r="J2" s="37" t="inlineStr">
        <is>
          <t>Ryzyko pominięcia</t>
        </is>
      </c>
    </row>
    <row r="3">
      <c r="A3" s="38">
        <f>"Postęp: "&amp;COUNTIF(C5:C55,"Complete")&amp;" / 45 ukończono ("&amp;IF(45=0,0,ROUND(COUNTIF(C5:C55,"Complete")/45*100,0))&amp;"%)"</f>
        <v/>
      </c>
      <c r="B3" s="76" t="n"/>
      <c r="C3" s="76" t="n"/>
      <c r="D3" s="76" t="n"/>
      <c r="E3" s="76" t="n"/>
      <c r="F3" s="76" t="n"/>
      <c r="G3" s="76" t="n"/>
      <c r="H3" s="76" t="n"/>
      <c r="I3" s="76" t="n"/>
      <c r="J3" s="77" t="n"/>
    </row>
    <row r="4">
      <c r="A4" s="48" t="inlineStr">
        <is>
          <t>4A: Inicjacja (w ciągu 3 miesięcy od powiadomienia)</t>
        </is>
      </c>
      <c r="B4" s="76" t="n"/>
      <c r="C4" s="76" t="n"/>
      <c r="D4" s="76" t="n"/>
      <c r="E4" s="76" t="n"/>
      <c r="F4" s="76" t="n"/>
      <c r="G4" s="76" t="n"/>
      <c r="H4" s="76" t="n"/>
      <c r="I4" s="76" t="n"/>
      <c r="J4" s="77" t="n"/>
    </row>
    <row r="5">
      <c r="A5" s="39" t="inlineStr">
        <is>
          <t>4.1</t>
        </is>
      </c>
      <c r="B5" s="40" t="inlineStr">
        <is>
          <t>Imię i nazwisko oraz dane kontaktowe lidera zespołu kontrolnego</t>
        </is>
      </c>
      <c r="C5" s="35" t="inlineStr">
        <is>
          <t>Not Started</t>
        </is>
      </c>
      <c r="D5" s="41" t="inlineStr">
        <is>
          <t>CRITICAL</t>
        </is>
      </c>
      <c r="E5" s="42" t="n"/>
      <c r="F5" s="79" t="n"/>
      <c r="G5" s="79" t="n"/>
      <c r="H5" s="44" t="inlineStr">
        <is>
          <t>RTS Art. 9(2); RTS Annex I</t>
        </is>
      </c>
      <c r="I5" s="45" t="n"/>
      <c r="J5" s="35" t="n"/>
    </row>
    <row r="6">
      <c r="A6" s="39" t="inlineStr">
        <is>
          <t>4.2</t>
        </is>
      </c>
      <c r="B6" s="40" t="inlineStr">
        <is>
          <t>Decyzja o typie testerów: wewnętrzni / zewnętrzni / hybrydowi</t>
        </is>
      </c>
      <c r="C6" s="35" t="inlineStr">
        <is>
          <t>Not Started</t>
        </is>
      </c>
      <c r="D6" s="41" t="inlineStr">
        <is>
          <t>CRITICAL</t>
        </is>
      </c>
      <c r="E6" s="42" t="n"/>
      <c r="F6" s="79" t="n"/>
      <c r="G6" s="79" t="n"/>
      <c r="H6" s="44" t="inlineStr">
        <is>
          <t>RTS Art. 9(2); RTS Annex I</t>
        </is>
      </c>
      <c r="I6" s="45" t="n"/>
      <c r="J6" s="35" t="n"/>
    </row>
    <row r="7">
      <c r="A7" s="39" t="inlineStr">
        <is>
          <t>4.3</t>
        </is>
      </c>
      <c r="B7" s="40" t="inlineStr">
        <is>
          <t>Kanały komunikacji: szyfrowany email, data room, komunikator</t>
        </is>
      </c>
      <c r="C7" s="35" t="inlineStr">
        <is>
          <t>Not Started</t>
        </is>
      </c>
      <c r="D7" s="41" t="inlineStr">
        <is>
          <t>CRITICAL</t>
        </is>
      </c>
      <c r="E7" s="42" t="n"/>
      <c r="F7" s="79" t="n"/>
      <c r="G7" s="79" t="n"/>
      <c r="H7" s="44" t="inlineStr">
        <is>
          <t>RTS Art. 9(2); RTS Annex I</t>
        </is>
      </c>
      <c r="I7" s="45" t="n"/>
      <c r="J7" s="35" t="n"/>
    </row>
    <row r="8">
      <c r="A8" s="39" t="inlineStr">
        <is>
          <t>4.4</t>
        </is>
      </c>
      <c r="B8" s="40" t="inlineStr">
        <is>
          <t>Kryptonim TLPT</t>
        </is>
      </c>
      <c r="C8" s="35" t="inlineStr">
        <is>
          <t>Not Started</t>
        </is>
      </c>
      <c r="D8" s="41" t="inlineStr">
        <is>
          <t>CRITICAL</t>
        </is>
      </c>
      <c r="E8" s="42" t="n"/>
      <c r="F8" s="79" t="n"/>
      <c r="G8" s="79" t="n"/>
      <c r="H8" s="44" t="inlineStr">
        <is>
          <t>RTS Art. 9(2); RTS Annex I</t>
        </is>
      </c>
      <c r="I8" s="45" t="n"/>
      <c r="J8" s="35" t="n"/>
    </row>
    <row r="9">
      <c r="A9" s="39" t="inlineStr">
        <is>
          <t>4.5</t>
        </is>
      </c>
      <c r="B9" s="40" t="inlineStr">
        <is>
          <t>Funkcje krytyczne w innych państwach członkowskich (list + jurisdictions)</t>
        </is>
      </c>
      <c r="C9" s="35" t="inlineStr">
        <is>
          <t>Not Started</t>
        </is>
      </c>
      <c r="D9" s="41" t="inlineStr">
        <is>
          <t>CRITICAL</t>
        </is>
      </c>
      <c r="E9" s="42" t="n"/>
      <c r="F9" s="79" t="n"/>
      <c r="G9" s="79" t="n"/>
      <c r="H9" s="44" t="inlineStr">
        <is>
          <t>RTS Art. 9(2); RTS Annex I</t>
        </is>
      </c>
      <c r="I9" s="45" t="n"/>
      <c r="J9" s="35" t="n"/>
    </row>
    <row r="10">
      <c r="A10" s="39" t="inlineStr">
        <is>
          <t>4.6</t>
        </is>
      </c>
      <c r="B10" s="40" t="inlineStr">
        <is>
          <t>Funkcje krytyczne wspierane przez zewnętrznych dostawców ICT (list + provider IDs)</t>
        </is>
      </c>
      <c r="C10" s="35" t="inlineStr">
        <is>
          <t>Not Started</t>
        </is>
      </c>
      <c r="D10" s="41" t="inlineStr">
        <is>
          <t>CRITICAL</t>
        </is>
      </c>
      <c r="E10" s="42" t="n"/>
      <c r="F10" s="79" t="n"/>
      <c r="G10" s="79" t="n"/>
      <c r="H10" s="44" t="inlineStr">
        <is>
          <t>RTS Art. 9(2); RTS Annex I</t>
        </is>
      </c>
      <c r="I10" s="45" t="n"/>
      <c r="J10" s="35" t="n"/>
    </row>
    <row r="11">
      <c r="A11" s="39" t="inlineStr">
        <is>
          <t>4.7</t>
        </is>
      </c>
      <c r="B11" s="40" t="inlineStr">
        <is>
          <t>Oczekiwane terminy zakończenia każdej fazy</t>
        </is>
      </c>
      <c r="C11" s="35" t="inlineStr">
        <is>
          <t>Not Started</t>
        </is>
      </c>
      <c r="D11" s="41" t="inlineStr">
        <is>
          <t>CRITICAL</t>
        </is>
      </c>
      <c r="E11" s="42" t="n"/>
      <c r="F11" s="79" t="n"/>
      <c r="G11" s="79" t="n"/>
      <c r="H11" s="44" t="inlineStr">
        <is>
          <t>RTS Art. 9(2); RTS Annex I</t>
        </is>
      </c>
      <c r="I11" s="45" t="n"/>
      <c r="J11" s="35" t="n"/>
    </row>
    <row r="12">
      <c r="A12" s="39" t="inlineStr">
        <is>
          <t>4.8</t>
        </is>
      </c>
      <c r="B12" s="40" t="inlineStr">
        <is>
          <t>Ustanów szyfrowane kanały komunikacji z organem TLPT</t>
        </is>
      </c>
      <c r="C12" s="35" t="inlineStr">
        <is>
          <t>Not Started</t>
        </is>
      </c>
      <c r="D12" s="41" t="inlineStr">
        <is>
          <t>CRITICAL</t>
        </is>
      </c>
      <c r="E12" s="42" t="n"/>
      <c r="F12" s="79" t="n"/>
      <c r="G12" s="79" t="n"/>
      <c r="H12" s="44" t="inlineStr">
        <is>
          <t>RTS Art. 9(2); RTS Art. 4</t>
        </is>
      </c>
      <c r="I12" s="45" t="n"/>
      <c r="J12" s="35" t="n"/>
    </row>
    <row r="13">
      <c r="A13" s="39" t="inlineStr">
        <is>
          <t>4.9</t>
        </is>
      </c>
      <c r="B13" s="40" t="inlineStr">
        <is>
          <t>Skonfiguruj bezpieczny data room</t>
        </is>
      </c>
      <c r="C13" s="35" t="inlineStr">
        <is>
          <t>Not Started</t>
        </is>
      </c>
      <c r="D13" s="46" t="inlineStr">
        <is>
          <t>HIGH</t>
        </is>
      </c>
      <c r="E13" s="42" t="n"/>
      <c r="F13" s="79" t="n"/>
      <c r="G13" s="79" t="n"/>
      <c r="H13" s="44" t="inlineStr">
        <is>
          <t>RTS Art. 4</t>
        </is>
      </c>
      <c r="I13" s="45" t="n"/>
      <c r="J13" s="35" t="n"/>
    </row>
    <row r="14">
      <c r="A14" s="39" t="inlineStr">
        <is>
          <t>4.10</t>
        </is>
      </c>
      <c r="B14" s="40" t="inlineStr">
        <is>
          <t>Potwierdź, że organ TLPT zwalidował informacje inicjujące</t>
        </is>
      </c>
      <c r="C14" s="35" t="inlineStr">
        <is>
          <t>Not Started</t>
        </is>
      </c>
      <c r="D14" s="41" t="inlineStr">
        <is>
          <t>CRITICAL</t>
        </is>
      </c>
      <c r="E14" s="42" t="n"/>
      <c r="F14" s="79" t="n"/>
      <c r="G14" s="79" t="n"/>
      <c r="H14" s="44" t="inlineStr">
        <is>
          <t>RTS Art. 9(3)</t>
        </is>
      </c>
      <c r="I14" s="45" t="n"/>
      <c r="J14" s="35" t="n"/>
    </row>
    <row r="15">
      <c r="A15" s="39" t="inlineStr">
        <is>
          <t>4.11</t>
        </is>
      </c>
      <c r="B15" s="40" t="inlineStr">
        <is>
          <t>Potwierdź, że organ TLPT zwalidował skład zespołu kontrolnego</t>
        </is>
      </c>
      <c r="C15" s="35" t="inlineStr">
        <is>
          <t>Not Started</t>
        </is>
      </c>
      <c r="D15" s="41" t="inlineStr">
        <is>
          <t>CRITICAL</t>
        </is>
      </c>
      <c r="E15" s="42" t="n"/>
      <c r="F15" s="79" t="n"/>
      <c r="G15" s="79" t="n"/>
      <c r="H15" s="44" t="inlineStr">
        <is>
          <t>RTS Art. 9(5)</t>
        </is>
      </c>
      <c r="I15" s="45" t="n"/>
      <c r="J15" s="35" t="n"/>
    </row>
    <row r="16">
      <c r="A16" s="48" t="inlineStr">
        <is>
          <t>4B: Specyfikacja zakresu (w ciągu 6 miesięcy od powiadomienia)</t>
        </is>
      </c>
      <c r="B16" s="76" t="n"/>
      <c r="C16" s="76" t="n"/>
      <c r="D16" s="76" t="n"/>
      <c r="E16" s="76" t="n"/>
      <c r="F16" s="76" t="n"/>
      <c r="G16" s="76" t="n"/>
      <c r="H16" s="76" t="n"/>
      <c r="I16" s="76" t="n"/>
      <c r="J16" s="77" t="n"/>
    </row>
    <row r="17">
      <c r="A17" s="39" t="inlineStr">
        <is>
          <t>4.12</t>
        </is>
      </c>
      <c r="B17" s="40" t="inlineStr">
        <is>
          <t>Wymień WSZYSTKIE zidentyfikowane funkcje krytyczne/istotne</t>
        </is>
      </c>
      <c r="C17" s="35" t="inlineStr">
        <is>
          <t>Not Started</t>
        </is>
      </c>
      <c r="D17" s="41" t="inlineStr">
        <is>
          <t>CRITICAL</t>
        </is>
      </c>
      <c r="E17" s="42" t="n"/>
      <c r="F17" s="79" t="n"/>
      <c r="G17" s="79" t="n"/>
      <c r="H17" s="44" t="inlineStr">
        <is>
          <t>RTS Art. 9(6); RTS Annex II</t>
        </is>
      </c>
      <c r="I17" s="45" t="n"/>
      <c r="J17" s="35" t="n"/>
    </row>
    <row r="18">
      <c r="A18" s="39" t="inlineStr">
        <is>
          <t>4.13</t>
        </is>
      </c>
      <c r="B18" s="40" t="inlineStr">
        <is>
          <t>Dla każdej wyłączonej CIF: udokumentowane uzasadnienie</t>
        </is>
      </c>
      <c r="C18" s="35" t="inlineStr">
        <is>
          <t>Not Started</t>
        </is>
      </c>
      <c r="D18" s="41" t="inlineStr">
        <is>
          <t>CRITICAL</t>
        </is>
      </c>
      <c r="E18" s="42" t="n"/>
      <c r="F18" s="79" t="n"/>
      <c r="G18" s="79" t="n"/>
      <c r="H18" s="44" t="inlineStr">
        <is>
          <t>RTS Art. 9(6); RTS Annex II</t>
        </is>
      </c>
      <c r="I18" s="45" t="n"/>
      <c r="J18" s="35" t="n"/>
    </row>
    <row r="19">
      <c r="A19" s="39" t="inlineStr">
        <is>
          <t>4.14</t>
        </is>
      </c>
      <c r="B19" s="40" t="inlineStr">
        <is>
          <t>Dla każdej włączonej CIF:</t>
        </is>
      </c>
      <c r="C19" s="35" t="inlineStr">
        <is>
          <t>Not Started</t>
        </is>
      </c>
      <c r="D19" s="41" t="inlineStr">
        <is>
          <t>CRITICAL</t>
        </is>
      </c>
      <c r="E19" s="42" t="n"/>
      <c r="F19" s="79" t="n"/>
      <c r="G19" s="79" t="n"/>
      <c r="H19" s="44" t="inlineStr">
        <is>
          <t>RTS Art. 9(6); RTS Annex II</t>
        </is>
      </c>
      <c r="I19" s="45" t="n"/>
      <c r="J19" s="35" t="n"/>
    </row>
    <row r="20">
      <c r="A20" s="39" t="inlineStr">
        <is>
          <t>4.15</t>
        </is>
      </c>
      <c r="B20" s="40" t="inlineStr">
        <is>
          <t>Uzasadnienie włączenia</t>
        </is>
      </c>
      <c r="C20" s="35" t="inlineStr">
        <is>
          <t>Not Started</t>
        </is>
      </c>
      <c r="D20" s="41" t="inlineStr">
        <is>
          <t>CRITICAL</t>
        </is>
      </c>
      <c r="E20" s="42" t="n"/>
      <c r="F20" s="79" t="n"/>
      <c r="G20" s="79" t="n"/>
      <c r="H20" s="44" t="inlineStr">
        <is>
          <t>RTS Annex II</t>
        </is>
      </c>
      <c r="I20" s="45" t="n"/>
      <c r="J20" s="35" t="n"/>
    </row>
    <row r="21">
      <c r="A21" s="39" t="inlineStr">
        <is>
          <t>4.16</t>
        </is>
      </c>
      <c r="B21" s="40" t="inlineStr">
        <is>
          <t>Zidentyfikowane wspierające systemy ICT</t>
        </is>
      </c>
      <c r="C21" s="35" t="inlineStr">
        <is>
          <t>Not Started</t>
        </is>
      </c>
      <c r="D21" s="41" t="inlineStr">
        <is>
          <t>CRITICAL</t>
        </is>
      </c>
      <c r="E21" s="42" t="n"/>
      <c r="F21" s="79" t="n"/>
      <c r="G21" s="79" t="n"/>
      <c r="H21" s="44" t="inlineStr">
        <is>
          <t>RTS Annex II</t>
        </is>
      </c>
      <c r="I21" s="45" t="n"/>
      <c r="J21" s="35" t="n"/>
    </row>
    <row r="22">
      <c r="A22" s="39" t="inlineStr">
        <is>
          <t>4.17</t>
        </is>
      </c>
      <c r="B22" s="40" t="inlineStr">
        <is>
          <t>Status outsourcingu i identyfikacja dostawcy</t>
        </is>
      </c>
      <c r="C22" s="35" t="inlineStr">
        <is>
          <t>Not Started</t>
        </is>
      </c>
      <c r="D22" s="41" t="inlineStr">
        <is>
          <t>CRITICAL</t>
        </is>
      </c>
      <c r="E22" s="42" t="n"/>
      <c r="F22" s="79" t="n"/>
      <c r="G22" s="79" t="n"/>
      <c r="H22" s="44" t="inlineStr">
        <is>
          <t>RTS Annex II</t>
        </is>
      </c>
      <c r="I22" s="45" t="n"/>
      <c r="J22" s="35" t="n"/>
    </row>
    <row r="23">
      <c r="A23" s="39" t="inlineStr">
        <is>
          <t>4.18</t>
        </is>
      </c>
      <c r="B23" s="40" t="inlineStr">
        <is>
          <t>Jurysdykcje operacyjne</t>
        </is>
      </c>
      <c r="C23" s="35" t="inlineStr">
        <is>
          <t>Not Started</t>
        </is>
      </c>
      <c r="D23" s="41" t="inlineStr">
        <is>
          <t>CRITICAL</t>
        </is>
      </c>
      <c r="E23" s="42" t="n"/>
      <c r="F23" s="79" t="n"/>
      <c r="G23" s="79" t="n"/>
      <c r="H23" s="44" t="inlineStr">
        <is>
          <t>RTS Annex II</t>
        </is>
      </c>
      <c r="I23" s="45" t="n"/>
      <c r="J23" s="35" t="n"/>
    </row>
    <row r="24">
      <c r="A24" s="39" t="inlineStr">
        <is>
          <t>4.19</t>
        </is>
      </c>
      <c r="B24" s="40" t="inlineStr">
        <is>
          <t>Wstępne flagi (poufność, integralność, dostępność, autentyczność)</t>
        </is>
      </c>
      <c r="C24" s="35" t="inlineStr">
        <is>
          <t>Not Started</t>
        </is>
      </c>
      <c r="D24" s="41" t="inlineStr">
        <is>
          <t>CRITICAL</t>
        </is>
      </c>
      <c r="E24" s="42" t="n"/>
      <c r="F24" s="79" t="n"/>
      <c r="G24" s="79" t="n"/>
      <c r="H24" s="44" t="inlineStr">
        <is>
          <t>RTS Annex II</t>
        </is>
      </c>
      <c r="I24" s="45" t="n"/>
      <c r="J24" s="35" t="n"/>
    </row>
    <row r="25">
      <c r="A25" s="39" t="inlineStr">
        <is>
          <t>4.20</t>
        </is>
      </c>
      <c r="B25" s="40" t="inlineStr">
        <is>
          <t>Uzyskano formalne zatwierdzenie organu zarządzającego</t>
        </is>
      </c>
      <c r="C25" s="35" t="inlineStr">
        <is>
          <t>Not Started</t>
        </is>
      </c>
      <c r="D25" s="41" t="inlineStr">
        <is>
          <t>CRITICAL</t>
        </is>
      </c>
      <c r="E25" s="42" t="n"/>
      <c r="F25" s="79" t="n"/>
      <c r="G25" s="79" t="n"/>
      <c r="H25" s="44" t="inlineStr">
        <is>
          <t>RTS Art. 9(6)</t>
        </is>
      </c>
      <c r="I25" s="45" t="n"/>
      <c r="J25" s="35" t="n"/>
    </row>
    <row r="26">
      <c r="A26" s="39" t="inlineStr">
        <is>
          <t>4.21</t>
        </is>
      </c>
      <c r="B26" s="40" t="inlineStr">
        <is>
          <t>Specyfikacja zakresu złożona do organu TLPT</t>
        </is>
      </c>
      <c r="C26" s="35" t="inlineStr">
        <is>
          <t>Not Started</t>
        </is>
      </c>
      <c r="D26" s="41" t="inlineStr">
        <is>
          <t>CRITICAL</t>
        </is>
      </c>
      <c r="E26" s="42" t="n"/>
      <c r="F26" s="79" t="n"/>
      <c r="G26" s="79" t="n"/>
      <c r="H26" s="44" t="inlineStr">
        <is>
          <t>RTS Art. 9(6)</t>
        </is>
      </c>
      <c r="I26" s="45" t="n"/>
      <c r="J26" s="35" t="n"/>
    </row>
    <row r="27">
      <c r="A27" s="39" t="inlineStr">
        <is>
          <t>4.22</t>
        </is>
      </c>
      <c r="B27" s="40" t="inlineStr">
        <is>
          <t>Otrzymano zatwierdzenie organu TLPT</t>
        </is>
      </c>
      <c r="C27" s="35" t="inlineStr">
        <is>
          <t>Not Started</t>
        </is>
      </c>
      <c r="D27" s="41" t="inlineStr">
        <is>
          <t>CRITICAL</t>
        </is>
      </c>
      <c r="E27" s="42" t="n"/>
      <c r="F27" s="79" t="n"/>
      <c r="G27" s="79" t="n"/>
      <c r="H27" s="44" t="inlineStr">
        <is>
          <t>RTS Art. 9(12)</t>
        </is>
      </c>
      <c r="I27" s="45" t="n"/>
      <c r="J27" s="35" t="n"/>
    </row>
    <row r="28">
      <c r="A28" s="48" t="inlineStr">
        <is>
          <t>4C: Ocena ryzyka (przed rozpoczęciem testów)</t>
        </is>
      </c>
      <c r="B28" s="76" t="n"/>
      <c r="C28" s="76" t="n"/>
      <c r="D28" s="76" t="n"/>
      <c r="E28" s="76" t="n"/>
      <c r="F28" s="76" t="n"/>
      <c r="G28" s="76" t="n"/>
      <c r="H28" s="76" t="n"/>
      <c r="I28" s="76" t="n"/>
      <c r="J28" s="77" t="n"/>
    </row>
    <row r="29">
      <c r="A29" s="39" t="inlineStr">
        <is>
          <t>4.23</t>
        </is>
      </c>
      <c r="B29" s="40" t="inlineStr">
        <is>
          <t>Ocena ryzyka ICT samego TLPT (RTS Article 5)</t>
        </is>
      </c>
      <c r="C29" s="35" t="inlineStr">
        <is>
          <t>Not Started</t>
        </is>
      </c>
      <c r="D29" s="41" t="inlineStr">
        <is>
          <t>CRITICAL</t>
        </is>
      </c>
      <c r="E29" s="42" t="n"/>
      <c r="F29" s="79" t="n"/>
      <c r="G29" s="79" t="n"/>
      <c r="H29" s="44" t="inlineStr">
        <is>
          <t>RTS Art. 5</t>
        </is>
      </c>
      <c r="I29" s="45" t="n"/>
      <c r="J29" s="35" t="n"/>
    </row>
    <row r="30">
      <c r="A30" s="39" t="inlineStr">
        <is>
          <t>4.24</t>
        </is>
      </c>
      <c r="B30" s="40" t="inlineStr">
        <is>
          <t>Rozważ ryzyka:</t>
        </is>
      </c>
      <c r="C30" s="35" t="inlineStr">
        <is>
          <t>Not Started</t>
        </is>
      </c>
      <c r="D30" s="46" t="inlineStr">
        <is>
          <t>HIGH</t>
        </is>
      </c>
      <c r="E30" s="42" t="n"/>
      <c r="F30" s="79" t="n"/>
      <c r="G30" s="79" t="n"/>
      <c r="H30" s="44" t="inlineStr">
        <is>
          <t>RTS Art. 5</t>
        </is>
      </c>
      <c r="I30" s="45" t="n"/>
      <c r="J30" s="35" t="n"/>
    </row>
    <row r="31">
      <c r="A31" s="39" t="inlineStr">
        <is>
          <t>4.25</t>
        </is>
      </c>
      <c r="B31" s="40" t="inlineStr">
        <is>
          <t>Dostęp testerów do informacji wrażliwych</t>
        </is>
      </c>
      <c r="C31" s="35" t="inlineStr">
        <is>
          <t>Not Started</t>
        </is>
      </c>
      <c r="D31" s="46" t="inlineStr">
        <is>
          <t>HIGH</t>
        </is>
      </c>
      <c r="E31" s="42" t="n"/>
      <c r="F31" s="79" t="n"/>
      <c r="G31" s="79" t="n"/>
      <c r="H31" s="44" t="inlineStr">
        <is>
          <t>RTS Art. 5</t>
        </is>
      </c>
      <c r="I31" s="45" t="n"/>
      <c r="J31" s="35" t="n"/>
    </row>
    <row r="32">
      <c r="A32" s="39" t="inlineStr">
        <is>
          <t>4.26</t>
        </is>
      </c>
      <c r="B32" s="40" t="inlineStr">
        <is>
          <t>Zgodność regulacyjna podczas testów</t>
        </is>
      </c>
      <c r="C32" s="35" t="inlineStr">
        <is>
          <t>Not Started</t>
        </is>
      </c>
      <c r="D32" s="46" t="inlineStr">
        <is>
          <t>HIGH</t>
        </is>
      </c>
      <c r="E32" s="42" t="n"/>
      <c r="F32" s="79" t="n"/>
      <c r="G32" s="79" t="n"/>
      <c r="H32" s="44" t="inlineStr">
        <is>
          <t>RTS Art. 5</t>
        </is>
      </c>
      <c r="I32" s="45" t="n"/>
      <c r="J32" s="35" t="n"/>
    </row>
    <row r="33">
      <c r="A33" s="39" t="inlineStr">
        <is>
          <t>4.27</t>
        </is>
      </c>
      <c r="B33" s="40" t="inlineStr">
        <is>
          <t>Eskalacja incydentu przez blue team</t>
        </is>
      </c>
      <c r="C33" s="35" t="inlineStr">
        <is>
          <t>Not Started</t>
        </is>
      </c>
      <c r="D33" s="46" t="inlineStr">
        <is>
          <t>HIGH</t>
        </is>
      </c>
      <c r="E33" s="42" t="n"/>
      <c r="F33" s="79" t="n"/>
      <c r="G33" s="79" t="n"/>
      <c r="H33" s="44" t="inlineStr">
        <is>
          <t>RTS Art. 5</t>
        </is>
      </c>
      <c r="I33" s="45" t="n"/>
      <c r="J33" s="35" t="n"/>
    </row>
    <row r="34">
      <c r="A34" s="39" t="inlineStr">
        <is>
          <t>4.28</t>
        </is>
      </c>
      <c r="B34" s="40" t="inlineStr">
        <is>
          <t>Zakłócenia produkcji w fazie aktywnych testów red team</t>
        </is>
      </c>
      <c r="C34" s="35" t="inlineStr">
        <is>
          <t>Not Started</t>
        </is>
      </c>
      <c r="D34" s="46" t="inlineStr">
        <is>
          <t>HIGH</t>
        </is>
      </c>
      <c r="E34" s="42" t="n"/>
      <c r="F34" s="79" t="n"/>
      <c r="G34" s="79" t="n"/>
      <c r="H34" s="44" t="inlineStr">
        <is>
          <t>RTS Art. 5</t>
        </is>
      </c>
      <c r="I34" s="45" t="n"/>
      <c r="J34" s="35" t="n"/>
    </row>
    <row r="35">
      <c r="A35" s="39" t="inlineStr">
        <is>
          <t>4.29</t>
        </is>
      </c>
      <c r="B35" s="40" t="inlineStr">
        <is>
          <t>Działania obronne blue team zakłócające test</t>
        </is>
      </c>
      <c r="C35" s="35" t="inlineStr">
        <is>
          <t>Not Started</t>
        </is>
      </c>
      <c r="D35" s="46" t="inlineStr">
        <is>
          <t>HIGH</t>
        </is>
      </c>
      <c r="E35" s="42" t="n"/>
      <c r="F35" s="79" t="n"/>
      <c r="G35" s="79" t="n"/>
      <c r="H35" s="44" t="inlineStr">
        <is>
          <t>RTS Art. 5</t>
        </is>
      </c>
      <c r="I35" s="45" t="n"/>
      <c r="J35" s="35" t="n"/>
    </row>
    <row r="36">
      <c r="A36" s="39" t="inlineStr">
        <is>
          <t>4.30</t>
        </is>
      </c>
      <c r="B36" s="40" t="inlineStr">
        <is>
          <t>Niekompletne przywrócenie systemów po testach</t>
        </is>
      </c>
      <c r="C36" s="35" t="inlineStr">
        <is>
          <t>Not Started</t>
        </is>
      </c>
      <c r="D36" s="46" t="inlineStr">
        <is>
          <t>HIGH</t>
        </is>
      </c>
      <c r="E36" s="42" t="n"/>
      <c r="F36" s="79" t="n"/>
      <c r="G36" s="79" t="n"/>
      <c r="H36" s="44" t="inlineStr">
        <is>
          <t>RTS Art. 5</t>
        </is>
      </c>
      <c r="I36" s="45" t="n"/>
      <c r="J36" s="35" t="n"/>
    </row>
    <row r="37">
      <c r="A37" s="39" t="inlineStr">
        <is>
          <t>4.31</t>
        </is>
      </c>
      <c r="B37" s="40" t="inlineStr">
        <is>
          <t>Dla łączonych TLPT: dodatkowa ocena ryzyka wielopodmiotowego (RTS Article 6)</t>
        </is>
      </c>
      <c r="C37" s="35" t="inlineStr">
        <is>
          <t>Not Started</t>
        </is>
      </c>
      <c r="D37" s="41" t="inlineStr">
        <is>
          <t>CRITICAL</t>
        </is>
      </c>
      <c r="E37" s="42" t="n"/>
      <c r="F37" s="79" t="n"/>
      <c r="G37" s="79" t="n"/>
      <c r="H37" s="44" t="inlineStr">
        <is>
          <t>RTS Art. 6</t>
        </is>
      </c>
      <c r="I37" s="45" t="n"/>
      <c r="J37" s="35" t="n"/>
    </row>
    <row r="38">
      <c r="A38" s="39" t="inlineStr">
        <is>
          <t>4.32</t>
        </is>
      </c>
      <c r="B38" s="40" t="inlineStr">
        <is>
          <t>Skonsultuj ocenę ryzyka z managerami testów przed rozpoczęciem</t>
        </is>
      </c>
      <c r="C38" s="35" t="inlineStr">
        <is>
          <t>Not Started</t>
        </is>
      </c>
      <c r="D38" s="46" t="inlineStr">
        <is>
          <t>HIGH</t>
        </is>
      </c>
      <c r="E38" s="42" t="n"/>
      <c r="F38" s="79" t="n"/>
      <c r="G38" s="79" t="n"/>
      <c r="H38" s="44" t="inlineStr">
        <is>
          <t>RTS Art. 9(10)</t>
        </is>
      </c>
      <c r="I38" s="45" t="n"/>
      <c r="J38" s="35" t="n"/>
    </row>
    <row r="39">
      <c r="A39" s="48" t="inlineStr">
        <is>
          <t>4D: Koordynacja z dostawcami zewnętrznymi</t>
        </is>
      </c>
      <c r="B39" s="76" t="n"/>
      <c r="C39" s="76" t="n"/>
      <c r="D39" s="76" t="n"/>
      <c r="E39" s="76" t="n"/>
      <c r="F39" s="76" t="n"/>
      <c r="G39" s="76" t="n"/>
      <c r="H39" s="76" t="n"/>
      <c r="I39" s="76" t="n"/>
      <c r="J39" s="77" t="n"/>
    </row>
    <row r="40">
      <c r="A40" s="39" t="inlineStr">
        <is>
          <t>4.33</t>
        </is>
      </c>
      <c r="B40" s="40" t="inlineStr">
        <is>
          <t>Zidentyfikuj wszystkich zewnętrznych dostawców ICT wspierających CIF w zakresie</t>
        </is>
      </c>
      <c r="C40" s="35" t="inlineStr">
        <is>
          <t>Not Started</t>
        </is>
      </c>
      <c r="D40" s="41" t="inlineStr">
        <is>
          <t>CRITICAL</t>
        </is>
      </c>
      <c r="E40" s="42" t="n"/>
      <c r="F40" s="79" t="n"/>
      <c r="G40" s="79" t="n"/>
      <c r="H40" s="44" t="inlineStr">
        <is>
          <t>DORA Art. 26(2); RTS Annex II</t>
        </is>
      </c>
      <c r="I40" s="45" t="n"/>
      <c r="J40" s="35" t="n"/>
    </row>
    <row r="41">
      <c r="A41" s="39" t="inlineStr">
        <is>
          <t>4.34</t>
        </is>
      </c>
      <c r="B41" s="40" t="inlineStr">
        <is>
          <t>Przejrzyj umowy pod kątem klauzul współpracy z art. 30(3)(d) DORA</t>
        </is>
      </c>
      <c r="C41" s="35" t="inlineStr">
        <is>
          <t>Not Started</t>
        </is>
      </c>
      <c r="D41" s="41" t="inlineStr">
        <is>
          <t>CRITICAL</t>
        </is>
      </c>
      <c r="E41" s="42" t="n"/>
      <c r="F41" s="79" t="n"/>
      <c r="G41" s="79" t="n"/>
      <c r="H41" s="44" t="inlineStr">
        <is>
          <t>DORA Art. 30(3)(d)</t>
        </is>
      </c>
      <c r="I41" s="45" t="n"/>
      <c r="J41" s="35" t="n"/>
    </row>
    <row r="42">
      <c r="A42" s="39" t="inlineStr">
        <is>
          <t>4.35</t>
        </is>
      </c>
      <c r="B42" s="40" t="inlineStr">
        <is>
          <t>Zmień umowy jeśli brakuje klauzul współpracy</t>
        </is>
      </c>
      <c r="C42" s="35" t="inlineStr">
        <is>
          <t>Not Started</t>
        </is>
      </c>
      <c r="D42" s="41" t="inlineStr">
        <is>
          <t>CRITICAL</t>
        </is>
      </c>
      <c r="E42" s="42" t="n"/>
      <c r="F42" s="79" t="n"/>
      <c r="G42" s="79" t="n"/>
      <c r="H42" s="44" t="inlineStr">
        <is>
          <t>DORA Art. 30(3)(d)</t>
        </is>
      </c>
      <c r="I42" s="45" t="n"/>
      <c r="J42" s="35" t="n"/>
    </row>
    <row r="43">
      <c r="A43" s="26" t="n"/>
      <c r="B43" s="47" t="inlineStr">
        <is>
          <t>WSKAZÓWKA: Aneks do umowy z zewnętrznym dostawcą ICT to miejsce, gdzie TLPT umierają. Dostawcy core bankingu i chmury mają własne zespoły prawne, własny apetyt na ryzyko i własne harmonogramy. Zacznij negocjacje w momencie, gdy wiesz, że będą w zakresie.</t>
        </is>
      </c>
      <c r="C43" s="26" t="n"/>
      <c r="D43" s="26" t="n"/>
      <c r="E43" s="26" t="n"/>
      <c r="F43" s="26" t="n"/>
      <c r="G43" s="26" t="n"/>
      <c r="H43" s="26" t="n"/>
      <c r="I43" s="26" t="n"/>
      <c r="J43" s="26" t="n"/>
    </row>
    <row r="44">
      <c r="A44" s="39" t="inlineStr">
        <is>
          <t>4.36</t>
        </is>
      </c>
      <c r="B44" s="40" t="inlineStr">
        <is>
          <t>Uzgodnij zasady dostępu z dostawcami</t>
        </is>
      </c>
      <c r="C44" s="35" t="inlineStr">
        <is>
          <t>Not Started</t>
        </is>
      </c>
      <c r="D44" s="46" t="inlineStr">
        <is>
          <t>HIGH</t>
        </is>
      </c>
      <c r="E44" s="42" t="n"/>
      <c r="F44" s="79" t="n"/>
      <c r="G44" s="79" t="n"/>
      <c r="H44" s="44" t="inlineStr">
        <is>
          <t>DORA Art. 26(3)</t>
        </is>
      </c>
      <c r="I44" s="45" t="n"/>
      <c r="J44" s="35" t="n"/>
    </row>
    <row r="45">
      <c r="A45" s="39" t="inlineStr">
        <is>
          <t>4.37</t>
        </is>
      </c>
      <c r="B45" s="40" t="inlineStr">
        <is>
          <t>Uzgodnij środki zarządzania ryzykiem z dostawcami</t>
        </is>
      </c>
      <c r="C45" s="35" t="inlineStr">
        <is>
          <t>Not Started</t>
        </is>
      </c>
      <c r="D45" s="46" t="inlineStr">
        <is>
          <t>HIGH</t>
        </is>
      </c>
      <c r="E45" s="42" t="n"/>
      <c r="F45" s="79" t="n"/>
      <c r="G45" s="79" t="n"/>
      <c r="H45" s="44" t="inlineStr">
        <is>
          <t>DORA Art. 26(5)</t>
        </is>
      </c>
      <c r="I45" s="45" t="n"/>
      <c r="J45" s="35" t="n"/>
    </row>
    <row r="46">
      <c r="A46" s="39" t="inlineStr">
        <is>
          <t>4.38</t>
        </is>
      </c>
      <c r="B46" s="40" t="inlineStr">
        <is>
          <t>Dla łączonego testowania: koordynuj z innymi podmiotami finansowymi using same provider</t>
        </is>
      </c>
      <c r="C46" s="35" t="inlineStr">
        <is>
          <t>Not Started</t>
        </is>
      </c>
      <c r="D46" s="46" t="inlineStr">
        <is>
          <t>HIGH</t>
        </is>
      </c>
      <c r="E46" s="42" t="n"/>
      <c r="F46" s="79" t="n"/>
      <c r="G46" s="79" t="n"/>
      <c r="H46" s="44" t="inlineStr">
        <is>
          <t>DORA Art. 26(4); RTS Art. 8</t>
        </is>
      </c>
      <c r="I46" s="45" t="n"/>
      <c r="J46" s="35" t="n"/>
    </row>
    <row r="47">
      <c r="A47" s="39" t="inlineStr">
        <is>
          <t>4.39</t>
        </is>
      </c>
      <c r="B47" s="40" t="inlineStr">
        <is>
          <t>Potwierdź udział dostawcy na piśmie</t>
        </is>
      </c>
      <c r="C47" s="35" t="inlineStr">
        <is>
          <t>Not Started</t>
        </is>
      </c>
      <c r="D47" s="46" t="inlineStr">
        <is>
          <t>HIGH</t>
        </is>
      </c>
      <c r="E47" s="42" t="n"/>
      <c r="F47" s="79" t="n"/>
      <c r="G47" s="79" t="n"/>
      <c r="H47" s="44" t="inlineStr">
        <is>
          <t>DORA Art. 26(3)</t>
        </is>
      </c>
      <c r="I47" s="45" t="n"/>
      <c r="J47" s="35" t="n"/>
    </row>
    <row r="48">
      <c r="A48" s="26" t="n"/>
      <c r="B48" s="47" t="inlineStr">
        <is>
          <t>WSKAZÓWKA: To ukryty pochłaniacz czasu. Dostawcy chmury i core bankingu działają wolno. Zacznij negocjacje umowne w momencie, gdy wiesz, że będą w zakresie. Ten pojedynczy punkt opóźnił TLPT o 3+ miesiące w wielu przypadkach.</t>
        </is>
      </c>
      <c r="C48" s="26" t="n"/>
      <c r="D48" s="26" t="n"/>
      <c r="E48" s="26" t="n"/>
      <c r="F48" s="26" t="n"/>
      <c r="G48" s="26" t="n"/>
      <c r="H48" s="26" t="n"/>
      <c r="I48" s="26" t="n"/>
      <c r="J48" s="26" t="n"/>
    </row>
    <row r="49">
      <c r="A49" s="48" t="inlineStr">
        <is>
          <t>4E: Koordynacja transgraniczna (jeśli dotyczy)</t>
        </is>
      </c>
      <c r="B49" s="76" t="n"/>
      <c r="C49" s="76" t="n"/>
      <c r="D49" s="76" t="n"/>
      <c r="E49" s="76" t="n"/>
      <c r="F49" s="76" t="n"/>
      <c r="G49" s="76" t="n"/>
      <c r="H49" s="76" t="n"/>
      <c r="I49" s="76" t="n"/>
      <c r="J49" s="77" t="n"/>
    </row>
    <row r="50">
      <c r="A50" s="39" t="inlineStr">
        <is>
          <t>4.40</t>
        </is>
      </c>
      <c r="B50" s="40" t="inlineStr">
        <is>
          <t>Zidentyfikuj wszystkie państwa członkowskie, w których działają CIF w zakresie</t>
        </is>
      </c>
      <c r="C50" s="35" t="inlineStr">
        <is>
          <t>Not Started</t>
        </is>
      </c>
      <c r="D50" s="41" t="inlineStr">
        <is>
          <t>CRITICAL</t>
        </is>
      </c>
      <c r="E50" s="42" t="n"/>
      <c r="F50" s="79" t="n"/>
      <c r="G50" s="79" t="n"/>
      <c r="H50" s="44" t="inlineStr">
        <is>
          <t>RTS Art. 16(1)</t>
        </is>
      </c>
      <c r="I50" s="45" t="n"/>
      <c r="J50" s="35" t="n"/>
    </row>
    <row r="51">
      <c r="A51" s="39" t="inlineStr">
        <is>
          <t>4.41</t>
        </is>
      </c>
      <c r="B51" s="40" t="inlineStr">
        <is>
          <t>Organ TLPT powiadamia organy goszczących państw członkowskich</t>
        </is>
      </c>
      <c r="C51" s="35" t="inlineStr">
        <is>
          <t>Not Started</t>
        </is>
      </c>
      <c r="D51" s="41" t="inlineStr">
        <is>
          <t>CRITICAL</t>
        </is>
      </c>
      <c r="E51" s="42" t="n"/>
      <c r="F51" s="79" t="n"/>
      <c r="G51" s="79" t="n"/>
      <c r="H51" s="44" t="inlineStr">
        <is>
          <t>RTS Art. 16(1)</t>
        </is>
      </c>
      <c r="I51" s="45" t="n"/>
      <c r="J51" s="35" t="n"/>
    </row>
    <row r="52">
      <c r="A52" s="39" t="inlineStr">
        <is>
          <t>4.42</t>
        </is>
      </c>
      <c r="B52" s="40" t="inlineStr">
        <is>
          <t>Organy goszczące odpowiadają w ciągu 20 dni roboczych (observer or participant)</t>
        </is>
      </c>
      <c r="C52" s="35" t="inlineStr">
        <is>
          <t>Not Started</t>
        </is>
      </c>
      <c r="D52" s="46" t="inlineStr">
        <is>
          <t>HIGH</t>
        </is>
      </c>
      <c r="E52" s="42" t="n"/>
      <c r="F52" s="79" t="n"/>
      <c r="G52" s="79" t="n"/>
      <c r="H52" s="44" t="inlineStr">
        <is>
          <t>RTS Art. 16(1)</t>
        </is>
      </c>
      <c r="I52" s="45" t="n"/>
      <c r="J52" s="35" t="n"/>
    </row>
    <row r="53">
      <c r="A53" s="39" t="inlineStr">
        <is>
          <t>4.43</t>
        </is>
      </c>
      <c r="B53" s="40" t="inlineStr">
        <is>
          <t>Uzgodnij wiodący organ TLPT</t>
        </is>
      </c>
      <c r="C53" s="35" t="inlineStr">
        <is>
          <t>Not Started</t>
        </is>
      </c>
      <c r="D53" s="41" t="inlineStr">
        <is>
          <t>CRITICAL</t>
        </is>
      </c>
      <c r="E53" s="42" t="n"/>
      <c r="F53" s="79" t="n"/>
      <c r="G53" s="79" t="n"/>
      <c r="H53" s="44" t="inlineStr">
        <is>
          <t>RTS Art. 16(1)</t>
        </is>
      </c>
      <c r="I53" s="45" t="n"/>
      <c r="J53" s="35" t="n"/>
    </row>
    <row r="54">
      <c r="A54" s="39" t="inlineStr">
        <is>
          <t>4.44</t>
        </is>
      </c>
      <c r="B54" s="40" t="inlineStr">
        <is>
          <t>Wynegocjuj warunki wzajemnego uznawania PRZED rozpoczęciem testów</t>
        </is>
      </c>
      <c r="C54" s="35" t="inlineStr">
        <is>
          <t>Not Started</t>
        </is>
      </c>
      <c r="D54" s="41" t="inlineStr">
        <is>
          <t>CRITICAL</t>
        </is>
      </c>
      <c r="E54" s="42" t="n"/>
      <c r="F54" s="79" t="n"/>
      <c r="G54" s="79" t="n"/>
      <c r="H54" s="44" t="inlineStr">
        <is>
          <t>DORA Art. 26(7); RTS Art. 16</t>
        </is>
      </c>
      <c r="I54" s="45" t="n"/>
      <c r="J54" s="35" t="n"/>
    </row>
    <row r="55">
      <c r="A55" s="39" t="inlineStr">
        <is>
          <t>4.45</t>
        </is>
      </c>
      <c r="B55" s="40" t="inlineStr">
        <is>
          <t>Dla podmiotów grupowych: oceń czy wspólny TLPT jest właściwy</t>
        </is>
      </c>
      <c r="C55" s="35" t="inlineStr">
        <is>
          <t>Not Started</t>
        </is>
      </c>
      <c r="D55" s="46" t="inlineStr">
        <is>
          <t>HIGH</t>
        </is>
      </c>
      <c r="E55" s="42" t="n"/>
      <c r="F55" s="79" t="n"/>
      <c r="G55" s="79" t="n"/>
      <c r="H55" s="44" t="inlineStr">
        <is>
          <t>RTS Art. 16(2)</t>
        </is>
      </c>
      <c r="I55" s="45" t="n"/>
      <c r="J55" s="35" t="n"/>
    </row>
    <row r="56">
      <c r="A56" s="26" t="n"/>
      <c r="B56" s="47" t="inlineStr">
        <is>
          <t>WSKAZÓWKA: Wzajemne uznawanie transgraniczne nie jest automatyczne nawet z atestacją DORA. Każdy organ goszczący ma 20 dni roboczych na decyzję, czy chce obserwować czy uczestniczyć - a 'uczestniczyć' może oznaczać dodatkowe wymagania. Uzgodnij warunki ZANIM rozpoczniesz testowanie.</t>
        </is>
      </c>
      <c r="C56" s="26" t="n"/>
      <c r="D56" s="26" t="n"/>
      <c r="E56" s="26" t="n"/>
      <c r="F56" s="26" t="n"/>
      <c r="G56" s="26" t="n"/>
      <c r="H56" s="26" t="n"/>
      <c r="I56" s="26" t="n"/>
      <c r="J56" s="26" t="n"/>
    </row>
    <row r="57">
      <c r="A57" s="26" t="n"/>
      <c r="B57" s="47" t="inlineStr">
        <is>
          <t>WSKAZÓWKA: Brak zabezpieczenia umów o wzajemnym uznawaniu przed rozpoczęciem oznacza, że możesz skończyć z oddzielnymi testami w każdej jurysdykcji. Załatw to podczas przygotowań, nie po fakcie.</t>
        </is>
      </c>
      <c r="C57" s="26" t="n"/>
      <c r="D57" s="26" t="n"/>
      <c r="E57" s="26" t="n"/>
      <c r="F57" s="26" t="n"/>
      <c r="G57" s="26" t="n"/>
      <c r="H57" s="26" t="n"/>
      <c r="I57" s="26" t="n"/>
      <c r="J57" s="26" t="n"/>
    </row>
  </sheetData>
  <sheetProtection selectLockedCells="0" selectUnlockedCells="0" sheet="1" objects="0" insertRows="1" insertHyperlinks="1" autoFilter="0" scenarios="0" formatColumns="0" deleteColumns="1" insertColumns="1" pivotTables="1" deleteRows="1" formatCells="1" formatRows="0" sort="0" password="CE4B"/>
  <mergeCells count="7">
    <mergeCell ref="A1:J1"/>
    <mergeCell ref="A3:J3"/>
    <mergeCell ref="A39:J39"/>
    <mergeCell ref="A4:J4"/>
    <mergeCell ref="A16:J16"/>
    <mergeCell ref="A28:J28"/>
    <mergeCell ref="A49:J49"/>
  </mergeCells>
  <conditionalFormatting sqref="A5:J55">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55" showDropDown="0" showInputMessage="0" showErrorMessage="0" allowBlank="1" errorTitle="Invalid Status" error="Select: Not Started, In Progress, Complete, N/A" type="list">
      <formula1>"Not Started,In Progress,Complete,N/A"</formula1>
    </dataValidation>
    <dataValidation sqref="J5:J55" showDropDown="0" showInputMessage="0" showErrorMessage="0" allowBlank="1" errorTitle="Invalid Risk" error="Select: High, Medium, Low" type="list">
      <formula1>"High,Medium,Low"</formula1>
    </dataValidation>
    <dataValidation sqref="F5:F55" showDropDown="0" showInputMessage="0" showErrorMessage="1" allowBlank="1" errorTitle="Invalid Date" error="Please enter a valid date" type="date" operator="greaterThan">
      <formula1>2020-01-01</formula1>
    </dataValidation>
    <dataValidation sqref="G5:G55"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0" r:id="rId6"/>
    <hyperlink xmlns:r="http://schemas.openxmlformats.org/officeDocument/2006/relationships" ref="H11" r:id="rId7"/>
    <hyperlink xmlns:r="http://schemas.openxmlformats.org/officeDocument/2006/relationships" ref="H12" r:id="rId8"/>
    <hyperlink xmlns:r="http://schemas.openxmlformats.org/officeDocument/2006/relationships" ref="H13" r:id="rId9"/>
    <hyperlink xmlns:r="http://schemas.openxmlformats.org/officeDocument/2006/relationships" ref="H14" r:id="rId10"/>
    <hyperlink xmlns:r="http://schemas.openxmlformats.org/officeDocument/2006/relationships" ref="H15" r:id="rId11"/>
    <hyperlink xmlns:r="http://schemas.openxmlformats.org/officeDocument/2006/relationships" ref="H17" r:id="rId12"/>
    <hyperlink xmlns:r="http://schemas.openxmlformats.org/officeDocument/2006/relationships" ref="H18" r:id="rId13"/>
    <hyperlink xmlns:r="http://schemas.openxmlformats.org/officeDocument/2006/relationships" ref="H19" r:id="rId14"/>
    <hyperlink xmlns:r="http://schemas.openxmlformats.org/officeDocument/2006/relationships" ref="H20" r:id="rId15"/>
    <hyperlink xmlns:r="http://schemas.openxmlformats.org/officeDocument/2006/relationships" ref="H21" r:id="rId16"/>
    <hyperlink xmlns:r="http://schemas.openxmlformats.org/officeDocument/2006/relationships" ref="H22" r:id="rId17"/>
    <hyperlink xmlns:r="http://schemas.openxmlformats.org/officeDocument/2006/relationships" ref="H23" r:id="rId18"/>
    <hyperlink xmlns:r="http://schemas.openxmlformats.org/officeDocument/2006/relationships" ref="H24" r:id="rId19"/>
    <hyperlink xmlns:r="http://schemas.openxmlformats.org/officeDocument/2006/relationships" ref="H25" r:id="rId20"/>
    <hyperlink xmlns:r="http://schemas.openxmlformats.org/officeDocument/2006/relationships" ref="H26" r:id="rId21"/>
    <hyperlink xmlns:r="http://schemas.openxmlformats.org/officeDocument/2006/relationships" ref="H27" r:id="rId22"/>
    <hyperlink xmlns:r="http://schemas.openxmlformats.org/officeDocument/2006/relationships" ref="H29" r:id="rId23"/>
    <hyperlink xmlns:r="http://schemas.openxmlformats.org/officeDocument/2006/relationships" ref="H30" r:id="rId24"/>
    <hyperlink xmlns:r="http://schemas.openxmlformats.org/officeDocument/2006/relationships" ref="H31" r:id="rId25"/>
    <hyperlink xmlns:r="http://schemas.openxmlformats.org/officeDocument/2006/relationships" ref="H32" r:id="rId26"/>
    <hyperlink xmlns:r="http://schemas.openxmlformats.org/officeDocument/2006/relationships" ref="H33" r:id="rId27"/>
    <hyperlink xmlns:r="http://schemas.openxmlformats.org/officeDocument/2006/relationships" ref="H34" r:id="rId28"/>
    <hyperlink xmlns:r="http://schemas.openxmlformats.org/officeDocument/2006/relationships" ref="H35" r:id="rId29"/>
    <hyperlink xmlns:r="http://schemas.openxmlformats.org/officeDocument/2006/relationships" ref="H36" r:id="rId30"/>
    <hyperlink xmlns:r="http://schemas.openxmlformats.org/officeDocument/2006/relationships" ref="H37" r:id="rId31"/>
    <hyperlink xmlns:r="http://schemas.openxmlformats.org/officeDocument/2006/relationships" ref="H38" r:id="rId32"/>
    <hyperlink xmlns:r="http://schemas.openxmlformats.org/officeDocument/2006/relationships" ref="H40" r:id="rId33"/>
    <hyperlink xmlns:r="http://schemas.openxmlformats.org/officeDocument/2006/relationships" ref="H41" r:id="rId34"/>
    <hyperlink xmlns:r="http://schemas.openxmlformats.org/officeDocument/2006/relationships" ref="H42" r:id="rId35"/>
    <hyperlink xmlns:r="http://schemas.openxmlformats.org/officeDocument/2006/relationships" ref="H44" r:id="rId36"/>
    <hyperlink xmlns:r="http://schemas.openxmlformats.org/officeDocument/2006/relationships" ref="H45" r:id="rId37"/>
    <hyperlink xmlns:r="http://schemas.openxmlformats.org/officeDocument/2006/relationships" ref="H46" r:id="rId38"/>
    <hyperlink xmlns:r="http://schemas.openxmlformats.org/officeDocument/2006/relationships" ref="H47" r:id="rId39"/>
    <hyperlink xmlns:r="http://schemas.openxmlformats.org/officeDocument/2006/relationships" ref="H50" r:id="rId40"/>
    <hyperlink xmlns:r="http://schemas.openxmlformats.org/officeDocument/2006/relationships" ref="H51" r:id="rId41"/>
    <hyperlink xmlns:r="http://schemas.openxmlformats.org/officeDocument/2006/relationships" ref="H52" r:id="rId42"/>
    <hyperlink xmlns:r="http://schemas.openxmlformats.org/officeDocument/2006/relationships" ref="H53" r:id="rId43"/>
    <hyperlink xmlns:r="http://schemas.openxmlformats.org/officeDocument/2006/relationships" ref="H54" r:id="rId44"/>
    <hyperlink xmlns:r="http://schemas.openxmlformats.org/officeDocument/2006/relationships" ref="H55" r:id="rId45"/>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7.xml><?xml version="1.0" encoding="utf-8"?>
<worksheet xmlns="http://schemas.openxmlformats.org/spreadsheetml/2006/main">
  <sheetPr>
    <tabColor rgb="0027AE60"/>
    <outlinePr summaryBelow="1" summaryRight="1"/>
    <pageSetUpPr fitToPage="1"/>
  </sheetPr>
  <dimension ref="A1:J44"/>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Moduł 5: ROZPOZNANIE ZAGROŻEŃ</t>
        </is>
      </c>
    </row>
    <row r="2">
      <c r="A2" s="37" t="inlineStr">
        <is>
          <t>#</t>
        </is>
      </c>
      <c r="B2" s="37" t="inlineStr">
        <is>
          <t>Element checklisty</t>
        </is>
      </c>
      <c r="C2" s="37" t="inlineStr">
        <is>
          <t>Status</t>
        </is>
      </c>
      <c r="D2" s="37" t="inlineStr">
        <is>
          <t>Priorytet</t>
        </is>
      </c>
      <c r="E2" s="37" t="inlineStr">
        <is>
          <t>Właściciel</t>
        </is>
      </c>
      <c r="F2" s="37" t="inlineStr">
        <is>
          <t>Termin</t>
        </is>
      </c>
      <c r="G2" s="37" t="inlineStr">
        <is>
          <t>Data realizacji</t>
        </is>
      </c>
      <c r="H2" s="37" t="inlineStr">
        <is>
          <t>Odniesienie RTS</t>
        </is>
      </c>
      <c r="I2" s="37" t="inlineStr">
        <is>
          <t>Dowody/Uwagi</t>
        </is>
      </c>
      <c r="J2" s="37" t="inlineStr">
        <is>
          <t>Ryzyko pominięcia</t>
        </is>
      </c>
    </row>
    <row r="3">
      <c r="A3" s="38">
        <f>"Postęp: "&amp;COUNTIF(C5:C44,"Complete")&amp;" / 36 ukończono ("&amp;IF(36=0,0,ROUND(COUNTIF(C5:C44,"Complete")/36*100,0))&amp;"%)"</f>
        <v/>
      </c>
      <c r="B3" s="76" t="n"/>
      <c r="C3" s="76" t="n"/>
      <c r="D3" s="76" t="n"/>
      <c r="E3" s="76" t="n"/>
      <c r="F3" s="76" t="n"/>
      <c r="G3" s="76" t="n"/>
      <c r="H3" s="76" t="n"/>
      <c r="I3" s="76" t="n"/>
      <c r="J3" s="77" t="n"/>
    </row>
    <row r="4">
      <c r="A4" s="48" t="inlineStr">
        <is>
          <t>5A: Gromadzenie rozpoznania zagrożeń</t>
        </is>
      </c>
      <c r="B4" s="76" t="n"/>
      <c r="C4" s="76" t="n"/>
      <c r="D4" s="76" t="n"/>
      <c r="E4" s="76" t="n"/>
      <c r="F4" s="76" t="n"/>
      <c r="G4" s="76" t="n"/>
      <c r="H4" s="76" t="n"/>
      <c r="I4" s="76" t="n"/>
      <c r="J4" s="77" t="n"/>
    </row>
    <row r="5">
      <c r="A5" s="39" t="inlineStr">
        <is>
          <t>5.1</t>
        </is>
      </c>
      <c r="B5" s="40" t="inlineStr">
        <is>
          <t>Dostawca TI analizuje dane wywiadowcze ogólne i sektorowe</t>
        </is>
      </c>
      <c r="C5" s="35" t="inlineStr">
        <is>
          <t>Not Started</t>
        </is>
      </c>
      <c r="D5" s="41" t="inlineStr">
        <is>
          <t>CRITICAL</t>
        </is>
      </c>
      <c r="E5" s="42" t="n"/>
      <c r="F5" s="79" t="n"/>
      <c r="G5" s="79" t="n"/>
      <c r="H5" s="44" t="inlineStr">
        <is>
          <t>RTS Art. 10(1)</t>
        </is>
      </c>
      <c r="I5" s="45" t="n"/>
      <c r="J5" s="35" t="n"/>
    </row>
    <row r="6">
      <c r="A6" s="39" t="inlineStr">
        <is>
          <t>5.2</t>
        </is>
      </c>
      <c r="B6" s="40" t="inlineStr">
        <is>
          <t>Dostawca TI identyfikuje istotne cyberzagrożenia i podatności</t>
        </is>
      </c>
      <c r="C6" s="35" t="inlineStr">
        <is>
          <t>Not Started</t>
        </is>
      </c>
      <c r="D6" s="41" t="inlineStr">
        <is>
          <t>CRITICAL</t>
        </is>
      </c>
      <c r="E6" s="42" t="n"/>
      <c r="F6" s="79" t="n"/>
      <c r="G6" s="79" t="n"/>
      <c r="H6" s="44" t="inlineStr">
        <is>
          <t>RTS Art. 10(1)</t>
        </is>
      </c>
      <c r="I6" s="45" t="n"/>
      <c r="J6" s="35" t="n"/>
    </row>
    <row r="7">
      <c r="A7" s="39" t="inlineStr">
        <is>
          <t>5.3</t>
        </is>
      </c>
      <c r="B7" s="40" t="inlineStr">
        <is>
          <t>Dostawca TI gromadzi skontekstualizowane rozpoznanie celu:</t>
        </is>
      </c>
      <c r="C7" s="35" t="inlineStr">
        <is>
          <t>Not Started</t>
        </is>
      </c>
      <c r="D7" s="41" t="inlineStr">
        <is>
          <t>CRITICAL</t>
        </is>
      </c>
      <c r="E7" s="42" t="n"/>
      <c r="F7" s="79" t="n"/>
      <c r="G7" s="79" t="n"/>
      <c r="H7" s="44" t="inlineStr">
        <is>
          <t>RTS Art. 10(1); RTS Annex III</t>
        </is>
      </c>
      <c r="I7" s="45" t="n"/>
      <c r="J7" s="35" t="n"/>
    </row>
    <row r="8">
      <c r="A8" s="39" t="inlineStr">
        <is>
          <t>5.4</t>
        </is>
      </c>
      <c r="B8" s="40" t="inlineStr">
        <is>
          <t>Dane logowania pracowników z wycieków</t>
        </is>
      </c>
      <c r="C8" s="35" t="inlineStr">
        <is>
          <t>Not Started</t>
        </is>
      </c>
      <c r="D8" s="46" t="inlineStr">
        <is>
          <t>HIGH</t>
        </is>
      </c>
      <c r="E8" s="42" t="n"/>
      <c r="F8" s="79" t="n"/>
      <c r="G8" s="79" t="n"/>
      <c r="H8" s="44" t="inlineStr">
        <is>
          <t>RTS Annex III</t>
        </is>
      </c>
      <c r="I8" s="45" t="n"/>
      <c r="J8" s="35" t="n"/>
    </row>
    <row r="9">
      <c r="A9" s="39" t="inlineStr">
        <is>
          <t>5.5</t>
        </is>
      </c>
      <c r="B9" s="40" t="inlineStr">
        <is>
          <t>Domeny typu lookalike</t>
        </is>
      </c>
      <c r="C9" s="35" t="inlineStr">
        <is>
          <t>Not Started</t>
        </is>
      </c>
      <c r="D9" s="46" t="inlineStr">
        <is>
          <t>HIGH</t>
        </is>
      </c>
      <c r="E9" s="42" t="n"/>
      <c r="F9" s="79" t="n"/>
      <c r="G9" s="79" t="n"/>
      <c r="H9" s="44" t="inlineStr">
        <is>
          <t>RTS Annex III</t>
        </is>
      </c>
      <c r="I9" s="45" t="n"/>
      <c r="J9" s="35" t="n"/>
    </row>
    <row r="10">
      <c r="A10" s="39" t="inlineStr">
        <is>
          <t>5.6</t>
        </is>
      </c>
      <c r="B10" s="40" t="inlineStr">
        <is>
          <t>Podatne eksponowane oprogramowanie/systemy</t>
        </is>
      </c>
      <c r="C10" s="35" t="inlineStr">
        <is>
          <t>Not Started</t>
        </is>
      </c>
      <c r="D10" s="46" t="inlineStr">
        <is>
          <t>HIGH</t>
        </is>
      </c>
      <c r="E10" s="42" t="n"/>
      <c r="F10" s="79" t="n"/>
      <c r="G10" s="79" t="n"/>
      <c r="H10" s="44" t="inlineStr">
        <is>
          <t>RTS Annex III</t>
        </is>
      </c>
      <c r="I10" s="45" t="n"/>
      <c r="J10" s="35" t="n"/>
    </row>
    <row r="11">
      <c r="A11" s="39" t="inlineStr">
        <is>
          <t>5.7</t>
        </is>
      </c>
      <c r="B11" s="40" t="inlineStr">
        <is>
          <t>Informacje o pracownikach możliwe do wykorzystania w inżynierii społecznej</t>
        </is>
      </c>
      <c r="C11" s="35" t="inlineStr">
        <is>
          <t>Not Started</t>
        </is>
      </c>
      <c r="D11" s="46" t="inlineStr">
        <is>
          <t>HIGH</t>
        </is>
      </c>
      <c r="E11" s="42" t="n"/>
      <c r="F11" s="79" t="n"/>
      <c r="G11" s="79" t="n"/>
      <c r="H11" s="44" t="inlineStr">
        <is>
          <t>RTS Annex III</t>
        </is>
      </c>
      <c r="I11" s="45" t="n"/>
      <c r="J11" s="35" t="n"/>
    </row>
    <row r="12">
      <c r="A12" s="39" t="inlineStr">
        <is>
          <t>5.8</t>
        </is>
      </c>
      <c r="B12" s="40" t="inlineStr">
        <is>
          <t>Sprzedaż danych w dark webie</t>
        </is>
      </c>
      <c r="C12" s="35" t="inlineStr">
        <is>
          <t>Not Started</t>
        </is>
      </c>
      <c r="D12" s="51" t="inlineStr">
        <is>
          <t>MEDIUM</t>
        </is>
      </c>
      <c r="E12" s="42" t="n"/>
      <c r="F12" s="79" t="n"/>
      <c r="G12" s="79" t="n"/>
      <c r="H12" s="44" t="inlineStr">
        <is>
          <t>RTS Annex III</t>
        </is>
      </c>
      <c r="I12" s="45" t="n"/>
      <c r="J12" s="35" t="n"/>
    </row>
    <row r="13">
      <c r="A13" s="39" t="inlineStr">
        <is>
          <t>5.9</t>
        </is>
      </c>
      <c r="B13" s="40" t="inlineStr">
        <is>
          <t>Informacje z internetu/sieci publicznych</t>
        </is>
      </c>
      <c r="C13" s="35" t="inlineStr">
        <is>
          <t>Not Started</t>
        </is>
      </c>
      <c r="D13" s="46" t="inlineStr">
        <is>
          <t>HIGH</t>
        </is>
      </c>
      <c r="E13" s="42" t="n"/>
      <c r="F13" s="79" t="n"/>
      <c r="G13" s="79" t="n"/>
      <c r="H13" s="44" t="inlineStr">
        <is>
          <t>RTS Annex III</t>
        </is>
      </c>
      <c r="I13" s="45" t="n"/>
      <c r="J13" s="35" t="n"/>
    </row>
    <row r="14">
      <c r="A14" s="39" t="inlineStr">
        <is>
          <t>5.10</t>
        </is>
      </c>
      <c r="B14" s="40" t="inlineStr">
        <is>
          <t>Informacje do targetowania fizycznego</t>
        </is>
      </c>
      <c r="C14" s="35" t="inlineStr">
        <is>
          <t>Not Started</t>
        </is>
      </c>
      <c r="D14" s="51" t="inlineStr">
        <is>
          <t>MEDIUM</t>
        </is>
      </c>
      <c r="E14" s="42" t="n"/>
      <c r="F14" s="79" t="n"/>
      <c r="G14" s="79" t="n"/>
      <c r="H14" s="44" t="inlineStr">
        <is>
          <t>RTS Annex III</t>
        </is>
      </c>
      <c r="I14" s="45" t="n"/>
      <c r="J14" s="35" t="n"/>
    </row>
    <row r="15">
      <c r="A15" s="39" t="inlineStr">
        <is>
          <t>5.11</t>
        </is>
      </c>
      <c r="B15" s="40" t="inlineStr">
        <is>
          <t>Dostawca TI identyfikuje profile aktorów zagrożeń najprawdopodobniej atakujących podmiot</t>
        </is>
      </c>
      <c r="C15" s="35" t="inlineStr">
        <is>
          <t>Not Started</t>
        </is>
      </c>
      <c r="D15" s="41" t="inlineStr">
        <is>
          <t>CRITICAL</t>
        </is>
      </c>
      <c r="E15" s="42" t="n"/>
      <c r="F15" s="79" t="n"/>
      <c r="G15" s="79" t="n"/>
      <c r="H15" s="44" t="inlineStr">
        <is>
          <t>RTS Art. 10(2); RTS Annex III</t>
        </is>
      </c>
      <c r="I15" s="45" t="n"/>
      <c r="J15" s="35" t="n"/>
    </row>
    <row r="16">
      <c r="A16" s="26" t="n"/>
      <c r="B16" s="47" t="inlineStr">
        <is>
          <t>WSKAZÓWKA: Ogólnikowe rozpoznanie zagrożeń produkuje ogólnikowe testy. Jeśli Twój TTIR czyta się, jakby mógł dotyczyć dowolnego banku w Europie - 'APT28 atakuje sektor finansowy przez phishing' - to wyprodukuje scenariusze testujące ogólne zdolności obronne, a nie odpowiedź na zagrożenia specyficzne dla Twojego podmiotu.</t>
        </is>
      </c>
      <c r="C16" s="26" t="n"/>
      <c r="D16" s="26" t="n"/>
      <c r="E16" s="26" t="n"/>
      <c r="F16" s="26" t="n"/>
      <c r="G16" s="26" t="n"/>
      <c r="H16" s="26" t="n"/>
      <c r="I16" s="26" t="n"/>
      <c r="J16" s="26" t="n"/>
    </row>
    <row r="17">
      <c r="A17" s="48" t="inlineStr">
        <is>
          <t>5B: Opracowanie scenariuszy</t>
        </is>
      </c>
      <c r="B17" s="76" t="n"/>
      <c r="C17" s="76" t="n"/>
      <c r="D17" s="76" t="n"/>
      <c r="E17" s="76" t="n"/>
      <c r="F17" s="76" t="n"/>
      <c r="G17" s="76" t="n"/>
      <c r="H17" s="76" t="n"/>
      <c r="I17" s="76" t="n"/>
      <c r="J17" s="77" t="n"/>
    </row>
    <row r="18">
      <c r="A18" s="39" t="inlineStr">
        <is>
          <t>5.12</t>
        </is>
      </c>
      <c r="B18" s="40" t="inlineStr">
        <is>
          <t>Dostawca TI opracowuje szeroki zestaw kandydackich scenariuszy</t>
        </is>
      </c>
      <c r="C18" s="35" t="inlineStr">
        <is>
          <t>Not Started</t>
        </is>
      </c>
      <c r="D18" s="41" t="inlineStr">
        <is>
          <t>CRITICAL</t>
        </is>
      </c>
      <c r="E18" s="42" t="n"/>
      <c r="F18" s="79" t="n"/>
      <c r="G18" s="79" t="n"/>
      <c r="H18" s="44" t="inlineStr">
        <is>
          <t>RTS Art. 10(2)</t>
        </is>
      </c>
      <c r="I18" s="45" t="n"/>
      <c r="J18" s="35" t="n"/>
    </row>
    <row r="19">
      <c r="A19" s="39" t="inlineStr">
        <is>
          <t>5.13</t>
        </is>
      </c>
      <c r="B19" s="40" t="inlineStr">
        <is>
          <t>Przeprowadzono spotkanie wyboru scenariuszy (CTL + TI provider + test managers)</t>
        </is>
      </c>
      <c r="C19" s="35" t="inlineStr">
        <is>
          <t>Not Started</t>
        </is>
      </c>
      <c r="D19" s="41" t="inlineStr">
        <is>
          <t>CRITICAL</t>
        </is>
      </c>
      <c r="E19" s="42" t="n"/>
      <c r="F19" s="79" t="n"/>
      <c r="G19" s="79" t="n"/>
      <c r="H19" s="44" t="inlineStr">
        <is>
          <t>RTS Art. 10(3)</t>
        </is>
      </c>
      <c r="I19" s="45" t="n"/>
      <c r="J19" s="35" t="n"/>
    </row>
    <row r="20">
      <c r="A20" s="39" t="inlineStr">
        <is>
          <t>5.14</t>
        </is>
      </c>
      <c r="B20" s="40" t="inlineStr">
        <is>
          <t>CTL wybiera minimum 3 scenariusze na podstawie:</t>
        </is>
      </c>
      <c r="C20" s="35" t="inlineStr">
        <is>
          <t>Not Started</t>
        </is>
      </c>
      <c r="D20" s="41" t="inlineStr">
        <is>
          <t>CRITICAL</t>
        </is>
      </c>
      <c r="E20" s="42" t="n"/>
      <c r="F20" s="79" t="n"/>
      <c r="G20" s="79" t="n"/>
      <c r="H20" s="44" t="inlineStr">
        <is>
          <t>RTS Art. 10(3)</t>
        </is>
      </c>
      <c r="I20" s="45" t="n"/>
      <c r="J20" s="35" t="n"/>
    </row>
    <row r="21">
      <c r="A21" s="39" t="inlineStr">
        <is>
          <t>5.15</t>
        </is>
      </c>
      <c r="B21" s="40" t="inlineStr">
        <is>
          <t>Rekomendacji dostawcy TI i charakteru opartego na zagrożeniach</t>
        </is>
      </c>
      <c r="C21" s="35" t="inlineStr">
        <is>
          <t>Not Started</t>
        </is>
      </c>
      <c r="D21" s="41" t="inlineStr">
        <is>
          <t>CRITICAL</t>
        </is>
      </c>
      <c r="E21" s="42" t="n"/>
      <c r="F21" s="79" t="n"/>
      <c r="G21" s="79" t="n"/>
      <c r="H21" s="44" t="inlineStr">
        <is>
          <t>RTS Art. 10(3)</t>
        </is>
      </c>
      <c r="I21" s="45" t="n"/>
      <c r="J21" s="35" t="n"/>
    </row>
    <row r="22">
      <c r="A22" s="39" t="inlineStr">
        <is>
          <t>5.16</t>
        </is>
      </c>
      <c r="B22" s="40" t="inlineStr">
        <is>
          <t>Wkładu managera testów</t>
        </is>
      </c>
      <c r="C22" s="35" t="inlineStr">
        <is>
          <t>Not Started</t>
        </is>
      </c>
      <c r="D22" s="46" t="inlineStr">
        <is>
          <t>HIGH</t>
        </is>
      </c>
      <c r="E22" s="42" t="n"/>
      <c r="F22" s="79" t="n"/>
      <c r="G22" s="79" t="n"/>
      <c r="H22" s="44" t="inlineStr">
        <is>
          <t>RTS Art. 10(3)</t>
        </is>
      </c>
      <c r="I22" s="45" t="n"/>
      <c r="J22" s="35" t="n"/>
    </row>
    <row r="23">
      <c r="A23" s="39" t="inlineStr">
        <is>
          <t>5.17</t>
        </is>
      </c>
      <c r="B23" s="40" t="inlineStr">
        <is>
          <t>Wykonalności scenariusza (ocena testerów)</t>
        </is>
      </c>
      <c r="C23" s="35" t="inlineStr">
        <is>
          <t>Not Started</t>
        </is>
      </c>
      <c r="D23" s="46" t="inlineStr">
        <is>
          <t>HIGH</t>
        </is>
      </c>
      <c r="E23" s="42" t="n"/>
      <c r="F23" s="79" t="n"/>
      <c r="G23" s="79" t="n"/>
      <c r="H23" s="44" t="inlineStr">
        <is>
          <t>RTS Art. 10(3)</t>
        </is>
      </c>
      <c r="I23" s="45" t="n"/>
      <c r="J23" s="35" t="n"/>
    </row>
    <row r="24">
      <c r="A24" s="39" t="inlineStr">
        <is>
          <t>5.18</t>
        </is>
      </c>
      <c r="B24" s="40" t="inlineStr">
        <is>
          <t>Wielkości, złożoności i profilu ryzyka podmiotu</t>
        </is>
      </c>
      <c r="C24" s="35" t="inlineStr">
        <is>
          <t>Not Started</t>
        </is>
      </c>
      <c r="D24" s="46" t="inlineStr">
        <is>
          <t>HIGH</t>
        </is>
      </c>
      <c r="E24" s="42" t="n"/>
      <c r="F24" s="79" t="n"/>
      <c r="G24" s="79" t="n"/>
      <c r="H24" s="44" t="inlineStr">
        <is>
          <t>RTS Art. 10(3)</t>
        </is>
      </c>
      <c r="I24" s="45" t="n"/>
      <c r="J24" s="35" t="n"/>
    </row>
    <row r="25">
      <c r="A25" s="39" t="inlineStr">
        <is>
          <t>5.19</t>
        </is>
      </c>
      <c r="B25" s="40" t="inlineStr">
        <is>
          <t>Wybrane scenariusze obejmują różnych aktorów zagrożeń i TTP</t>
        </is>
      </c>
      <c r="C25" s="35" t="inlineStr">
        <is>
          <t>Not Started</t>
        </is>
      </c>
      <c r="D25" s="41" t="inlineStr">
        <is>
          <t>CRITICAL</t>
        </is>
      </c>
      <c r="E25" s="42" t="n"/>
      <c r="F25" s="79" t="n"/>
      <c r="G25" s="79" t="n"/>
      <c r="H25" s="44" t="inlineStr">
        <is>
          <t>RTS Art. 10(2)</t>
        </is>
      </c>
      <c r="I25" s="45" t="n"/>
      <c r="J25" s="35" t="n"/>
    </row>
    <row r="26">
      <c r="A26" s="39" t="inlineStr">
        <is>
          <t>5.20</t>
        </is>
      </c>
      <c r="B26" s="40" t="inlineStr">
        <is>
          <t>Każdy scenariusz celuje w inne funkcje krytyczne</t>
        </is>
      </c>
      <c r="C26" s="35" t="inlineStr">
        <is>
          <t>Not Started</t>
        </is>
      </c>
      <c r="D26" s="41" t="inlineStr">
        <is>
          <t>CRITICAL</t>
        </is>
      </c>
      <c r="E26" s="42" t="n"/>
      <c r="F26" s="79" t="n"/>
      <c r="G26" s="79" t="n"/>
      <c r="H26" s="44" t="inlineStr">
        <is>
          <t>RTS Art. 10(2)</t>
        </is>
      </c>
      <c r="I26" s="45" t="n"/>
      <c r="J26" s="35" t="n"/>
    </row>
    <row r="27">
      <c r="A27" s="39" t="inlineStr">
        <is>
          <t>5.21</t>
        </is>
      </c>
      <c r="B27" s="40" t="inlineStr">
        <is>
          <t>Obowiązkowe pokrycie:</t>
        </is>
      </c>
      <c r="C27" s="35" t="inlineStr">
        <is>
          <t>Not Started</t>
        </is>
      </c>
      <c r="D27" s="41" t="inlineStr">
        <is>
          <t>CRITICAL</t>
        </is>
      </c>
      <c r="E27" s="42" t="n"/>
      <c r="F27" s="79" t="n"/>
      <c r="G27" s="79" t="n"/>
      <c r="H27" s="44" t="inlineStr">
        <is>
          <t>RTS Art. 10(4); RTS Annex III</t>
        </is>
      </c>
      <c r="I27" s="45" t="n"/>
      <c r="J27" s="35" t="n"/>
    </row>
    <row r="28">
      <c r="A28" s="39" t="inlineStr">
        <is>
          <t>5.22</t>
        </is>
      </c>
      <c r="B28" s="40" t="inlineStr">
        <is>
          <t>Co najmniej jeden scenariusz celujący w dostępność usług</t>
        </is>
      </c>
      <c r="C28" s="35" t="inlineStr">
        <is>
          <t>Not Started</t>
        </is>
      </c>
      <c r="D28" s="41" t="inlineStr">
        <is>
          <t>CRITICAL</t>
        </is>
      </c>
      <c r="E28" s="42" t="n"/>
      <c r="F28" s="79" t="n"/>
      <c r="G28" s="79" t="n"/>
      <c r="H28" s="44" t="inlineStr">
        <is>
          <t>RTS Annex III</t>
        </is>
      </c>
      <c r="I28" s="45" t="n"/>
      <c r="J28" s="35" t="n"/>
    </row>
    <row r="29">
      <c r="A29" s="39" t="inlineStr">
        <is>
          <t>5.23</t>
        </is>
      </c>
      <c r="B29" s="40" t="inlineStr">
        <is>
          <t>Co najmniej jeden celujący w integralność danych</t>
        </is>
      </c>
      <c r="C29" s="35" t="inlineStr">
        <is>
          <t>Not Started</t>
        </is>
      </c>
      <c r="D29" s="41" t="inlineStr">
        <is>
          <t>CRITICAL</t>
        </is>
      </c>
      <c r="E29" s="42" t="n"/>
      <c r="F29" s="79" t="n"/>
      <c r="G29" s="79" t="n"/>
      <c r="H29" s="44" t="inlineStr">
        <is>
          <t>RTS Annex III</t>
        </is>
      </c>
      <c r="I29" s="45" t="n"/>
      <c r="J29" s="35" t="n"/>
    </row>
    <row r="30">
      <c r="A30" s="39" t="inlineStr">
        <is>
          <t>5.24</t>
        </is>
      </c>
      <c r="B30" s="40" t="inlineStr">
        <is>
          <t>Co najmniej jeden celujący w poufność informacji</t>
        </is>
      </c>
      <c r="C30" s="35" t="inlineStr">
        <is>
          <t>Not Started</t>
        </is>
      </c>
      <c r="D30" s="41" t="inlineStr">
        <is>
          <t>CRITICAL</t>
        </is>
      </c>
      <c r="E30" s="42" t="n"/>
      <c r="F30" s="79" t="n"/>
      <c r="G30" s="79" t="n"/>
      <c r="H30" s="44" t="inlineStr">
        <is>
          <t>RTS Annex III</t>
        </is>
      </c>
      <c r="I30" s="45" t="n"/>
      <c r="J30" s="35" t="n"/>
    </row>
    <row r="31">
      <c r="A31" s="39" t="inlineStr">
        <is>
          <t>5.25</t>
        </is>
      </c>
      <c r="B31" s="40" t="inlineStr">
        <is>
          <t>Maksymalnie 1 scenariusz może nie być oparty na zagrożeniach ("scenariusz-X")</t>
        </is>
      </c>
      <c r="C31" s="35" t="inlineStr">
        <is>
          <t>Not Started</t>
        </is>
      </c>
      <c r="D31" s="46" t="inlineStr">
        <is>
          <t>HIGH</t>
        </is>
      </c>
      <c r="E31" s="42" t="n"/>
      <c r="F31" s="79" t="n"/>
      <c r="G31" s="79" t="n"/>
      <c r="H31" s="44" t="inlineStr">
        <is>
          <t>RTS Art. 10(4)</t>
        </is>
      </c>
      <c r="I31" s="45" t="n"/>
      <c r="J31" s="35" t="n"/>
    </row>
    <row r="32">
      <c r="A32" s="26" t="n"/>
      <c r="B32" s="47" t="inlineStr">
        <is>
          <t>WSKAZÓWKA: Wybór scenariuszy to moment, gdy ujawniają się błędy w zakresie. Instytucje zatwierdzały trzy scenariusze celujące w tę samą funkcję krytyczną z różnych kątów - i dopiero po teście odkrywały, że dwie inne funkcje krytyczne w ogóle nie zostały przetestowane.</t>
        </is>
      </c>
      <c r="C32" s="26" t="n"/>
      <c r="D32" s="26" t="n"/>
      <c r="E32" s="26" t="n"/>
      <c r="F32" s="26" t="n"/>
      <c r="G32" s="26" t="n"/>
      <c r="H32" s="26" t="n"/>
      <c r="I32" s="26" t="n"/>
      <c r="J32" s="26" t="n"/>
    </row>
    <row r="33">
      <c r="A33" s="39" t="inlineStr">
        <is>
          <t>5.26</t>
        </is>
      </c>
      <c r="B33" s="40" t="inlineStr">
        <is>
          <t>Dla łączonych TLPT: co najmniej 1 scenariusz celuje w systemy dostawcy trzeciego</t>
        </is>
      </c>
      <c r="C33" s="35" t="inlineStr">
        <is>
          <t>Not Started</t>
        </is>
      </c>
      <c r="D33" s="41" t="inlineStr">
        <is>
          <t>CRITICAL</t>
        </is>
      </c>
      <c r="E33" s="42" t="n"/>
      <c r="F33" s="79" t="n"/>
      <c r="G33" s="79" t="n"/>
      <c r="H33" s="44" t="inlineStr">
        <is>
          <t>RTS Art. 10(4)</t>
        </is>
      </c>
      <c r="I33" s="45" t="n"/>
      <c r="J33" s="35" t="n"/>
    </row>
    <row r="34">
      <c r="A34" s="39" t="inlineStr">
        <is>
          <t>5.27</t>
        </is>
      </c>
      <c r="B34" s="40" t="inlineStr">
        <is>
          <t>Dla wspólnych TLPT z dostawcami wewnątrzgrupowymi: at least 1 scenario targets intra-group systems</t>
        </is>
      </c>
      <c r="C34" s="35" t="inlineStr">
        <is>
          <t>Not Started</t>
        </is>
      </c>
      <c r="D34" s="41" t="inlineStr">
        <is>
          <t>CRITICAL</t>
        </is>
      </c>
      <c r="E34" s="42" t="n"/>
      <c r="F34" s="79" t="n"/>
      <c r="G34" s="79" t="n"/>
      <c r="H34" s="44" t="inlineStr">
        <is>
          <t>RTS Art. 10(4)</t>
        </is>
      </c>
      <c r="I34" s="45" t="n"/>
      <c r="J34" s="35" t="n"/>
    </row>
    <row r="35">
      <c r="A35" s="48" t="inlineStr">
        <is>
          <t>5C: Ukierunkowany raport rozpoznania zagrożeń (TTIR)</t>
        </is>
      </c>
      <c r="B35" s="76" t="n"/>
      <c r="C35" s="76" t="n"/>
      <c r="D35" s="76" t="n"/>
      <c r="E35" s="76" t="n"/>
      <c r="F35" s="76" t="n"/>
      <c r="G35" s="76" t="n"/>
      <c r="H35" s="76" t="n"/>
      <c r="I35" s="76" t="n"/>
      <c r="J35" s="77" t="n"/>
    </row>
    <row r="36">
      <c r="A36" s="39" t="inlineStr">
        <is>
          <t>5.28</t>
        </is>
      </c>
      <c r="B36" s="40" t="inlineStr">
        <is>
          <t>Dostawca TI dostarcza TTIR (wg Załącznika III) zawierający:</t>
        </is>
      </c>
      <c r="C36" s="35" t="inlineStr">
        <is>
          <t>Not Started</t>
        </is>
      </c>
      <c r="D36" s="41" t="inlineStr">
        <is>
          <t>CRITICAL</t>
        </is>
      </c>
      <c r="E36" s="42" t="n"/>
      <c r="F36" s="79" t="n"/>
      <c r="G36" s="79" t="n"/>
      <c r="H36" s="44" t="inlineStr">
        <is>
          <t>RTS Art. 10(5); RTS Annex III</t>
        </is>
      </c>
      <c r="I36" s="45" t="n"/>
      <c r="J36" s="35" t="n"/>
    </row>
    <row r="37">
      <c r="A37" s="39" t="inlineStr">
        <is>
          <t>5.29</t>
        </is>
      </c>
      <c r="B37" s="40" t="inlineStr">
        <is>
          <t>Definicję zakresu badań</t>
        </is>
      </c>
      <c r="C37" s="35" t="inlineStr">
        <is>
          <t>Not Started</t>
        </is>
      </c>
      <c r="D37" s="41" t="inlineStr">
        <is>
          <t>CRITICAL</t>
        </is>
      </c>
      <c r="E37" s="42" t="n"/>
      <c r="F37" s="79" t="n"/>
      <c r="G37" s="79" t="n"/>
      <c r="H37" s="44" t="inlineStr">
        <is>
          <t>RTS Annex III</t>
        </is>
      </c>
      <c r="I37" s="45" t="n"/>
      <c r="J37" s="35" t="n"/>
    </row>
    <row r="38">
      <c r="A38" s="39" t="inlineStr">
        <is>
          <t>5.30</t>
        </is>
      </c>
      <c r="B38" s="40" t="inlineStr">
        <is>
          <t>Konkretną wykonalną ocenę wywiadowczą</t>
        </is>
      </c>
      <c r="C38" s="35" t="inlineStr">
        <is>
          <t>Not Started</t>
        </is>
      </c>
      <c r="D38" s="41" t="inlineStr">
        <is>
          <t>CRITICAL</t>
        </is>
      </c>
      <c r="E38" s="42" t="n"/>
      <c r="F38" s="79" t="n"/>
      <c r="G38" s="79" t="n"/>
      <c r="H38" s="44" t="inlineStr">
        <is>
          <t>RTS Annex III</t>
        </is>
      </c>
      <c r="I38" s="45" t="n"/>
      <c r="J38" s="35" t="n"/>
    </row>
    <row r="39">
      <c r="A39" s="39" t="inlineStr">
        <is>
          <t>5.31</t>
        </is>
      </c>
      <c r="B39" s="40" t="inlineStr">
        <is>
          <t>Analizę krajobrazu zagrożeń</t>
        </is>
      </c>
      <c r="C39" s="35" t="inlineStr">
        <is>
          <t>Not Started</t>
        </is>
      </c>
      <c r="D39" s="41" t="inlineStr">
        <is>
          <t>CRITICAL</t>
        </is>
      </c>
      <c r="E39" s="42" t="n"/>
      <c r="F39" s="79" t="n"/>
      <c r="G39" s="79" t="n"/>
      <c r="H39" s="44" t="inlineStr">
        <is>
          <t>RTS Annex III</t>
        </is>
      </c>
      <c r="I39" s="45" t="n"/>
      <c r="J39" s="35" t="n"/>
    </row>
    <row r="40">
      <c r="A40" s="39" t="inlineStr">
        <is>
          <t>5.32</t>
        </is>
      </c>
      <c r="B40" s="40" t="inlineStr">
        <is>
          <t>Profile aktorów zagrożeń</t>
        </is>
      </c>
      <c r="C40" s="35" t="inlineStr">
        <is>
          <t>Not Started</t>
        </is>
      </c>
      <c r="D40" s="41" t="inlineStr">
        <is>
          <t>CRITICAL</t>
        </is>
      </c>
      <c r="E40" s="42" t="n"/>
      <c r="F40" s="79" t="n"/>
      <c r="G40" s="79" t="n"/>
      <c r="H40" s="44" t="inlineStr">
        <is>
          <t>RTS Annex III</t>
        </is>
      </c>
      <c r="I40" s="45" t="n"/>
      <c r="J40" s="35" t="n"/>
    </row>
    <row r="41">
      <c r="A41" s="39" t="inlineStr">
        <is>
          <t>5.33</t>
        </is>
      </c>
      <c r="B41" s="40" t="inlineStr">
        <is>
          <t>Minimum 3 kompleksowe scenariusze zagrożeń</t>
        </is>
      </c>
      <c r="C41" s="35" t="inlineStr">
        <is>
          <t>Not Started</t>
        </is>
      </c>
      <c r="D41" s="41" t="inlineStr">
        <is>
          <t>CRITICAL</t>
        </is>
      </c>
      <c r="E41" s="42" t="n"/>
      <c r="F41" s="79" t="n"/>
      <c r="G41" s="79" t="n"/>
      <c r="H41" s="44" t="inlineStr">
        <is>
          <t>RTS Annex III</t>
        </is>
      </c>
      <c r="I41" s="45" t="n"/>
      <c r="J41" s="35" t="n"/>
    </row>
    <row r="42">
      <c r="A42" s="39" t="inlineStr">
        <is>
          <t>5.34</t>
        </is>
      </c>
      <c r="B42" s="40" t="inlineStr">
        <is>
          <t>Zespół kontrolny przegląda i przekazuje TTIR managerom testów</t>
        </is>
      </c>
      <c r="C42" s="35" t="inlineStr">
        <is>
          <t>Not Started</t>
        </is>
      </c>
      <c r="D42" s="41" t="inlineStr">
        <is>
          <t>CRITICAL</t>
        </is>
      </c>
      <c r="E42" s="42" t="n"/>
      <c r="F42" s="79" t="n"/>
      <c r="G42" s="79" t="n"/>
      <c r="H42" s="44" t="inlineStr">
        <is>
          <t>RTS Art. 10(6)</t>
        </is>
      </c>
      <c r="I42" s="45" t="n"/>
      <c r="J42" s="35" t="n"/>
    </row>
    <row r="43">
      <c r="A43" s="39" t="inlineStr">
        <is>
          <t>5.35</t>
        </is>
      </c>
      <c r="B43" s="40" t="inlineStr">
        <is>
          <t>Organ TLPT zatwierdza TTIR</t>
        </is>
      </c>
      <c r="C43" s="35" t="inlineStr">
        <is>
          <t>Not Started</t>
        </is>
      </c>
      <c r="D43" s="41" t="inlineStr">
        <is>
          <t>CRITICAL</t>
        </is>
      </c>
      <c r="E43" s="42" t="n"/>
      <c r="F43" s="79" t="n"/>
      <c r="G43" s="79" t="n"/>
      <c r="H43" s="44" t="inlineStr">
        <is>
          <t>RTS Art. 10(6)</t>
        </is>
      </c>
      <c r="I43" s="45" t="n"/>
      <c r="J43" s="35" t="n"/>
    </row>
    <row r="44">
      <c r="A44" s="39" t="inlineStr">
        <is>
          <t>5.36</t>
        </is>
      </c>
      <c r="B44" s="40" t="inlineStr">
        <is>
          <t>Zatwierdzony TTIR udostępniony red team</t>
        </is>
      </c>
      <c r="C44" s="35" t="inlineStr">
        <is>
          <t>Not Started</t>
        </is>
      </c>
      <c r="D44" s="41" t="inlineStr">
        <is>
          <t>CRITICAL</t>
        </is>
      </c>
      <c r="E44" s="42" t="n"/>
      <c r="F44" s="79" t="n"/>
      <c r="G44" s="79" t="n"/>
      <c r="H44" s="44" t="inlineStr">
        <is>
          <t>RTS Art. 9(8)</t>
        </is>
      </c>
      <c r="I44" s="45" t="n"/>
      <c r="J44" s="35" t="n"/>
    </row>
  </sheetData>
  <sheetProtection selectLockedCells="0" selectUnlockedCells="0" sheet="1" objects="0" insertRows="1" insertHyperlinks="1" autoFilter="0" scenarios="0" formatColumns="0" deleteColumns="1" insertColumns="1" pivotTables="1" deleteRows="1" formatCells="1" formatRows="0" sort="0" password="CE4B"/>
  <mergeCells count="5">
    <mergeCell ref="A1:J1"/>
    <mergeCell ref="A17:J17"/>
    <mergeCell ref="A3:J3"/>
    <mergeCell ref="A35:J35"/>
    <mergeCell ref="A4:J4"/>
  </mergeCells>
  <conditionalFormatting sqref="A5:J44">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44" showDropDown="0" showInputMessage="0" showErrorMessage="0" allowBlank="1" errorTitle="Invalid Status" error="Select: Not Started, In Progress, Complete, N/A" type="list">
      <formula1>"Not Started,In Progress,Complete,N/A"</formula1>
    </dataValidation>
    <dataValidation sqref="J5:J44" showDropDown="0" showInputMessage="0" showErrorMessage="0" allowBlank="1" errorTitle="Invalid Risk" error="Select: High, Medium, Low" type="list">
      <formula1>"High,Medium,Low"</formula1>
    </dataValidation>
    <dataValidation sqref="F5:F44" showDropDown="0" showInputMessage="0" showErrorMessage="1" allowBlank="1" errorTitle="Invalid Date" error="Please enter a valid date" type="date" operator="greaterThan">
      <formula1>2020-01-01</formula1>
    </dataValidation>
    <dataValidation sqref="G5:G44"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0" r:id="rId6"/>
    <hyperlink xmlns:r="http://schemas.openxmlformats.org/officeDocument/2006/relationships" ref="H11" r:id="rId7"/>
    <hyperlink xmlns:r="http://schemas.openxmlformats.org/officeDocument/2006/relationships" ref="H12" r:id="rId8"/>
    <hyperlink xmlns:r="http://schemas.openxmlformats.org/officeDocument/2006/relationships" ref="H13" r:id="rId9"/>
    <hyperlink xmlns:r="http://schemas.openxmlformats.org/officeDocument/2006/relationships" ref="H14" r:id="rId10"/>
    <hyperlink xmlns:r="http://schemas.openxmlformats.org/officeDocument/2006/relationships" ref="H15" r:id="rId11"/>
    <hyperlink xmlns:r="http://schemas.openxmlformats.org/officeDocument/2006/relationships" ref="H18" r:id="rId12"/>
    <hyperlink xmlns:r="http://schemas.openxmlformats.org/officeDocument/2006/relationships" ref="H19" r:id="rId13"/>
    <hyperlink xmlns:r="http://schemas.openxmlformats.org/officeDocument/2006/relationships" ref="H20" r:id="rId14"/>
    <hyperlink xmlns:r="http://schemas.openxmlformats.org/officeDocument/2006/relationships" ref="H21" r:id="rId15"/>
    <hyperlink xmlns:r="http://schemas.openxmlformats.org/officeDocument/2006/relationships" ref="H22" r:id="rId16"/>
    <hyperlink xmlns:r="http://schemas.openxmlformats.org/officeDocument/2006/relationships" ref="H23" r:id="rId17"/>
    <hyperlink xmlns:r="http://schemas.openxmlformats.org/officeDocument/2006/relationships" ref="H24" r:id="rId18"/>
    <hyperlink xmlns:r="http://schemas.openxmlformats.org/officeDocument/2006/relationships" ref="H25" r:id="rId19"/>
    <hyperlink xmlns:r="http://schemas.openxmlformats.org/officeDocument/2006/relationships" ref="H26" r:id="rId20"/>
    <hyperlink xmlns:r="http://schemas.openxmlformats.org/officeDocument/2006/relationships" ref="H27" r:id="rId21"/>
    <hyperlink xmlns:r="http://schemas.openxmlformats.org/officeDocument/2006/relationships" ref="H28" r:id="rId22"/>
    <hyperlink xmlns:r="http://schemas.openxmlformats.org/officeDocument/2006/relationships" ref="H29" r:id="rId23"/>
    <hyperlink xmlns:r="http://schemas.openxmlformats.org/officeDocument/2006/relationships" ref="H30" r:id="rId24"/>
    <hyperlink xmlns:r="http://schemas.openxmlformats.org/officeDocument/2006/relationships" ref="H31" r:id="rId25"/>
    <hyperlink xmlns:r="http://schemas.openxmlformats.org/officeDocument/2006/relationships" ref="H33" r:id="rId26"/>
    <hyperlink xmlns:r="http://schemas.openxmlformats.org/officeDocument/2006/relationships" ref="H34" r:id="rId27"/>
    <hyperlink xmlns:r="http://schemas.openxmlformats.org/officeDocument/2006/relationships" ref="H36" r:id="rId28"/>
    <hyperlink xmlns:r="http://schemas.openxmlformats.org/officeDocument/2006/relationships" ref="H37" r:id="rId29"/>
    <hyperlink xmlns:r="http://schemas.openxmlformats.org/officeDocument/2006/relationships" ref="H38" r:id="rId30"/>
    <hyperlink xmlns:r="http://schemas.openxmlformats.org/officeDocument/2006/relationships" ref="H39" r:id="rId31"/>
    <hyperlink xmlns:r="http://schemas.openxmlformats.org/officeDocument/2006/relationships" ref="H40" r:id="rId32"/>
    <hyperlink xmlns:r="http://schemas.openxmlformats.org/officeDocument/2006/relationships" ref="H41" r:id="rId33"/>
    <hyperlink xmlns:r="http://schemas.openxmlformats.org/officeDocument/2006/relationships" ref="H42" r:id="rId34"/>
    <hyperlink xmlns:r="http://schemas.openxmlformats.org/officeDocument/2006/relationships" ref="H43" r:id="rId35"/>
    <hyperlink xmlns:r="http://schemas.openxmlformats.org/officeDocument/2006/relationships" ref="H44" r:id="rId36"/>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8.xml><?xml version="1.0" encoding="utf-8"?>
<worksheet xmlns="http://schemas.openxmlformats.org/spreadsheetml/2006/main">
  <sheetPr>
    <tabColor rgb="0027AE60"/>
    <outlinePr summaryBelow="1" summaryRight="1"/>
    <pageSetUpPr fitToPage="1"/>
  </sheetPr>
  <dimension ref="A1:J38"/>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Moduł 6: TESTY RED TEAM</t>
        </is>
      </c>
    </row>
    <row r="2">
      <c r="A2" s="37" t="inlineStr">
        <is>
          <t>#</t>
        </is>
      </c>
      <c r="B2" s="37" t="inlineStr">
        <is>
          <t>Element checklisty</t>
        </is>
      </c>
      <c r="C2" s="37" t="inlineStr">
        <is>
          <t>Status</t>
        </is>
      </c>
      <c r="D2" s="37" t="inlineStr">
        <is>
          <t>Priorytet</t>
        </is>
      </c>
      <c r="E2" s="37" t="inlineStr">
        <is>
          <t>Właściciel</t>
        </is>
      </c>
      <c r="F2" s="37" t="inlineStr">
        <is>
          <t>Termin</t>
        </is>
      </c>
      <c r="G2" s="37" t="inlineStr">
        <is>
          <t>Data realizacji</t>
        </is>
      </c>
      <c r="H2" s="37" t="inlineStr">
        <is>
          <t>Odniesienie RTS</t>
        </is>
      </c>
      <c r="I2" s="37" t="inlineStr">
        <is>
          <t>Dowody/Uwagi</t>
        </is>
      </c>
      <c r="J2" s="37" t="inlineStr">
        <is>
          <t>Ryzyko pominięcia</t>
        </is>
      </c>
    </row>
    <row r="3">
      <c r="A3" s="38">
        <f>"Postęp: "&amp;COUNTIF(C5:C37,"Complete")&amp;" / 29 ukończono ("&amp;IF(29=0,0,ROUND(COUNTIF(C5:C37,"Complete")/29*100,0))&amp;"%)"</f>
        <v/>
      </c>
      <c r="B3" s="76" t="n"/>
      <c r="C3" s="76" t="n"/>
      <c r="D3" s="76" t="n"/>
      <c r="E3" s="76" t="n"/>
      <c r="F3" s="76" t="n"/>
      <c r="G3" s="76" t="n"/>
      <c r="H3" s="76" t="n"/>
      <c r="I3" s="76" t="n"/>
      <c r="J3" s="77" t="n"/>
    </row>
    <row r="4">
      <c r="A4" s="48" t="inlineStr">
        <is>
          <t>6A: Plan testów red team</t>
        </is>
      </c>
      <c r="B4" s="76" t="n"/>
      <c r="C4" s="76" t="n"/>
      <c r="D4" s="76" t="n"/>
      <c r="E4" s="76" t="n"/>
      <c r="F4" s="76" t="n"/>
      <c r="G4" s="76" t="n"/>
      <c r="H4" s="76" t="n"/>
      <c r="I4" s="76" t="n"/>
      <c r="J4" s="77" t="n"/>
    </row>
    <row r="5">
      <c r="A5" s="39" t="inlineStr">
        <is>
          <t>6.1</t>
        </is>
      </c>
      <c r="B5" s="40" t="inlineStr">
        <is>
          <t>Testerzy przygotowują plan testów red team (Załącznik IV) zawierający:</t>
        </is>
      </c>
      <c r="C5" s="35" t="inlineStr">
        <is>
          <t>Not Started</t>
        </is>
      </c>
      <c r="D5" s="41" t="inlineStr">
        <is>
          <t>CRITICAL</t>
        </is>
      </c>
      <c r="E5" s="42" t="n"/>
      <c r="F5" s="79" t="n"/>
      <c r="G5" s="79" t="n"/>
      <c r="H5" s="44" t="inlineStr">
        <is>
          <t>RTS Art. 11(1); RTS Annex IV</t>
        </is>
      </c>
      <c r="I5" s="45" t="n"/>
      <c r="J5" s="35" t="n"/>
    </row>
    <row r="6">
      <c r="A6" s="39" t="inlineStr">
        <is>
          <t>6.2</t>
        </is>
      </c>
      <c r="B6" s="40" t="inlineStr">
        <is>
          <t>Kanały i procedury komunikacji</t>
        </is>
      </c>
      <c r="C6" s="35" t="inlineStr">
        <is>
          <t>Not Started</t>
        </is>
      </c>
      <c r="D6" s="41" t="inlineStr">
        <is>
          <t>CRITICAL</t>
        </is>
      </c>
      <c r="E6" s="42" t="n"/>
      <c r="F6" s="79" t="n"/>
      <c r="G6" s="79" t="n"/>
      <c r="H6" s="44" t="inlineStr">
        <is>
          <t>RTS Annex IV(a)</t>
        </is>
      </c>
      <c r="I6" s="45" t="n"/>
      <c r="J6" s="35" t="n"/>
    </row>
    <row r="7">
      <c r="A7" s="39" t="inlineStr">
        <is>
          <t>6.3</t>
        </is>
      </c>
      <c r="B7" s="40" t="inlineStr">
        <is>
          <t>Dozwolone i niedozwolone TTP (w tym granice inżynierii społecznej)</t>
        </is>
      </c>
      <c r="C7" s="35" t="inlineStr">
        <is>
          <t>Not Started</t>
        </is>
      </c>
      <c r="D7" s="41" t="inlineStr">
        <is>
          <t>CRITICAL</t>
        </is>
      </c>
      <c r="E7" s="42" t="n"/>
      <c r="F7" s="79" t="n"/>
      <c r="G7" s="79" t="n"/>
      <c r="H7" s="44" t="inlineStr">
        <is>
          <t>RTS Annex IV(b)</t>
        </is>
      </c>
      <c r="I7" s="45" t="n"/>
      <c r="J7" s="35" t="n"/>
    </row>
    <row r="8">
      <c r="A8" s="39" t="inlineStr">
        <is>
          <t>6.4</t>
        </is>
      </c>
      <c r="B8" s="40" t="inlineStr">
        <is>
          <t>Środki zarządzania ryzykiem testerów</t>
        </is>
      </c>
      <c r="C8" s="35" t="inlineStr">
        <is>
          <t>Not Started</t>
        </is>
      </c>
      <c r="D8" s="41" t="inlineStr">
        <is>
          <t>CRITICAL</t>
        </is>
      </c>
      <c r="E8" s="42" t="n"/>
      <c r="F8" s="79" t="n"/>
      <c r="G8" s="79" t="n"/>
      <c r="H8" s="44" t="inlineStr">
        <is>
          <t>RTS Annex IV(c)</t>
        </is>
      </c>
      <c r="I8" s="45" t="n"/>
      <c r="J8" s="35" t="n"/>
    </row>
    <row r="9">
      <c r="A9" s="39" t="inlineStr">
        <is>
          <t>6.5</t>
        </is>
      </c>
      <c r="B9" s="40" t="inlineStr">
        <is>
          <t>Szczegóły per scenariusz: aktor zagrożeń, zamiar, funkcje docelowe, flagi</t>
        </is>
      </c>
      <c r="C9" s="35" t="inlineStr">
        <is>
          <t>Not Started</t>
        </is>
      </c>
      <c r="D9" s="41" t="inlineStr">
        <is>
          <t>CRITICAL</t>
        </is>
      </c>
      <c r="E9" s="42" t="n"/>
      <c r="F9" s="79" t="n"/>
      <c r="G9" s="79" t="n"/>
      <c r="H9" s="44" t="inlineStr">
        <is>
          <t>RTS Annex IV(d)</t>
        </is>
      </c>
      <c r="I9" s="45" t="n"/>
      <c r="J9" s="35" t="n"/>
    </row>
    <row r="10">
      <c r="A10" s="39" t="inlineStr">
        <is>
          <t>6.6</t>
        </is>
      </c>
      <c r="B10" s="40" t="inlineStr">
        <is>
          <t>Szczegółowe opisy ścieżek ataku z wymaganiami wstępnymi</t>
        </is>
      </c>
      <c r="C10" s="35" t="inlineStr">
        <is>
          <t>Not Started</t>
        </is>
      </c>
      <c r="D10" s="41" t="inlineStr">
        <is>
          <t>CRITICAL</t>
        </is>
      </c>
      <c r="E10" s="42" t="n"/>
      <c r="F10" s="79" t="n"/>
      <c r="G10" s="79" t="n"/>
      <c r="H10" s="44" t="inlineStr">
        <is>
          <t>RTS Annex IV(e)</t>
        </is>
      </c>
      <c r="I10" s="45" t="n"/>
      <c r="J10" s="35" t="n"/>
    </row>
    <row r="11">
      <c r="A11" s="39" t="inlineStr">
        <is>
          <t>6.7</t>
        </is>
      </c>
      <c r="B11" s="40" t="inlineStr">
        <is>
          <t>Definicje leg-up z terminami dostarczenia</t>
        </is>
      </c>
      <c r="C11" s="35" t="inlineStr">
        <is>
          <t>Not Started</t>
        </is>
      </c>
      <c r="D11" s="46" t="inlineStr">
        <is>
          <t>HIGH</t>
        </is>
      </c>
      <c r="E11" s="42" t="n"/>
      <c r="F11" s="79" t="n"/>
      <c r="G11" s="79" t="n"/>
      <c r="H11" s="44" t="inlineStr">
        <is>
          <t>RTS Annex IV(e)</t>
        </is>
      </c>
      <c r="I11" s="45" t="n"/>
      <c r="J11" s="35" t="n"/>
    </row>
    <row r="12">
      <c r="A12" s="26" t="n"/>
      <c r="B12" s="47" t="inlineStr">
        <is>
          <t>WSKAZÓWKA: Zdefiniuj proces leg-up przed pierwszym dniem testów aktywnych, nie gdy red team utknął w czwartym tygodniu. Ćwiczenia utknęły na dwa tygodnie, bo zespół kontrolny nie mógł się zgodzić, czy podanie danych uwierzytelniających stanowi leg-up.</t>
        </is>
      </c>
      <c r="C12" s="26" t="n"/>
      <c r="D12" s="26" t="n"/>
      <c r="E12" s="26" t="n"/>
      <c r="F12" s="26" t="n"/>
      <c r="G12" s="26" t="n"/>
      <c r="H12" s="26" t="n"/>
      <c r="I12" s="26" t="n"/>
      <c r="J12" s="26" t="n"/>
    </row>
    <row r="13">
      <c r="A13" s="39" t="inlineStr">
        <is>
          <t>6.8</t>
        </is>
      </c>
      <c r="B13" s="40" t="inlineStr">
        <is>
          <t>Harmonogram trzyfazowy: wejście do systemu, ruch w systemie, działania na cel</t>
        </is>
      </c>
      <c r="C13" s="35" t="inlineStr">
        <is>
          <t>Not Started</t>
        </is>
      </c>
      <c r="D13" s="41" t="inlineStr">
        <is>
          <t>CRITICAL</t>
        </is>
      </c>
      <c r="E13" s="42" t="n"/>
      <c r="F13" s="79" t="n"/>
      <c r="G13" s="79" t="n"/>
      <c r="H13" s="44" t="inlineStr">
        <is>
          <t>RTS Annex IV(f)</t>
        </is>
      </c>
      <c r="I13" s="45" t="n"/>
      <c r="J13" s="35" t="n"/>
    </row>
    <row r="14">
      <c r="A14" s="39" t="inlineStr">
        <is>
          <t>6.9</t>
        </is>
      </c>
      <c r="B14" s="40" t="inlineStr">
        <is>
          <t>Specyfika infrastruktury podmiotu</t>
        </is>
      </c>
      <c r="C14" s="35" t="inlineStr">
        <is>
          <t>Not Started</t>
        </is>
      </c>
      <c r="D14" s="46" t="inlineStr">
        <is>
          <t>HIGH</t>
        </is>
      </c>
      <c r="E14" s="42" t="n"/>
      <c r="F14" s="79" t="n"/>
      <c r="G14" s="79" t="n"/>
      <c r="H14" s="44" t="inlineStr">
        <is>
          <t>RTS Annex IV(g)</t>
        </is>
      </c>
      <c r="I14" s="45" t="n"/>
      <c r="J14" s="35" t="n"/>
    </row>
    <row r="15">
      <c r="A15" s="39" t="inlineStr">
        <is>
          <t>6.10</t>
        </is>
      </c>
      <c r="B15" s="40" t="inlineStr">
        <is>
          <t>Zespół kontrolny przegląda i zatwierdza plan</t>
        </is>
      </c>
      <c r="C15" s="35" t="inlineStr">
        <is>
          <t>Not Started</t>
        </is>
      </c>
      <c r="D15" s="41" t="inlineStr">
        <is>
          <t>CRITICAL</t>
        </is>
      </c>
      <c r="E15" s="42" t="n"/>
      <c r="F15" s="79" t="n"/>
      <c r="G15" s="79" t="n"/>
      <c r="H15" s="44" t="inlineStr">
        <is>
          <t>RTS Art. 11(3)</t>
        </is>
      </c>
      <c r="I15" s="45" t="n"/>
      <c r="J15" s="35" t="n"/>
    </row>
    <row r="16">
      <c r="A16" s="39" t="inlineStr">
        <is>
          <t>6.11</t>
        </is>
      </c>
      <c r="B16" s="40" t="inlineStr">
        <is>
          <t>Organ TLPT zatwierdza plan</t>
        </is>
      </c>
      <c r="C16" s="35" t="inlineStr">
        <is>
          <t>Not Started</t>
        </is>
      </c>
      <c r="D16" s="41" t="inlineStr">
        <is>
          <t>CRITICAL</t>
        </is>
      </c>
      <c r="E16" s="42" t="n"/>
      <c r="F16" s="79" t="n"/>
      <c r="G16" s="79" t="n"/>
      <c r="H16" s="44" t="inlineStr">
        <is>
          <t>RTS Art. 11(3)</t>
        </is>
      </c>
      <c r="I16" s="45" t="n"/>
      <c r="J16" s="35" t="n"/>
    </row>
    <row r="17">
      <c r="A17" s="48" t="inlineStr">
        <is>
          <t>6B: Wykonanie testów aktywnych</t>
        </is>
      </c>
      <c r="B17" s="76" t="n"/>
      <c r="C17" s="76" t="n"/>
      <c r="D17" s="76" t="n"/>
      <c r="E17" s="76" t="n"/>
      <c r="F17" s="76" t="n"/>
      <c r="G17" s="76" t="n"/>
      <c r="H17" s="76" t="n"/>
      <c r="I17" s="76" t="n"/>
      <c r="J17" s="77" t="n"/>
    </row>
    <row r="18">
      <c r="A18" s="39" t="inlineStr">
        <is>
          <t>6.12</t>
        </is>
      </c>
      <c r="B18" s="40" t="inlineStr">
        <is>
          <t>Rozpoczęcie aktywnych testów red team</t>
        </is>
      </c>
      <c r="C18" s="35" t="inlineStr">
        <is>
          <t>Not Started</t>
        </is>
      </c>
      <c r="D18" s="41" t="inlineStr">
        <is>
          <t>CRITICAL</t>
        </is>
      </c>
      <c r="E18" s="42" t="n"/>
      <c r="F18" s="79" t="n"/>
      <c r="G18" s="79" t="n"/>
      <c r="H18" s="44" t="inlineStr">
        <is>
          <t>RTS Art. 11(4)</t>
        </is>
      </c>
      <c r="I18" s="45" t="n"/>
      <c r="J18" s="35" t="n"/>
    </row>
    <row r="19">
      <c r="A19" s="39" t="inlineStr">
        <is>
          <t>6.13</t>
        </is>
      </c>
      <c r="B19" s="40" t="inlineStr">
        <is>
          <t>Minimalny czas trwania 12 tygodni (proportionate to scope and complexity)</t>
        </is>
      </c>
      <c r="C19" s="35" t="inlineStr">
        <is>
          <t>Not Started</t>
        </is>
      </c>
      <c r="D19" s="41" t="inlineStr">
        <is>
          <t>CRITICAL</t>
        </is>
      </c>
      <c r="E19" s="42" t="n"/>
      <c r="F19" s="79" t="n"/>
      <c r="G19" s="79" t="n"/>
      <c r="H19" s="44" t="inlineStr">
        <is>
          <t>RTS Art. 11(5)</t>
        </is>
      </c>
      <c r="I19" s="45" t="n"/>
      <c r="J19" s="35" t="n"/>
    </row>
    <row r="20">
      <c r="A20" s="39" t="inlineStr">
        <is>
          <t>6.14</t>
        </is>
      </c>
      <c r="B20" s="40" t="inlineStr">
        <is>
          <t>Scenariusze realizowane sekwencyjnie lub równocześnie wg planu</t>
        </is>
      </c>
      <c r="C20" s="35" t="inlineStr">
        <is>
          <t>Not Started</t>
        </is>
      </c>
      <c r="D20" s="46" t="inlineStr">
        <is>
          <t>HIGH</t>
        </is>
      </c>
      <c r="E20" s="42" t="n"/>
      <c r="F20" s="79" t="n"/>
      <c r="G20" s="79" t="n"/>
      <c r="H20" s="44" t="inlineStr">
        <is>
          <t>RTS Art. 11(5)</t>
        </is>
      </c>
      <c r="I20" s="45" t="n"/>
      <c r="J20" s="35" t="n"/>
    </row>
    <row r="21">
      <c r="A21" s="39" t="inlineStr">
        <is>
          <t>6.15</t>
        </is>
      </c>
      <c r="B21" s="40" t="inlineStr">
        <is>
          <t>Testerzy dostarczają minimum cotygodniowe raporty postępu to control team and test managers</t>
        </is>
      </c>
      <c r="C21" s="35" t="inlineStr">
        <is>
          <t>Not Started</t>
        </is>
      </c>
      <c r="D21" s="41" t="inlineStr">
        <is>
          <t>CRITICAL</t>
        </is>
      </c>
      <c r="E21" s="42" t="n"/>
      <c r="F21" s="79" t="n"/>
      <c r="G21" s="79" t="n"/>
      <c r="H21" s="44" t="inlineStr">
        <is>
          <t>RTS Art. 11(7)</t>
        </is>
      </c>
      <c r="I21" s="45" t="n"/>
      <c r="J21" s="35" t="n"/>
    </row>
    <row r="22">
      <c r="A22" s="39" t="inlineStr">
        <is>
          <t>6.16</t>
        </is>
      </c>
      <c r="B22" s="40" t="inlineStr">
        <is>
          <t>Dostawca TI pozostaje dostępny do konsultacji przez cały czas</t>
        </is>
      </c>
      <c r="C22" s="35" t="inlineStr">
        <is>
          <t>Not Started</t>
        </is>
      </c>
      <c r="D22" s="46" t="inlineStr">
        <is>
          <t>HIGH</t>
        </is>
      </c>
      <c r="E22" s="42" t="n"/>
      <c r="F22" s="79" t="n"/>
      <c r="G22" s="79" t="n"/>
      <c r="H22" s="44" t="inlineStr">
        <is>
          <t>RTS Art. 11(7)</t>
        </is>
      </c>
      <c r="I22" s="45" t="n"/>
      <c r="J22" s="35" t="n"/>
    </row>
    <row r="23">
      <c r="A23" s="39" t="inlineStr">
        <is>
          <t>6.17</t>
        </is>
      </c>
      <c r="B23" s="40" t="inlineStr">
        <is>
          <t>Wszystkie działania testerów logowane</t>
        </is>
      </c>
      <c r="C23" s="35" t="inlineStr">
        <is>
          <t>Not Started</t>
        </is>
      </c>
      <c r="D23" s="41" t="inlineStr">
        <is>
          <t>CRITICAL</t>
        </is>
      </c>
      <c r="E23" s="42" t="n"/>
      <c r="F23" s="79" t="n"/>
      <c r="G23" s="79" t="n"/>
      <c r="H23" s="44" t="inlineStr">
        <is>
          <t>TIBER-EU Section 5.2</t>
        </is>
      </c>
      <c r="I23" s="45" t="n"/>
      <c r="J23" s="35" t="n"/>
    </row>
    <row r="24">
      <c r="A24" s="48" t="inlineStr">
        <is>
          <t>6C: Zarządzanie operacyjne podczas testów</t>
        </is>
      </c>
      <c r="B24" s="76" t="n"/>
      <c r="C24" s="76" t="n"/>
      <c r="D24" s="76" t="n"/>
      <c r="E24" s="76" t="n"/>
      <c r="F24" s="76" t="n"/>
      <c r="G24" s="76" t="n"/>
      <c r="H24" s="76" t="n"/>
      <c r="I24" s="76" t="n"/>
      <c r="J24" s="77" t="n"/>
    </row>
    <row r="25">
      <c r="A25" s="39" t="inlineStr">
        <is>
          <t>6.18</t>
        </is>
      </c>
      <c r="B25" s="40" t="inlineStr">
        <is>
          <t>Zespół kontrolny monitoruje postępy względem planu</t>
        </is>
      </c>
      <c r="C25" s="35" t="inlineStr">
        <is>
          <t>Not Started</t>
        </is>
      </c>
      <c r="D25" s="46" t="inlineStr">
        <is>
          <t>HIGH</t>
        </is>
      </c>
      <c r="E25" s="42" t="n"/>
      <c r="F25" s="79" t="n"/>
      <c r="G25" s="79" t="n"/>
      <c r="H25" s="44" t="inlineStr">
        <is>
          <t>RTS Art. 4; RTS Art. 11(6)</t>
        </is>
      </c>
      <c r="I25" s="45" t="n"/>
      <c r="J25" s="35" t="n"/>
    </row>
    <row r="26">
      <c r="A26" s="39" t="inlineStr">
        <is>
          <t>6.19</t>
        </is>
      </c>
      <c r="B26" s="40" t="inlineStr">
        <is>
          <t>Leg-upy dostarczane w razie potrzeby (per pre-agreed process):</t>
        </is>
      </c>
      <c r="C26" s="35" t="inlineStr">
        <is>
          <t>Not Started</t>
        </is>
      </c>
      <c r="D26" s="46" t="inlineStr">
        <is>
          <t>HIGH</t>
        </is>
      </c>
      <c r="E26" s="42" t="n"/>
      <c r="F26" s="79" t="n"/>
      <c r="G26" s="79" t="n"/>
      <c r="H26" s="44" t="inlineStr">
        <is>
          <t>RTS Art. 11(8)</t>
        </is>
      </c>
      <c r="I26" s="45" t="n"/>
      <c r="J26" s="35" t="n"/>
    </row>
    <row r="27">
      <c r="A27" s="39" t="inlineStr">
        <is>
          <t>6.20</t>
        </is>
      </c>
      <c r="B27" s="40" t="inlineStr">
        <is>
          <t>Każdy leg-up udokumentowany: kod, typ, powód, co kompensuje</t>
        </is>
      </c>
      <c r="C27" s="35" t="inlineStr">
        <is>
          <t>Not Started</t>
        </is>
      </c>
      <c r="D27" s="41" t="inlineStr">
        <is>
          <t>CRITICAL</t>
        </is>
      </c>
      <c r="E27" s="42" t="n"/>
      <c r="F27" s="79" t="n"/>
      <c r="G27" s="79" t="n"/>
      <c r="H27" s="44" t="inlineStr">
        <is>
          <t>RTS Art. 11(8); RTS Annex IV(e)</t>
        </is>
      </c>
      <c r="I27" s="45" t="n"/>
      <c r="J27" s="35" t="n"/>
    </row>
    <row r="28">
      <c r="A28" s="39" t="inlineStr">
        <is>
          <t>6.21</t>
        </is>
      </c>
      <c r="B28" s="40" t="inlineStr">
        <is>
          <t>Zatwierdzony przez lidera zespołu kontrolnego i managerów testów</t>
        </is>
      </c>
      <c r="C28" s="35" t="inlineStr">
        <is>
          <t>Not Started</t>
        </is>
      </c>
      <c r="D28" s="41" t="inlineStr">
        <is>
          <t>CRITICAL</t>
        </is>
      </c>
      <c r="E28" s="42" t="n"/>
      <c r="F28" s="79" t="n"/>
      <c r="G28" s="79" t="n"/>
      <c r="H28" s="44" t="inlineStr">
        <is>
          <t>RTS Art. 11(8)</t>
        </is>
      </c>
      <c r="I28" s="45" t="n"/>
      <c r="J28" s="35" t="n"/>
    </row>
    <row r="29">
      <c r="A29" s="39" t="inlineStr">
        <is>
          <t>6.22</t>
        </is>
      </c>
      <c r="B29" s="40" t="inlineStr">
        <is>
          <t>Jeśli blue team wykryje aktywność:</t>
        </is>
      </c>
      <c r="C29" s="35" t="inlineStr">
        <is>
          <t>Not Started</t>
        </is>
      </c>
      <c r="D29" s="46" t="inlineStr">
        <is>
          <t>HIGH</t>
        </is>
      </c>
      <c r="E29" s="42" t="n"/>
      <c r="F29" s="79" t="n"/>
      <c r="G29" s="79" t="n"/>
      <c r="H29" s="44" t="inlineStr">
        <is>
          <t>RTS Art. 11(9)</t>
        </is>
      </c>
      <c r="I29" s="45" t="n"/>
      <c r="J29" s="35" t="n"/>
    </row>
    <row r="30">
      <c r="A30" s="39" t="inlineStr">
        <is>
          <t>6.23</t>
        </is>
      </c>
      <c r="B30" s="40" t="inlineStr">
        <is>
          <t>Zespół kontrolny proponuje środki kontynuacji managerom testów</t>
        </is>
      </c>
      <c r="C30" s="35" t="inlineStr">
        <is>
          <t>Not Started</t>
        </is>
      </c>
      <c r="D30" s="46" t="inlineStr">
        <is>
          <t>HIGH</t>
        </is>
      </c>
      <c r="E30" s="42" t="n"/>
      <c r="F30" s="79" t="n"/>
      <c r="G30" s="79" t="n"/>
      <c r="H30" s="44" t="inlineStr">
        <is>
          <t>RTS Art. 11(9)</t>
        </is>
      </c>
      <c r="I30" s="45" t="n"/>
      <c r="J30" s="35" t="n"/>
    </row>
    <row r="31">
      <c r="A31" s="39" t="inlineStr">
        <is>
          <t>6.24</t>
        </is>
      </c>
      <c r="B31" s="40" t="inlineStr">
        <is>
          <t>Wdrożone środki utrzymania poufności</t>
        </is>
      </c>
      <c r="C31" s="35" t="inlineStr">
        <is>
          <t>Not Started</t>
        </is>
      </c>
      <c r="D31" s="46" t="inlineStr">
        <is>
          <t>HIGH</t>
        </is>
      </c>
      <c r="E31" s="42" t="n"/>
      <c r="F31" s="79" t="n"/>
      <c r="G31" s="79" t="n"/>
      <c r="H31" s="44" t="inlineStr">
        <is>
          <t>RTS Art. 11(9)</t>
        </is>
      </c>
      <c r="I31" s="45" t="n"/>
      <c r="J31" s="35" t="n"/>
    </row>
    <row r="32">
      <c r="A32" s="39" t="inlineStr">
        <is>
          <t>6.25</t>
        </is>
      </c>
      <c r="B32" s="40" t="inlineStr">
        <is>
          <t>Wszelkie zmiany planu wymagają zgody CTL i TM</t>
        </is>
      </c>
      <c r="C32" s="35" t="inlineStr">
        <is>
          <t>Not Started</t>
        </is>
      </c>
      <c r="D32" s="41" t="inlineStr">
        <is>
          <t>CRITICAL</t>
        </is>
      </c>
      <c r="E32" s="42" t="n"/>
      <c r="F32" s="79" t="n"/>
      <c r="G32" s="79" t="n"/>
      <c r="H32" s="44" t="inlineStr">
        <is>
          <t>RTS Art. 11(6)</t>
        </is>
      </c>
      <c r="I32" s="45" t="n"/>
      <c r="J32" s="35" t="n"/>
    </row>
    <row r="33">
      <c r="A33" s="26" t="n"/>
      <c r="B33" s="47" t="inlineStr">
        <is>
          <t>WSKAZÓWKA: Paraliż decyzyjny przy kill switch to prawdziwe zjawisko. Gdy red team raportuje, że osiągnął pozycję, z której kolejny krok może wpłynąć na produkcyjny system płatniczy, ktoś musi podjąć decyzję w ciągu minut. Wyznacz tę osobę i jej uprawnienia z wyprzedzeniem.</t>
        </is>
      </c>
      <c r="C33" s="26" t="n"/>
      <c r="D33" s="26" t="n"/>
      <c r="E33" s="26" t="n"/>
      <c r="F33" s="26" t="n"/>
      <c r="G33" s="26" t="n"/>
      <c r="H33" s="26" t="n"/>
      <c r="I33" s="26" t="n"/>
      <c r="J33" s="26" t="n"/>
    </row>
    <row r="34">
      <c r="A34" s="39" t="inlineStr">
        <is>
          <t>6.26</t>
        </is>
      </c>
      <c r="B34" s="40" t="inlineStr">
        <is>
          <t>Protokół okoliczności wyjątkowych gotowy:</t>
        </is>
      </c>
      <c r="C34" s="35" t="inlineStr">
        <is>
          <t>Not Started</t>
        </is>
      </c>
      <c r="D34" s="46" t="inlineStr">
        <is>
          <t>HIGH</t>
        </is>
      </c>
      <c r="E34" s="42" t="n"/>
      <c r="F34" s="79" t="n"/>
      <c r="G34" s="79" t="n"/>
      <c r="H34" s="44" t="inlineStr">
        <is>
          <t>RTS Art. 11(10)</t>
        </is>
      </c>
      <c r="I34" s="45" t="n"/>
      <c r="J34" s="35" t="n"/>
    </row>
    <row r="35">
      <c r="A35" s="39" t="inlineStr">
        <is>
          <t>6.27</t>
        </is>
      </c>
      <c r="B35" s="40" t="inlineStr">
        <is>
          <t>CTL może zawiesić TLPT w przypadku ryzyka dla danych, aktywów lub usług</t>
        </is>
      </c>
      <c r="C35" s="35" t="inlineStr">
        <is>
          <t>Not Started</t>
        </is>
      </c>
      <c r="D35" s="41" t="inlineStr">
        <is>
          <t>CRITICAL</t>
        </is>
      </c>
      <c r="E35" s="42" t="n"/>
      <c r="F35" s="79" t="n"/>
      <c r="G35" s="79" t="n"/>
      <c r="H35" s="44" t="inlineStr">
        <is>
          <t>RTS Art. 11(10)</t>
        </is>
      </c>
      <c r="I35" s="45" t="n"/>
      <c r="J35" s="35" t="n"/>
    </row>
    <row r="36">
      <c r="A36" s="39" t="inlineStr">
        <is>
          <t>6.28</t>
        </is>
      </c>
      <c r="B36" s="40" t="inlineStr">
        <is>
          <t>Ograniczony purple teaming jako ostateczność (counts toward 12-week minimum)</t>
        </is>
      </c>
      <c r="C36" s="35" t="inlineStr">
        <is>
          <t>Not Started</t>
        </is>
      </c>
      <c r="D36" s="46" t="inlineStr">
        <is>
          <t>HIGH</t>
        </is>
      </c>
      <c r="E36" s="42" t="n"/>
      <c r="F36" s="79" t="n"/>
      <c r="G36" s="79" t="n"/>
      <c r="H36" s="44" t="inlineStr">
        <is>
          <t>RTS Art. 11(10)</t>
        </is>
      </c>
      <c r="I36" s="45" t="n"/>
      <c r="J36" s="35" t="n"/>
    </row>
    <row r="37">
      <c r="A37" s="39" t="inlineStr">
        <is>
          <t>6.29</t>
        </is>
      </c>
      <c r="B37" s="40" t="inlineStr">
        <is>
          <t>Wymagana walidacja TM dla ograniczonego purple teamingu</t>
        </is>
      </c>
      <c r="C37" s="35" t="inlineStr">
        <is>
          <t>Not Started</t>
        </is>
      </c>
      <c r="D37" s="41" t="inlineStr">
        <is>
          <t>CRITICAL</t>
        </is>
      </c>
      <c r="E37" s="42" t="n"/>
      <c r="F37" s="79" t="n"/>
      <c r="G37" s="79" t="n"/>
      <c r="H37" s="44" t="inlineStr">
        <is>
          <t>RTS Art. 11(10)</t>
        </is>
      </c>
      <c r="I37" s="45" t="n"/>
      <c r="J37" s="35" t="n"/>
    </row>
    <row r="38">
      <c r="A38" s="26" t="n"/>
      <c r="B38" s="47" t="inlineStr">
        <is>
          <t>WSKAZÓWKA: Minimum 12 tygodni to wymóg bezwzględny. Instytucje, które próbują to skompresować, przekonują się, że nie działa - regulator będzie protestował. Zaplanuj budżet na 12-16 tygodni testów aktywnych. I zaplanuj proces leg-up z wyprzedzeniem.</t>
        </is>
      </c>
      <c r="C38" s="26" t="n"/>
      <c r="D38" s="26" t="n"/>
      <c r="E38" s="26" t="n"/>
      <c r="F38" s="26" t="n"/>
      <c r="G38" s="26" t="n"/>
      <c r="H38" s="26" t="n"/>
      <c r="I38" s="26" t="n"/>
      <c r="J38" s="26" t="n"/>
    </row>
  </sheetData>
  <sheetProtection selectLockedCells="0" selectUnlockedCells="0" sheet="1" objects="0" insertRows="1" insertHyperlinks="1" autoFilter="0" scenarios="0" formatColumns="0" deleteColumns="1" insertColumns="1" pivotTables="1" deleteRows="1" formatCells="1" formatRows="0" sort="0" password="CE4B"/>
  <mergeCells count="5">
    <mergeCell ref="A1:J1"/>
    <mergeCell ref="A17:J17"/>
    <mergeCell ref="A3:J3"/>
    <mergeCell ref="A4:J4"/>
    <mergeCell ref="A24:J24"/>
  </mergeCells>
  <conditionalFormatting sqref="A5:J37">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37" showDropDown="0" showInputMessage="0" showErrorMessage="0" allowBlank="1" errorTitle="Invalid Status" error="Select: Not Started, In Progress, Complete, N/A" type="list">
      <formula1>"Not Started,In Progress,Complete,N/A"</formula1>
    </dataValidation>
    <dataValidation sqref="J5:J37" showDropDown="0" showInputMessage="0" showErrorMessage="0" allowBlank="1" errorTitle="Invalid Risk" error="Select: High, Medium, Low" type="list">
      <formula1>"High,Medium,Low"</formula1>
    </dataValidation>
    <dataValidation sqref="F5:F37" showDropDown="0" showInputMessage="0" showErrorMessage="1" allowBlank="1" errorTitle="Invalid Date" error="Please enter a valid date" type="date" operator="greaterThan">
      <formula1>2020-01-01</formula1>
    </dataValidation>
    <dataValidation sqref="G5:G37"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8" r:id="rId4"/>
    <hyperlink xmlns:r="http://schemas.openxmlformats.org/officeDocument/2006/relationships" ref="H9" r:id="rId5"/>
    <hyperlink xmlns:r="http://schemas.openxmlformats.org/officeDocument/2006/relationships" ref="H10" r:id="rId6"/>
    <hyperlink xmlns:r="http://schemas.openxmlformats.org/officeDocument/2006/relationships" ref="H11" r:id="rId7"/>
    <hyperlink xmlns:r="http://schemas.openxmlformats.org/officeDocument/2006/relationships" ref="H13" r:id="rId8"/>
    <hyperlink xmlns:r="http://schemas.openxmlformats.org/officeDocument/2006/relationships" ref="H14" r:id="rId9"/>
    <hyperlink xmlns:r="http://schemas.openxmlformats.org/officeDocument/2006/relationships" ref="H15" r:id="rId10"/>
    <hyperlink xmlns:r="http://schemas.openxmlformats.org/officeDocument/2006/relationships" ref="H16" r:id="rId11"/>
    <hyperlink xmlns:r="http://schemas.openxmlformats.org/officeDocument/2006/relationships" ref="H18" r:id="rId12"/>
    <hyperlink xmlns:r="http://schemas.openxmlformats.org/officeDocument/2006/relationships" ref="H19" r:id="rId13"/>
    <hyperlink xmlns:r="http://schemas.openxmlformats.org/officeDocument/2006/relationships" ref="H20" r:id="rId14"/>
    <hyperlink xmlns:r="http://schemas.openxmlformats.org/officeDocument/2006/relationships" ref="H21" r:id="rId15"/>
    <hyperlink xmlns:r="http://schemas.openxmlformats.org/officeDocument/2006/relationships" ref="H22" r:id="rId16"/>
    <hyperlink xmlns:r="http://schemas.openxmlformats.org/officeDocument/2006/relationships" ref="H23" r:id="rId17"/>
    <hyperlink xmlns:r="http://schemas.openxmlformats.org/officeDocument/2006/relationships" ref="H25" r:id="rId18"/>
    <hyperlink xmlns:r="http://schemas.openxmlformats.org/officeDocument/2006/relationships" ref="H26" r:id="rId19"/>
    <hyperlink xmlns:r="http://schemas.openxmlformats.org/officeDocument/2006/relationships" ref="H27" r:id="rId20"/>
    <hyperlink xmlns:r="http://schemas.openxmlformats.org/officeDocument/2006/relationships" ref="H28" r:id="rId21"/>
    <hyperlink xmlns:r="http://schemas.openxmlformats.org/officeDocument/2006/relationships" ref="H29" r:id="rId22"/>
    <hyperlink xmlns:r="http://schemas.openxmlformats.org/officeDocument/2006/relationships" ref="H30" r:id="rId23"/>
    <hyperlink xmlns:r="http://schemas.openxmlformats.org/officeDocument/2006/relationships" ref="H31" r:id="rId24"/>
    <hyperlink xmlns:r="http://schemas.openxmlformats.org/officeDocument/2006/relationships" ref="H32" r:id="rId25"/>
    <hyperlink xmlns:r="http://schemas.openxmlformats.org/officeDocument/2006/relationships" ref="H34" r:id="rId26"/>
    <hyperlink xmlns:r="http://schemas.openxmlformats.org/officeDocument/2006/relationships" ref="H35" r:id="rId27"/>
    <hyperlink xmlns:r="http://schemas.openxmlformats.org/officeDocument/2006/relationships" ref="H36" r:id="rId28"/>
    <hyperlink xmlns:r="http://schemas.openxmlformats.org/officeDocument/2006/relationships" ref="H37" r:id="rId29"/>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xl/worksheets/sheet9.xml><?xml version="1.0" encoding="utf-8"?>
<worksheet xmlns="http://schemas.openxmlformats.org/spreadsheetml/2006/main">
  <sheetPr>
    <tabColor rgb="0027AE60"/>
    <outlinePr summaryBelow="1" summaryRight="1"/>
    <pageSetUpPr fitToPage="1"/>
  </sheetPr>
  <dimension ref="A1:J58"/>
  <sheetViews>
    <sheetView workbookViewId="0">
      <pane xSplit="2" ySplit="3" topLeftCell="C4" activePane="bottomRight" state="frozen"/>
      <selection pane="topRight" activeCell="A1" sqref="A1"/>
      <selection pane="bottomLeft" activeCell="A1" sqref="A1"/>
      <selection pane="bottomRight" activeCell="A1" sqref="A1"/>
    </sheetView>
  </sheetViews>
  <sheetFormatPr baseColWidth="8" defaultRowHeight="15"/>
  <cols>
    <col width="5" customWidth="1" min="1" max="1"/>
    <col width="55" customWidth="1" min="2" max="2"/>
    <col width="14" customWidth="1" min="3" max="3"/>
    <col width="12" customWidth="1" min="4" max="4"/>
    <col width="15" customWidth="1" min="5" max="5"/>
    <col width="12" customWidth="1" min="6" max="6"/>
    <col width="12" customWidth="1" min="7" max="7"/>
    <col width="18" customWidth="1" min="8" max="8"/>
    <col width="35" customWidth="1" min="9" max="9"/>
    <col width="12" customWidth="1" min="10" max="10"/>
  </cols>
  <sheetData>
    <row r="1">
      <c r="A1" s="36" t="inlineStr">
        <is>
          <t>Moduł 7: FAZA ZAMKNIĘCIA</t>
        </is>
      </c>
    </row>
    <row r="2">
      <c r="A2" s="37" t="inlineStr">
        <is>
          <t>#</t>
        </is>
      </c>
      <c r="B2" s="37" t="inlineStr">
        <is>
          <t>Element checklisty</t>
        </is>
      </c>
      <c r="C2" s="37" t="inlineStr">
        <is>
          <t>Status</t>
        </is>
      </c>
      <c r="D2" s="37" t="inlineStr">
        <is>
          <t>Priorytet</t>
        </is>
      </c>
      <c r="E2" s="37" t="inlineStr">
        <is>
          <t>Właściciel</t>
        </is>
      </c>
      <c r="F2" s="37" t="inlineStr">
        <is>
          <t>Termin</t>
        </is>
      </c>
      <c r="G2" s="37" t="inlineStr">
        <is>
          <t>Data realizacji</t>
        </is>
      </c>
      <c r="H2" s="37" t="inlineStr">
        <is>
          <t>Odniesienie RTS</t>
        </is>
      </c>
      <c r="I2" s="37" t="inlineStr">
        <is>
          <t>Dowody/Uwagi</t>
        </is>
      </c>
      <c r="J2" s="37" t="inlineStr">
        <is>
          <t>Ryzyko pominięcia</t>
        </is>
      </c>
    </row>
    <row r="3">
      <c r="A3" s="38">
        <f>"Postęp: "&amp;COUNTIF(C5:C58,"Complete")&amp;" / 48 ukończono ("&amp;IF(48=0,0,ROUND(COUNTIF(C5:C58,"Complete")/48*100,0))&amp;"%)"</f>
        <v/>
      </c>
      <c r="B3" s="76" t="n"/>
      <c r="C3" s="76" t="n"/>
      <c r="D3" s="76" t="n"/>
      <c r="E3" s="76" t="n"/>
      <c r="F3" s="76" t="n"/>
      <c r="G3" s="76" t="n"/>
      <c r="H3" s="76" t="n"/>
      <c r="I3" s="76" t="n"/>
      <c r="J3" s="77" t="n"/>
    </row>
    <row r="4">
      <c r="A4" s="48" t="inlineStr">
        <is>
          <t>7A: Powiadomienie blue team</t>
        </is>
      </c>
      <c r="B4" s="76" t="n"/>
      <c r="C4" s="76" t="n"/>
      <c r="D4" s="76" t="n"/>
      <c r="E4" s="76" t="n"/>
      <c r="F4" s="76" t="n"/>
      <c r="G4" s="76" t="n"/>
      <c r="H4" s="76" t="n"/>
      <c r="I4" s="76" t="n"/>
      <c r="J4" s="77" t="n"/>
    </row>
    <row r="5">
      <c r="A5" s="39" t="inlineStr">
        <is>
          <t>7.1</t>
        </is>
      </c>
      <c r="B5" s="40" t="inlineStr">
        <is>
          <t>Testy aktywne kończą się (za zgodą wszystkich stron)</t>
        </is>
      </c>
      <c r="C5" s="35" t="inlineStr">
        <is>
          <t>Not Started</t>
        </is>
      </c>
      <c r="D5" s="41" t="inlineStr">
        <is>
          <t>CRITICAL</t>
        </is>
      </c>
      <c r="E5" s="42" t="n"/>
      <c r="F5" s="79" t="n"/>
      <c r="G5" s="79" t="n"/>
      <c r="H5" s="44" t="inlineStr">
        <is>
          <t>RTS Art. 11(5)</t>
        </is>
      </c>
      <c r="I5" s="45" t="n"/>
      <c r="J5" s="35" t="n"/>
    </row>
    <row r="6">
      <c r="A6" s="39" t="inlineStr">
        <is>
          <t>7.2</t>
        </is>
      </c>
      <c r="B6" s="40" t="inlineStr">
        <is>
          <t>Lider zespołu kontrolnego informuje blue team o przeprowadzonym TLPT</t>
        </is>
      </c>
      <c r="C6" s="35" t="inlineStr">
        <is>
          <t>Not Started</t>
        </is>
      </c>
      <c r="D6" s="41" t="inlineStr">
        <is>
          <t>CRITICAL</t>
        </is>
      </c>
      <c r="E6" s="42" t="n"/>
      <c r="F6" s="79" t="n"/>
      <c r="G6" s="79" t="n"/>
      <c r="H6" s="44" t="inlineStr">
        <is>
          <t>RTS Art. 12(1)</t>
        </is>
      </c>
      <c r="I6" s="45" t="n"/>
      <c r="J6" s="35" t="n"/>
    </row>
    <row r="7">
      <c r="A7" s="39" t="inlineStr">
        <is>
          <t>7.3</t>
        </is>
      </c>
      <c r="B7" s="40" t="inlineStr">
        <is>
          <t>Blue team otrzymuje raport z testów red team (w razie potrzeby oczyszczony z informacji wrażliwych)</t>
        </is>
      </c>
      <c r="C7" s="35" t="inlineStr">
        <is>
          <t>Not Started</t>
        </is>
      </c>
      <c r="D7" s="46" t="inlineStr">
        <is>
          <t>HIGH</t>
        </is>
      </c>
      <c r="E7" s="42" t="n"/>
      <c r="F7" s="79" t="n"/>
      <c r="G7" s="79" t="n"/>
      <c r="H7" s="44" t="inlineStr">
        <is>
          <t>RTS Art. 12(3)</t>
        </is>
      </c>
      <c r="I7" s="45" t="n"/>
      <c r="J7" s="35" t="n"/>
    </row>
    <row r="8">
      <c r="A8" s="26" t="n"/>
      <c r="B8" s="47" t="inlineStr">
        <is>
          <t>WSKAZÓWKA: Sposób, w jaki poinformujesz blue team, nadaje ton wszystkiemu, co nastąpi. Jeśli powiadomienie brzmi jak 'zawiedliście i oto dowody', purple teaming staje się konfrontacyjny zamiast opartego na współpracy. Przedstaw to jako wspólne ćwiczenie edukacyjne.</t>
        </is>
      </c>
      <c r="C8" s="26" t="n"/>
      <c r="D8" s="26" t="n"/>
      <c r="E8" s="26" t="n"/>
      <c r="F8" s="26" t="n"/>
      <c r="G8" s="26" t="n"/>
      <c r="H8" s="26" t="n"/>
      <c r="I8" s="26" t="n"/>
      <c r="J8" s="26" t="n"/>
    </row>
    <row r="9">
      <c r="A9" s="48" t="inlineStr">
        <is>
          <t>7B: Raportowanie (ścisłe terminy)</t>
        </is>
      </c>
      <c r="B9" s="76" t="n"/>
      <c r="C9" s="76" t="n"/>
      <c r="D9" s="76" t="n"/>
      <c r="E9" s="76" t="n"/>
      <c r="F9" s="76" t="n"/>
      <c r="G9" s="76" t="n"/>
      <c r="H9" s="76" t="n"/>
      <c r="I9" s="76" t="n"/>
      <c r="J9" s="77" t="n"/>
    </row>
    <row r="10">
      <c r="A10" s="39" t="inlineStr">
        <is>
          <t>7.4</t>
        </is>
      </c>
      <c r="B10" s="40" t="inlineStr">
        <is>
          <t>Celowane CIF i systemy wspierające</t>
        </is>
      </c>
      <c r="C10" s="35" t="inlineStr">
        <is>
          <t>Not Started</t>
        </is>
      </c>
      <c r="D10" s="41" t="inlineStr">
        <is>
          <t>CRITICAL</t>
        </is>
      </c>
      <c r="E10" s="42" t="n"/>
      <c r="F10" s="79" t="n"/>
      <c r="G10" s="79" t="n"/>
      <c r="H10" s="44" t="inlineStr">
        <is>
          <t>RTS Art. 12(2); RTS Annex V(a)</t>
        </is>
      </c>
      <c r="I10" s="45" t="n"/>
      <c r="J10" s="35" t="n"/>
    </row>
    <row r="11">
      <c r="A11" s="39" t="inlineStr">
        <is>
          <t>7.5</t>
        </is>
      </c>
      <c r="B11" s="40" t="inlineStr">
        <is>
          <t>Podsumowanie per scenariusz</t>
        </is>
      </c>
      <c r="C11" s="35" t="inlineStr">
        <is>
          <t>Not Started</t>
        </is>
      </c>
      <c r="D11" s="41" t="inlineStr">
        <is>
          <t>CRITICAL</t>
        </is>
      </c>
      <c r="E11" s="42" t="n"/>
      <c r="F11" s="79" t="n"/>
      <c r="G11" s="79" t="n"/>
      <c r="H11" s="44" t="inlineStr">
        <is>
          <t>RTS Annex V(a)</t>
        </is>
      </c>
      <c r="I11" s="45" t="n"/>
      <c r="J11" s="35" t="n"/>
    </row>
    <row r="12">
      <c r="A12" s="39" t="inlineStr">
        <is>
          <t>7.6</t>
        </is>
      </c>
      <c r="B12" s="40" t="inlineStr">
        <is>
          <t>Osiągnięte i nieosiągnięte flagi</t>
        </is>
      </c>
      <c r="C12" s="35" t="inlineStr">
        <is>
          <t>Not Started</t>
        </is>
      </c>
      <c r="D12" s="41" t="inlineStr">
        <is>
          <t>CRITICAL</t>
        </is>
      </c>
      <c r="E12" s="42" t="n"/>
      <c r="F12" s="79" t="n"/>
      <c r="G12" s="79" t="n"/>
      <c r="H12" s="44" t="inlineStr">
        <is>
          <t>RTS Annex V(a)</t>
        </is>
      </c>
      <c r="I12" s="45" t="n"/>
      <c r="J12" s="35" t="n"/>
    </row>
    <row r="13">
      <c r="A13" s="39" t="inlineStr">
        <is>
          <t>7.7</t>
        </is>
      </c>
      <c r="B13" s="40" t="inlineStr">
        <is>
          <t>Udane i nieudane ścieżki ataku i TTP</t>
        </is>
      </c>
      <c r="C13" s="35" t="inlineStr">
        <is>
          <t>Not Started</t>
        </is>
      </c>
      <c r="D13" s="41" t="inlineStr">
        <is>
          <t>CRITICAL</t>
        </is>
      </c>
      <c r="E13" s="42" t="n"/>
      <c r="F13" s="79" t="n"/>
      <c r="G13" s="79" t="n"/>
      <c r="H13" s="44" t="inlineStr">
        <is>
          <t>RTS Annex V(a)</t>
        </is>
      </c>
      <c r="I13" s="45" t="n"/>
      <c r="J13" s="35" t="n"/>
    </row>
    <row r="14">
      <c r="A14" s="39" t="inlineStr">
        <is>
          <t>7.8</t>
        </is>
      </c>
      <c r="B14" s="40" t="inlineStr">
        <is>
          <t>Odstępstwa od planu (jeśli występują)</t>
        </is>
      </c>
      <c r="C14" s="35" t="inlineStr">
        <is>
          <t>Not Started</t>
        </is>
      </c>
      <c r="D14" s="46" t="inlineStr">
        <is>
          <t>HIGH</t>
        </is>
      </c>
      <c r="E14" s="42" t="n"/>
      <c r="F14" s="79" t="n"/>
      <c r="G14" s="79" t="n"/>
      <c r="H14" s="44" t="inlineStr">
        <is>
          <t>RTS Annex V(a)</t>
        </is>
      </c>
      <c r="I14" s="45" t="n"/>
      <c r="J14" s="35" t="n"/>
    </row>
    <row r="15">
      <c r="A15" s="39" t="inlineStr">
        <is>
          <t>7.9</t>
        </is>
      </c>
      <c r="B15" s="40" t="inlineStr">
        <is>
          <t>Przyznane leg-upy (jeśli występują)</t>
        </is>
      </c>
      <c r="C15" s="35" t="inlineStr">
        <is>
          <t>Not Started</t>
        </is>
      </c>
      <c r="D15" s="46" t="inlineStr">
        <is>
          <t>HIGH</t>
        </is>
      </c>
      <c r="E15" s="42" t="n"/>
      <c r="F15" s="79" t="n"/>
      <c r="G15" s="79" t="n"/>
      <c r="H15" s="44" t="inlineStr">
        <is>
          <t>RTS Annex V(a)</t>
        </is>
      </c>
      <c r="I15" s="45" t="n"/>
      <c r="J15" s="35" t="n"/>
    </row>
    <row r="16">
      <c r="A16" s="39" t="inlineStr">
        <is>
          <t>7.10</t>
        </is>
      </c>
      <c r="B16" s="40" t="inlineStr">
        <is>
          <t>Działania blue team wykryte przez testerów</t>
        </is>
      </c>
      <c r="C16" s="35" t="inlineStr">
        <is>
          <t>Not Started</t>
        </is>
      </c>
      <c r="D16" s="46" t="inlineStr">
        <is>
          <t>HIGH</t>
        </is>
      </c>
      <c r="E16" s="42" t="n"/>
      <c r="F16" s="79" t="n"/>
      <c r="G16" s="79" t="n"/>
      <c r="H16" s="44" t="inlineStr">
        <is>
          <t>RTS Annex V(b)</t>
        </is>
      </c>
      <c r="I16" s="45" t="n"/>
      <c r="J16" s="35" t="n"/>
    </row>
    <row r="17">
      <c r="A17" s="39" t="inlineStr">
        <is>
          <t>7.11</t>
        </is>
      </c>
      <c r="B17" s="40" t="inlineStr">
        <is>
          <t>Opisy podatności z ocenami krytyczności</t>
        </is>
      </c>
      <c r="C17" s="35" t="inlineStr">
        <is>
          <t>Not Started</t>
        </is>
      </c>
      <c r="D17" s="41" t="inlineStr">
        <is>
          <t>CRITICAL</t>
        </is>
      </c>
      <c r="E17" s="42" t="n"/>
      <c r="F17" s="79" t="n"/>
      <c r="G17" s="79" t="n"/>
      <c r="H17" s="44" t="inlineStr">
        <is>
          <t>RTS Annex V(c)</t>
        </is>
      </c>
      <c r="I17" s="45" t="n"/>
      <c r="J17" s="35" t="n"/>
    </row>
    <row r="18">
      <c r="A18" s="39" t="inlineStr">
        <is>
          <t>7.12</t>
        </is>
      </c>
      <c r="B18" s="40" t="inlineStr">
        <is>
          <t>Analiza przyczyn źródłowych udanych ataków</t>
        </is>
      </c>
      <c r="C18" s="35" t="inlineStr">
        <is>
          <t>Not Started</t>
        </is>
      </c>
      <c r="D18" s="41" t="inlineStr">
        <is>
          <t>CRITICAL</t>
        </is>
      </c>
      <c r="E18" s="42" t="n"/>
      <c r="F18" s="79" t="n"/>
      <c r="G18" s="79" t="n"/>
      <c r="H18" s="44" t="inlineStr">
        <is>
          <t>RTS Annex V(c)</t>
        </is>
      </c>
      <c r="I18" s="45" t="n"/>
      <c r="J18" s="35" t="n"/>
    </row>
    <row r="19">
      <c r="A19" s="39" t="inlineStr">
        <is>
          <t>7.13</t>
        </is>
      </c>
      <c r="B19" s="40" t="inlineStr">
        <is>
          <t>Rekomendacje remediacji z priorytetem</t>
        </is>
      </c>
      <c r="C19" s="35" t="inlineStr">
        <is>
          <t>Not Started</t>
        </is>
      </c>
      <c r="D19" s="41" t="inlineStr">
        <is>
          <t>CRITICAL</t>
        </is>
      </c>
      <c r="E19" s="42" t="n"/>
      <c r="F19" s="79" t="n"/>
      <c r="G19" s="79" t="n"/>
      <c r="H19" s="44" t="inlineStr">
        <is>
          <t>RTS Annex V(c)</t>
        </is>
      </c>
      <c r="I19" s="45" t="n"/>
      <c r="J19" s="35" t="n"/>
    </row>
    <row r="20">
      <c r="A20" s="39" t="inlineStr">
        <is>
          <t>7.14</t>
        </is>
      </c>
      <c r="B20" s="40" t="inlineStr">
        <is>
          <t>Złożony do zespołu kontrolnego i managerów testów</t>
        </is>
      </c>
      <c r="C20" s="35" t="inlineStr">
        <is>
          <t>Not Started</t>
        </is>
      </c>
      <c r="D20" s="41" t="inlineStr">
        <is>
          <t>CRITICAL</t>
        </is>
      </c>
      <c r="E20" s="42" t="n"/>
      <c r="F20" s="79" t="n"/>
      <c r="G20" s="79" t="n"/>
      <c r="H20" s="44" t="inlineStr">
        <is>
          <t>RTS Art. 12(2); RTS Art. 12(3)</t>
        </is>
      </c>
      <c r="I20" s="45" t="n"/>
      <c r="J20" s="35" t="n"/>
    </row>
    <row r="21">
      <c r="A21" s="39" t="inlineStr">
        <is>
          <t>7.15</t>
        </is>
      </c>
      <c r="B21" s="40" t="inlineStr">
        <is>
          <t>Dla każdego kroku ataku: wykryte działania i odpowiadające wpisy logów</t>
        </is>
      </c>
      <c r="C21" s="35" t="inlineStr">
        <is>
          <t>Not Started</t>
        </is>
      </c>
      <c r="D21" s="41" t="inlineStr">
        <is>
          <t>CRITICAL</t>
        </is>
      </c>
      <c r="E21" s="42" t="n"/>
      <c r="F21" s="79" t="n"/>
      <c r="G21" s="79" t="n"/>
      <c r="H21" s="44" t="inlineStr">
        <is>
          <t>RTS Art. 12(4); RTS Annex VI</t>
        </is>
      </c>
      <c r="I21" s="45" t="n"/>
      <c r="J21" s="35" t="n"/>
    </row>
    <row r="22">
      <c r="A22" s="39" t="inlineStr">
        <is>
          <t>7.16</t>
        </is>
      </c>
      <c r="B22" s="40" t="inlineStr">
        <is>
          <t>Ocena ustaleń i rekomendacji testerów</t>
        </is>
      </c>
      <c r="C22" s="35" t="inlineStr">
        <is>
          <t>Not Started</t>
        </is>
      </c>
      <c r="D22" s="46" t="inlineStr">
        <is>
          <t>HIGH</t>
        </is>
      </c>
      <c r="E22" s="42" t="n"/>
      <c r="F22" s="79" t="n"/>
      <c r="G22" s="79" t="n"/>
      <c r="H22" s="44" t="inlineStr">
        <is>
          <t>RTS Annex VI</t>
        </is>
      </c>
      <c r="I22" s="45" t="n"/>
      <c r="J22" s="35" t="n"/>
    </row>
    <row r="23">
      <c r="A23" s="39" t="inlineStr">
        <is>
          <t>7.17</t>
        </is>
      </c>
      <c r="B23" s="40" t="inlineStr">
        <is>
          <t>Dowody ataków zebrane przez blue team</t>
        </is>
      </c>
      <c r="C23" s="35" t="inlineStr">
        <is>
          <t>Not Started</t>
        </is>
      </c>
      <c r="D23" s="46" t="inlineStr">
        <is>
          <t>HIGH</t>
        </is>
      </c>
      <c r="E23" s="42" t="n"/>
      <c r="F23" s="79" t="n"/>
      <c r="G23" s="79" t="n"/>
      <c r="H23" s="44" t="inlineStr">
        <is>
          <t>RTS Annex VI</t>
        </is>
      </c>
      <c r="I23" s="45" t="n"/>
      <c r="J23" s="35" t="n"/>
    </row>
    <row r="24">
      <c r="A24" s="39" t="inlineStr">
        <is>
          <t>7.18</t>
        </is>
      </c>
      <c r="B24" s="40" t="inlineStr">
        <is>
          <t>Analiza przyczyn źródłowych blue team</t>
        </is>
      </c>
      <c r="C24" s="35" t="inlineStr">
        <is>
          <t>Not Started</t>
        </is>
      </c>
      <c r="D24" s="46" t="inlineStr">
        <is>
          <t>HIGH</t>
        </is>
      </c>
      <c r="E24" s="42" t="n"/>
      <c r="F24" s="79" t="n"/>
      <c r="G24" s="79" t="n"/>
      <c r="H24" s="44" t="inlineStr">
        <is>
          <t>RTS Annex VI</t>
        </is>
      </c>
      <c r="I24" s="45" t="n"/>
      <c r="J24" s="35" t="n"/>
    </row>
    <row r="25">
      <c r="A25" s="39" t="inlineStr">
        <is>
          <t>7.19</t>
        </is>
      </c>
      <c r="B25" s="40" t="inlineStr">
        <is>
          <t>Wnioski i potencjał usprawnień</t>
        </is>
      </c>
      <c r="C25" s="35" t="inlineStr">
        <is>
          <t>Not Started</t>
        </is>
      </c>
      <c r="D25" s="46" t="inlineStr">
        <is>
          <t>HIGH</t>
        </is>
      </c>
      <c r="E25" s="42" t="n"/>
      <c r="F25" s="79" t="n"/>
      <c r="G25" s="79" t="n"/>
      <c r="H25" s="44" t="inlineStr">
        <is>
          <t>RTS Annex VI</t>
        </is>
      </c>
      <c r="I25" s="45" t="n"/>
      <c r="J25" s="35" t="n"/>
    </row>
    <row r="26">
      <c r="A26" s="39" t="inlineStr">
        <is>
          <t>7.20</t>
        </is>
      </c>
      <c r="B26" s="40" t="inlineStr">
        <is>
          <t>Lista tematów purple teamingu</t>
        </is>
      </c>
      <c r="C26" s="35" t="inlineStr">
        <is>
          <t>Not Started</t>
        </is>
      </c>
      <c r="D26" s="41" t="inlineStr">
        <is>
          <t>CRITICAL</t>
        </is>
      </c>
      <c r="E26" s="42" t="n"/>
      <c r="F26" s="79" t="n"/>
      <c r="G26" s="79" t="n"/>
      <c r="H26" s="44" t="inlineStr">
        <is>
          <t>RTS Annex VI</t>
        </is>
      </c>
      <c r="I26" s="45" t="n"/>
      <c r="J26" s="35" t="n"/>
    </row>
    <row r="27">
      <c r="A27" s="39" t="inlineStr">
        <is>
          <t>7.21</t>
        </is>
      </c>
      <c r="B27" s="40" t="inlineStr">
        <is>
          <t>Złożony testerom i managerom testów</t>
        </is>
      </c>
      <c r="C27" s="35" t="inlineStr">
        <is>
          <t>Not Started</t>
        </is>
      </c>
      <c r="D27" s="41" t="inlineStr">
        <is>
          <t>CRITICAL</t>
        </is>
      </c>
      <c r="E27" s="42" t="n"/>
      <c r="F27" s="79" t="n"/>
      <c r="G27" s="79" t="n"/>
      <c r="H27" s="44" t="inlineStr">
        <is>
          <t>RTS Art. 12(4)</t>
        </is>
      </c>
      <c r="I27" s="45" t="n"/>
      <c r="J27" s="35" t="n"/>
    </row>
    <row r="28">
      <c r="A28" s="48" t="inlineStr">
        <is>
          <t>7C: Purple teaming (obowiązkowy - w ciągu 10 tygodni od zakończenia testów aktywnych)</t>
        </is>
      </c>
      <c r="B28" s="76" t="n"/>
      <c r="C28" s="76" t="n"/>
      <c r="D28" s="76" t="n"/>
      <c r="E28" s="76" t="n"/>
      <c r="F28" s="76" t="n"/>
      <c r="G28" s="76" t="n"/>
      <c r="H28" s="76" t="n"/>
      <c r="I28" s="76" t="n"/>
      <c r="J28" s="77" t="n"/>
    </row>
    <row r="29">
      <c r="A29" s="39" t="inlineStr">
        <is>
          <t>7.22</t>
        </is>
      </c>
      <c r="B29" s="40" t="inlineStr">
        <is>
          <t>Ćwiczenie odtworzenia: blue i red team przechodzą przez działania ataku i obrony</t>
        </is>
      </c>
      <c r="C29" s="35" t="inlineStr">
        <is>
          <t>Not Started</t>
        </is>
      </c>
      <c r="D29" s="41" t="inlineStr">
        <is>
          <t>CRITICAL</t>
        </is>
      </c>
      <c r="E29" s="42" t="n"/>
      <c r="F29" s="79" t="n"/>
      <c r="G29" s="79" t="n"/>
      <c r="H29" s="44" t="inlineStr">
        <is>
          <t>RTS Art. 12(5)</t>
        </is>
      </c>
      <c r="I29" s="45" t="n"/>
      <c r="J29" s="35" t="n"/>
    </row>
    <row r="30">
      <c r="A30" s="39" t="inlineStr">
        <is>
          <t>7.23</t>
        </is>
      </c>
      <c r="B30" s="40" t="inlineStr">
        <is>
          <t>Purple teaming na wspólnie zidentyfikowane tematy, w tym:</t>
        </is>
      </c>
      <c r="C30" s="35" t="inlineStr">
        <is>
          <t>Not Started</t>
        </is>
      </c>
      <c r="D30" s="41" t="inlineStr">
        <is>
          <t>CRITICAL</t>
        </is>
      </c>
      <c r="E30" s="42" t="n"/>
      <c r="F30" s="79" t="n"/>
      <c r="G30" s="79" t="n"/>
      <c r="H30" s="44" t="inlineStr">
        <is>
          <t>RTS Art. 12(5); TIBER-EU Purple Teaming Guidance</t>
        </is>
      </c>
      <c r="I30" s="45" t="n"/>
      <c r="J30" s="35" t="n"/>
    </row>
    <row r="31">
      <c r="A31" s="39" t="inlineStr">
        <is>
          <t>7.24</t>
        </is>
      </c>
      <c r="B31" s="40" t="inlineStr">
        <is>
          <t>Dyskusja table-top alternatywnych scenariuszy</t>
        </is>
      </c>
      <c r="C31" s="35" t="inlineStr">
        <is>
          <t>Not Started</t>
        </is>
      </c>
      <c r="D31" s="46" t="inlineStr">
        <is>
          <t>HIGH</t>
        </is>
      </c>
      <c r="E31" s="42" t="n"/>
      <c r="F31" s="79" t="n"/>
      <c r="G31" s="79" t="n"/>
      <c r="H31" s="44" t="inlineStr">
        <is>
          <t>TIBER-EU Purple Teaming Guidance</t>
        </is>
      </c>
      <c r="I31" s="45" t="n"/>
      <c r="J31" s="35" t="n"/>
    </row>
    <row r="32">
      <c r="A32" s="39" t="inlineStr">
        <is>
          <t>7.25</t>
        </is>
      </c>
      <c r="B32" s="40" t="inlineStr">
        <is>
          <t>Ponowna eksploracja scenariuszy ataku na systemach produkcyjnych</t>
        </is>
      </c>
      <c r="C32" s="35" t="inlineStr">
        <is>
          <t>Not Started</t>
        </is>
      </c>
      <c r="D32" s="46" t="inlineStr">
        <is>
          <t>HIGH</t>
        </is>
      </c>
      <c r="E32" s="42" t="n"/>
      <c r="F32" s="79" t="n"/>
      <c r="G32" s="79" t="n"/>
      <c r="H32" s="44" t="inlineStr">
        <is>
          <t>TIBER-EU Purple Teaming Guidance</t>
        </is>
      </c>
      <c r="I32" s="45" t="n"/>
      <c r="J32" s="35" t="n"/>
    </row>
    <row r="33">
      <c r="A33" s="26" t="n"/>
      <c r="B33" s="47" t="inlineStr">
        <is>
          <t>WSKAZÓWKA: Purple teaming to nie debrief ze slajdami. To praktyczne ćwiczenie techniczne. Skuteczne sesje purple team obejmują blue team siedzący obok red teamu, odtwarzający ścieżki ataków w czasie rzeczywistym i dostrajający detekcje na żywo.</t>
        </is>
      </c>
      <c r="C33" s="26" t="n"/>
      <c r="D33" s="26" t="n"/>
      <c r="E33" s="26" t="n"/>
      <c r="F33" s="26" t="n"/>
      <c r="G33" s="26" t="n"/>
      <c r="H33" s="26" t="n"/>
      <c r="I33" s="26" t="n"/>
      <c r="J33" s="26" t="n"/>
    </row>
    <row r="34">
      <c r="A34" s="39" t="inlineStr">
        <is>
          <t>7.26</t>
        </is>
      </c>
      <c r="B34" s="40" t="inlineStr">
        <is>
          <t>Eksploracja alternatywnych scenariuszy na systemach produkcyjnych</t>
        </is>
      </c>
      <c r="C34" s="35" t="inlineStr">
        <is>
          <t>Not Started</t>
        </is>
      </c>
      <c r="D34" s="51" t="inlineStr">
        <is>
          <t>MEDIUM</t>
        </is>
      </c>
      <c r="E34" s="42" t="n"/>
      <c r="F34" s="79" t="n"/>
      <c r="G34" s="79" t="n"/>
      <c r="H34" s="44" t="inlineStr">
        <is>
          <t>TIBER-EU Purple Teaming Guidance</t>
        </is>
      </c>
      <c r="I34" s="45" t="n"/>
      <c r="J34" s="35" t="n"/>
    </row>
    <row r="35">
      <c r="A35" s="39" t="inlineStr">
        <is>
          <t>7.27</t>
        </is>
      </c>
      <c r="B35" s="40" t="inlineStr">
        <is>
          <t>Opracowanie proof-of-concept dla nietestowanych wektorów</t>
        </is>
      </c>
      <c r="C35" s="35" t="inlineStr">
        <is>
          <t>Not Started</t>
        </is>
      </c>
      <c r="D35" s="51" t="inlineStr">
        <is>
          <t>MEDIUM</t>
        </is>
      </c>
      <c r="E35" s="42" t="n"/>
      <c r="F35" s="79" t="n"/>
      <c r="G35" s="79" t="n"/>
      <c r="H35" s="44" t="inlineStr">
        <is>
          <t>TIBER-EU Purple Teaming Guidance</t>
        </is>
      </c>
      <c r="I35" s="45" t="n"/>
      <c r="J35" s="35" t="n"/>
    </row>
    <row r="36">
      <c r="A36" s="39" t="inlineStr">
        <is>
          <t>7.28</t>
        </is>
      </c>
      <c r="B36" s="40" t="inlineStr">
        <is>
          <t>Dyskusja przewidywanych środków remediacji</t>
        </is>
      </c>
      <c r="C36" s="35" t="inlineStr">
        <is>
          <t>Not Started</t>
        </is>
      </c>
      <c r="D36" s="46" t="inlineStr">
        <is>
          <t>HIGH</t>
        </is>
      </c>
      <c r="E36" s="42" t="n"/>
      <c r="F36" s="79" t="n"/>
      <c r="G36" s="79" t="n"/>
      <c r="H36" s="44" t="inlineStr">
        <is>
          <t>TIBER-EU Purple Teaming Guidance</t>
        </is>
      </c>
      <c r="I36" s="45" t="n"/>
      <c r="J36" s="35" t="n"/>
    </row>
    <row r="37">
      <c r="A37" s="39" t="inlineStr">
        <is>
          <t>7.29</t>
        </is>
      </c>
      <c r="B37" s="40" t="inlineStr">
        <is>
          <t>Scenariusze ćwiczeń ciągłości działania</t>
        </is>
      </c>
      <c r="C37" s="35" t="inlineStr">
        <is>
          <t>Not Started</t>
        </is>
      </c>
      <c r="D37" s="51" t="inlineStr">
        <is>
          <t>MEDIUM</t>
        </is>
      </c>
      <c r="E37" s="42" t="n"/>
      <c r="F37" s="79" t="n"/>
      <c r="G37" s="79" t="n"/>
      <c r="H37" s="44" t="inlineStr">
        <is>
          <t>TIBER-EU Purple Teaming Guidance</t>
        </is>
      </c>
      <c r="I37" s="45" t="n"/>
      <c r="J37" s="35" t="n"/>
    </row>
    <row r="38">
      <c r="A38" s="39" t="inlineStr">
        <is>
          <t>7.30</t>
        </is>
      </c>
      <c r="B38" s="40" t="inlineStr">
        <is>
          <t>Wszystkie strony wymieniają informację zwrotną</t>
        </is>
      </c>
      <c r="C38" s="35" t="inlineStr">
        <is>
          <t>Not Started</t>
        </is>
      </c>
      <c r="D38" s="41" t="inlineStr">
        <is>
          <t>CRITICAL</t>
        </is>
      </c>
      <c r="E38" s="42" t="n"/>
      <c r="F38" s="79" t="n"/>
      <c r="G38" s="79" t="n"/>
      <c r="H38" s="44" t="inlineStr">
        <is>
          <t>RTS Art. 12(6)</t>
        </is>
      </c>
      <c r="I38" s="45" t="n"/>
      <c r="J38" s="35" t="n"/>
    </row>
    <row r="39">
      <c r="A39" s="39" t="inlineStr">
        <is>
          <t>7.31</t>
        </is>
      </c>
      <c r="B39" s="40" t="inlineStr">
        <is>
          <t>Managerowie testów mogą przekazać opinię</t>
        </is>
      </c>
      <c r="C39" s="35" t="inlineStr">
        <is>
          <t>Not Started</t>
        </is>
      </c>
      <c r="D39" s="51" t="inlineStr">
        <is>
          <t>MEDIUM</t>
        </is>
      </c>
      <c r="E39" s="42" t="n"/>
      <c r="F39" s="79" t="n"/>
      <c r="G39" s="79" t="n"/>
      <c r="H39" s="44" t="inlineStr">
        <is>
          <t>RTS Art. 12(6)</t>
        </is>
      </c>
      <c r="I39" s="45" t="n"/>
      <c r="J39" s="35" t="n"/>
    </row>
    <row r="40">
      <c r="A40" s="39" t="inlineStr">
        <is>
          <t>7.32</t>
        </is>
      </c>
      <c r="B40" s="40" t="inlineStr">
        <is>
          <t>Przeprowadzono sesję informacji zwrotnej 360 stopni</t>
        </is>
      </c>
      <c r="C40" s="35" t="inlineStr">
        <is>
          <t>Not Started</t>
        </is>
      </c>
      <c r="D40" s="46" t="inlineStr">
        <is>
          <t>HIGH</t>
        </is>
      </c>
      <c r="E40" s="42" t="n"/>
      <c r="F40" s="79" t="n"/>
      <c r="G40" s="79" t="n"/>
      <c r="H40" s="44" t="inlineStr">
        <is>
          <t>RTS Art. 12(6); TIBER-EU Section 6.3</t>
        </is>
      </c>
      <c r="I40" s="45" t="n"/>
      <c r="J40" s="35" t="n"/>
    </row>
    <row r="41">
      <c r="A41" s="26" t="n"/>
      <c r="B41" s="47" t="inlineStr">
        <is>
          <t>WSKAZÓWKA: Purple teaming to źródło prawdziwej wartości. Operacja red team ujawnia luki - ale purple teaming transferuje wiedzę do Twoich obrońców. Jeśli Twój blue team nie rozumie JAK atak zadziałał, nie będą wiedzieli, co naprawdę naprawić.</t>
        </is>
      </c>
      <c r="C41" s="26" t="n"/>
      <c r="D41" s="26" t="n"/>
      <c r="E41" s="26" t="n"/>
      <c r="F41" s="26" t="n"/>
      <c r="G41" s="26" t="n"/>
      <c r="H41" s="26" t="n"/>
      <c r="I41" s="26" t="n"/>
      <c r="J41" s="26" t="n"/>
    </row>
    <row r="42">
      <c r="A42" s="48" t="inlineStr">
        <is>
          <t>7D: Raport podsumowujący (Załącznik VII) - w ciągu 8 tygodni od powiadomienia o ocenie TM</t>
        </is>
      </c>
      <c r="B42" s="76" t="n"/>
      <c r="C42" s="76" t="n"/>
      <c r="D42" s="76" t="n"/>
      <c r="E42" s="76" t="n"/>
      <c r="F42" s="76" t="n"/>
      <c r="G42" s="76" t="n"/>
      <c r="H42" s="76" t="n"/>
      <c r="I42" s="76" t="n"/>
      <c r="J42" s="77" t="n"/>
    </row>
    <row r="43">
      <c r="A43" s="39" t="inlineStr">
        <is>
          <t>7.33</t>
        </is>
      </c>
      <c r="B43" s="40" t="inlineStr">
        <is>
          <t>Udokumentowane zaangażowane strony</t>
        </is>
      </c>
      <c r="C43" s="35" t="inlineStr">
        <is>
          <t>Not Started</t>
        </is>
      </c>
      <c r="D43" s="41" t="inlineStr">
        <is>
          <t>CRITICAL</t>
        </is>
      </c>
      <c r="E43" s="42" t="n"/>
      <c r="F43" s="79" t="n"/>
      <c r="G43" s="79" t="n"/>
      <c r="H43" s="44" t="inlineStr">
        <is>
          <t>RTS Art. 12(7); RTS Annex VII(a)</t>
        </is>
      </c>
      <c r="I43" s="45" t="n"/>
      <c r="J43" s="35" t="n"/>
    </row>
    <row r="44">
      <c r="A44" s="39" t="inlineStr">
        <is>
          <t>7.34</t>
        </is>
      </c>
      <c r="B44" s="40" t="inlineStr">
        <is>
          <t>Udokumentowany plan projektu</t>
        </is>
      </c>
      <c r="C44" s="35" t="inlineStr">
        <is>
          <t>Not Started</t>
        </is>
      </c>
      <c r="D44" s="41" t="inlineStr">
        <is>
          <t>CRITICAL</t>
        </is>
      </c>
      <c r="E44" s="42" t="n"/>
      <c r="F44" s="79" t="n"/>
      <c r="G44" s="79" t="n"/>
      <c r="H44" s="44" t="inlineStr">
        <is>
          <t>RTS Annex VII(b)</t>
        </is>
      </c>
      <c r="I44" s="45" t="n"/>
      <c r="J44" s="35" t="n"/>
    </row>
    <row r="45">
      <c r="A45" s="39" t="inlineStr">
        <is>
          <t>7.35</t>
        </is>
      </c>
      <c r="B45" s="40" t="inlineStr">
        <is>
          <t>Zwalidowany zakres z uzasadnieniem CIF</t>
        </is>
      </c>
      <c r="C45" s="35" t="inlineStr">
        <is>
          <t>Not Started</t>
        </is>
      </c>
      <c r="D45" s="41" t="inlineStr">
        <is>
          <t>CRITICAL</t>
        </is>
      </c>
      <c r="E45" s="42" t="n"/>
      <c r="F45" s="79" t="n"/>
      <c r="G45" s="79" t="n"/>
      <c r="H45" s="44" t="inlineStr">
        <is>
          <t>RTS Annex VII(c)</t>
        </is>
      </c>
      <c r="I45" s="45" t="n"/>
      <c r="J45" s="35" t="n"/>
    </row>
    <row r="46">
      <c r="A46" s="39" t="inlineStr">
        <is>
          <t>7.36</t>
        </is>
      </c>
      <c r="B46" s="40" t="inlineStr">
        <is>
          <t>Wybrane scenariusze i odstępstwa od TTIR</t>
        </is>
      </c>
      <c r="C46" s="35" t="inlineStr">
        <is>
          <t>Not Started</t>
        </is>
      </c>
      <c r="D46" s="41" t="inlineStr">
        <is>
          <t>CRITICAL</t>
        </is>
      </c>
      <c r="E46" s="42" t="n"/>
      <c r="F46" s="79" t="n"/>
      <c r="G46" s="79" t="n"/>
      <c r="H46" s="44" t="inlineStr">
        <is>
          <t>RTS Annex VII(d)</t>
        </is>
      </c>
      <c r="I46" s="45" t="n"/>
      <c r="J46" s="35" t="n"/>
    </row>
    <row r="47">
      <c r="A47" s="39" t="inlineStr">
        <is>
          <t>7.37</t>
        </is>
      </c>
      <c r="B47" s="40" t="inlineStr">
        <is>
          <t>Zrealizowane ścieżki ataków i zastosowane TTP</t>
        </is>
      </c>
      <c r="C47" s="35" t="inlineStr">
        <is>
          <t>Not Started</t>
        </is>
      </c>
      <c r="D47" s="41" t="inlineStr">
        <is>
          <t>CRITICAL</t>
        </is>
      </c>
      <c r="E47" s="42" t="n"/>
      <c r="F47" s="79" t="n"/>
      <c r="G47" s="79" t="n"/>
      <c r="H47" s="44" t="inlineStr">
        <is>
          <t>RTS Annex VII(e)</t>
        </is>
      </c>
      <c r="I47" s="45" t="n"/>
      <c r="J47" s="35" t="n"/>
    </row>
    <row r="48">
      <c r="A48" s="39" t="inlineStr">
        <is>
          <t>7.38</t>
        </is>
      </c>
      <c r="B48" s="40" t="inlineStr">
        <is>
          <t>Przechwycone i nieprzechwycone flagi</t>
        </is>
      </c>
      <c r="C48" s="35" t="inlineStr">
        <is>
          <t>Not Started</t>
        </is>
      </c>
      <c r="D48" s="41" t="inlineStr">
        <is>
          <t>CRITICAL</t>
        </is>
      </c>
      <c r="E48" s="42" t="n"/>
      <c r="F48" s="79" t="n"/>
      <c r="G48" s="79" t="n"/>
      <c r="H48" s="44" t="inlineStr">
        <is>
          <t>RTS Annex VII(f)</t>
        </is>
      </c>
      <c r="I48" s="45" t="n"/>
      <c r="J48" s="35" t="n"/>
    </row>
    <row r="49">
      <c r="A49" s="39" t="inlineStr">
        <is>
          <t>7.39</t>
        </is>
      </c>
      <c r="B49" s="40" t="inlineStr">
        <is>
          <t>Odstępstwa od planu testów red team (jeśli występują)</t>
        </is>
      </c>
      <c r="C49" s="35" t="inlineStr">
        <is>
          <t>Not Started</t>
        </is>
      </c>
      <c r="D49" s="41" t="inlineStr">
        <is>
          <t>CRITICAL</t>
        </is>
      </c>
      <c r="E49" s="42" t="n"/>
      <c r="F49" s="79" t="n"/>
      <c r="G49" s="79" t="n"/>
      <c r="H49" s="44" t="inlineStr">
        <is>
          <t>RTS Annex VII(g)</t>
        </is>
      </c>
      <c r="I49" s="45" t="n"/>
      <c r="J49" s="35" t="n"/>
    </row>
    <row r="50">
      <c r="A50" s="39" t="inlineStr">
        <is>
          <t>7.40</t>
        </is>
      </c>
      <c r="B50" s="40" t="inlineStr">
        <is>
          <t>Detekcje blue team</t>
        </is>
      </c>
      <c r="C50" s="35" t="inlineStr">
        <is>
          <t>Not Started</t>
        </is>
      </c>
      <c r="D50" s="41" t="inlineStr">
        <is>
          <t>CRITICAL</t>
        </is>
      </c>
      <c r="E50" s="42" t="n"/>
      <c r="F50" s="79" t="n"/>
      <c r="G50" s="79" t="n"/>
      <c r="H50" s="44" t="inlineStr">
        <is>
          <t>RTS Annex VII(h)</t>
        </is>
      </c>
      <c r="I50" s="45" t="n"/>
      <c r="J50" s="35" t="n"/>
    </row>
    <row r="51">
      <c r="A51" s="39" t="inlineStr">
        <is>
          <t>7.41</t>
        </is>
      </c>
      <c r="B51" s="40" t="inlineStr">
        <is>
          <t>Przeprowadzony purple teaming (jeśli w fazie testowej)</t>
        </is>
      </c>
      <c r="C51" s="35" t="inlineStr">
        <is>
          <t>Not Started</t>
        </is>
      </c>
      <c r="D51" s="41" t="inlineStr">
        <is>
          <t>CRITICAL</t>
        </is>
      </c>
      <c r="E51" s="42" t="n"/>
      <c r="F51" s="79" t="n"/>
      <c r="G51" s="79" t="n"/>
      <c r="H51" s="44" t="inlineStr">
        <is>
          <t>RTS Annex VII(i)</t>
        </is>
      </c>
      <c r="I51" s="45" t="n"/>
      <c r="J51" s="35" t="n"/>
    </row>
    <row r="52">
      <c r="A52" s="39" t="inlineStr">
        <is>
          <t>7.42</t>
        </is>
      </c>
      <c r="B52" s="40" t="inlineStr">
        <is>
          <t>Udokumentowane leg-upy</t>
        </is>
      </c>
      <c r="C52" s="35" t="inlineStr">
        <is>
          <t>Not Started</t>
        </is>
      </c>
      <c r="D52" s="41" t="inlineStr">
        <is>
          <t>CRITICAL</t>
        </is>
      </c>
      <c r="E52" s="42" t="n"/>
      <c r="F52" s="79" t="n"/>
      <c r="G52" s="79" t="n"/>
      <c r="H52" s="44" t="inlineStr">
        <is>
          <t>RTS Annex VII(j)</t>
        </is>
      </c>
      <c r="I52" s="45" t="n"/>
      <c r="J52" s="35" t="n"/>
    </row>
    <row r="53">
      <c r="A53" s="39" t="inlineStr">
        <is>
          <t>7.43</t>
        </is>
      </c>
      <c r="B53" s="40" t="inlineStr">
        <is>
          <t>Podjęte środki zarządzania ryzykiem</t>
        </is>
      </c>
      <c r="C53" s="35" t="inlineStr">
        <is>
          <t>Not Started</t>
        </is>
      </c>
      <c r="D53" s="41" t="inlineStr">
        <is>
          <t>CRITICAL</t>
        </is>
      </c>
      <c r="E53" s="42" t="n"/>
      <c r="F53" s="79" t="n"/>
      <c r="G53" s="79" t="n"/>
      <c r="H53" s="44" t="inlineStr">
        <is>
          <t>RTS Annex VII(k)</t>
        </is>
      </c>
      <c r="I53" s="45" t="n"/>
      <c r="J53" s="35" t="n"/>
    </row>
    <row r="54">
      <c r="A54" s="39" t="inlineStr">
        <is>
          <t>7.44</t>
        </is>
      </c>
      <c r="B54" s="40" t="inlineStr">
        <is>
          <t>Podatności z ocenami krytyczności</t>
        </is>
      </c>
      <c r="C54" s="35" t="inlineStr">
        <is>
          <t>Not Started</t>
        </is>
      </c>
      <c r="D54" s="41" t="inlineStr">
        <is>
          <t>CRITICAL</t>
        </is>
      </c>
      <c r="E54" s="42" t="n"/>
      <c r="F54" s="79" t="n"/>
      <c r="G54" s="79" t="n"/>
      <c r="H54" s="44" t="inlineStr">
        <is>
          <t>RTS Annex VII(l)</t>
        </is>
      </c>
      <c r="I54" s="45" t="n"/>
      <c r="J54" s="35" t="n"/>
    </row>
    <row r="55">
      <c r="A55" s="39" t="inlineStr">
        <is>
          <t>7.45</t>
        </is>
      </c>
      <c r="B55" s="40" t="inlineStr">
        <is>
          <t>Analiza przyczyn źródłowych udanych ataków</t>
        </is>
      </c>
      <c r="C55" s="35" t="inlineStr">
        <is>
          <t>Not Started</t>
        </is>
      </c>
      <c r="D55" s="41" t="inlineStr">
        <is>
          <t>CRITICAL</t>
        </is>
      </c>
      <c r="E55" s="42" t="n"/>
      <c r="F55" s="79" t="n"/>
      <c r="G55" s="79" t="n"/>
      <c r="H55" s="44" t="inlineStr">
        <is>
          <t>RTS Annex VII(m)</t>
        </is>
      </c>
      <c r="I55" s="45" t="n"/>
      <c r="J55" s="35" t="n"/>
    </row>
    <row r="56">
      <c r="A56" s="39" t="inlineStr">
        <is>
          <t>7.46</t>
        </is>
      </c>
      <c r="B56" s="40" t="inlineStr">
        <is>
          <t>Ogólny plan remediacji</t>
        </is>
      </c>
      <c r="C56" s="35" t="inlineStr">
        <is>
          <t>Not Started</t>
        </is>
      </c>
      <c r="D56" s="41" t="inlineStr">
        <is>
          <t>CRITICAL</t>
        </is>
      </c>
      <c r="E56" s="42" t="n"/>
      <c r="F56" s="79" t="n"/>
      <c r="G56" s="79" t="n"/>
      <c r="H56" s="44" t="inlineStr">
        <is>
          <t>RTS Annex VII(n)</t>
        </is>
      </c>
      <c r="I56" s="45" t="n"/>
      <c r="J56" s="35" t="n"/>
    </row>
    <row r="57">
      <c r="A57" s="39" t="inlineStr">
        <is>
          <t>7.47</t>
        </is>
      </c>
      <c r="B57" s="40" t="inlineStr">
        <is>
          <t>Wnioski z informacji zwrotnej</t>
        </is>
      </c>
      <c r="C57" s="35" t="inlineStr">
        <is>
          <t>Not Started</t>
        </is>
      </c>
      <c r="D57" s="46" t="inlineStr">
        <is>
          <t>HIGH</t>
        </is>
      </c>
      <c r="E57" s="42" t="n"/>
      <c r="F57" s="79" t="n"/>
      <c r="G57" s="79" t="n"/>
      <c r="H57" s="44" t="inlineStr">
        <is>
          <t>RTS Annex VII(o)</t>
        </is>
      </c>
      <c r="I57" s="45" t="n"/>
      <c r="J57" s="35" t="n"/>
    </row>
    <row r="58">
      <c r="A58" s="39" t="inlineStr">
        <is>
          <t>7.48</t>
        </is>
      </c>
      <c r="B58" s="40" t="inlineStr">
        <is>
          <t>Złożony do organu TLPT</t>
        </is>
      </c>
      <c r="C58" s="35" t="inlineStr">
        <is>
          <t>Not Started</t>
        </is>
      </c>
      <c r="D58" s="41" t="inlineStr">
        <is>
          <t>CRITICAL</t>
        </is>
      </c>
      <c r="E58" s="42" t="n"/>
      <c r="F58" s="79" t="n"/>
      <c r="G58" s="79" t="n"/>
      <c r="H58" s="44" t="inlineStr">
        <is>
          <t>RTS Art. 12(7); DORA Art. 26(6)</t>
        </is>
      </c>
      <c r="I58" s="45" t="n"/>
      <c r="J58" s="35" t="n"/>
    </row>
  </sheetData>
  <sheetProtection selectLockedCells="0" selectUnlockedCells="0" sheet="1" objects="0" insertRows="1" insertHyperlinks="1" autoFilter="0" scenarios="0" formatColumns="0" deleteColumns="1" insertColumns="1" pivotTables="1" deleteRows="1" formatCells="1" formatRows="0" sort="0" password="CE4B"/>
  <mergeCells count="6">
    <mergeCell ref="A1:J1"/>
    <mergeCell ref="A9:J9"/>
    <mergeCell ref="A3:J3"/>
    <mergeCell ref="A42:J42"/>
    <mergeCell ref="A4:J4"/>
    <mergeCell ref="A28:J28"/>
  </mergeCells>
  <conditionalFormatting sqref="A5:J58">
    <cfRule type="expression" priority="1" dxfId="4" stopIfTrue="1">
      <formula>$C5="N/A"</formula>
    </cfRule>
    <cfRule type="expression" priority="2" dxfId="5" stopIfTrue="1">
      <formula>AND($C5&lt;&gt;"Complete",$C5&lt;&gt;"N/A",$C5&lt;&gt;"",$F5&lt;&gt;"",$F5&lt;TODAY())</formula>
    </cfRule>
    <cfRule type="expression" priority="3" dxfId="0" stopIfTrue="1">
      <formula>$C5="Complete"</formula>
    </cfRule>
  </conditionalFormatting>
  <dataValidations count="4">
    <dataValidation sqref="C5:C58" showDropDown="0" showInputMessage="0" showErrorMessage="0" allowBlank="1" errorTitle="Invalid Status" error="Select: Not Started, In Progress, Complete, N/A" type="list">
      <formula1>"Not Started,In Progress,Complete,N/A"</formula1>
    </dataValidation>
    <dataValidation sqref="J5:J58" showDropDown="0" showInputMessage="0" showErrorMessage="0" allowBlank="1" errorTitle="Invalid Risk" error="Select: High, Medium, Low" type="list">
      <formula1>"High,Medium,Low"</formula1>
    </dataValidation>
    <dataValidation sqref="F5:F58" showDropDown="0" showInputMessage="0" showErrorMessage="1" allowBlank="1" errorTitle="Invalid Date" error="Please enter a valid date" type="date" operator="greaterThan">
      <formula1>2020-01-01</formula1>
    </dataValidation>
    <dataValidation sqref="G5:G58" showDropDown="0" showInputMessage="0" showErrorMessage="1" allowBlank="1" errorTitle="Invalid Date" error="Please enter a valid date" type="date" operator="greaterThan">
      <formula1>2020-01-01</formula1>
    </dataValidation>
  </dataValidations>
  <hyperlinks>
    <hyperlink xmlns:r="http://schemas.openxmlformats.org/officeDocument/2006/relationships" ref="H5" r:id="rId1"/>
    <hyperlink xmlns:r="http://schemas.openxmlformats.org/officeDocument/2006/relationships" ref="H6" r:id="rId2"/>
    <hyperlink xmlns:r="http://schemas.openxmlformats.org/officeDocument/2006/relationships" ref="H7" r:id="rId3"/>
    <hyperlink xmlns:r="http://schemas.openxmlformats.org/officeDocument/2006/relationships" ref="H10" r:id="rId4"/>
    <hyperlink xmlns:r="http://schemas.openxmlformats.org/officeDocument/2006/relationships" ref="H11" r:id="rId5"/>
    <hyperlink xmlns:r="http://schemas.openxmlformats.org/officeDocument/2006/relationships" ref="H12" r:id="rId6"/>
    <hyperlink xmlns:r="http://schemas.openxmlformats.org/officeDocument/2006/relationships" ref="H13" r:id="rId7"/>
    <hyperlink xmlns:r="http://schemas.openxmlformats.org/officeDocument/2006/relationships" ref="H14" r:id="rId8"/>
    <hyperlink xmlns:r="http://schemas.openxmlformats.org/officeDocument/2006/relationships" ref="H15" r:id="rId9"/>
    <hyperlink xmlns:r="http://schemas.openxmlformats.org/officeDocument/2006/relationships" ref="H16" r:id="rId10"/>
    <hyperlink xmlns:r="http://schemas.openxmlformats.org/officeDocument/2006/relationships" ref="H17" r:id="rId11"/>
    <hyperlink xmlns:r="http://schemas.openxmlformats.org/officeDocument/2006/relationships" ref="H18" r:id="rId12"/>
    <hyperlink xmlns:r="http://schemas.openxmlformats.org/officeDocument/2006/relationships" ref="H19" r:id="rId13"/>
    <hyperlink xmlns:r="http://schemas.openxmlformats.org/officeDocument/2006/relationships" ref="H20" r:id="rId14"/>
    <hyperlink xmlns:r="http://schemas.openxmlformats.org/officeDocument/2006/relationships" ref="H21" r:id="rId15"/>
    <hyperlink xmlns:r="http://schemas.openxmlformats.org/officeDocument/2006/relationships" ref="H22" r:id="rId16"/>
    <hyperlink xmlns:r="http://schemas.openxmlformats.org/officeDocument/2006/relationships" ref="H23" r:id="rId17"/>
    <hyperlink xmlns:r="http://schemas.openxmlformats.org/officeDocument/2006/relationships" ref="H24" r:id="rId18"/>
    <hyperlink xmlns:r="http://schemas.openxmlformats.org/officeDocument/2006/relationships" ref="H25" r:id="rId19"/>
    <hyperlink xmlns:r="http://schemas.openxmlformats.org/officeDocument/2006/relationships" ref="H26" r:id="rId20"/>
    <hyperlink xmlns:r="http://schemas.openxmlformats.org/officeDocument/2006/relationships" ref="H27" r:id="rId21"/>
    <hyperlink xmlns:r="http://schemas.openxmlformats.org/officeDocument/2006/relationships" ref="H29" r:id="rId22"/>
    <hyperlink xmlns:r="http://schemas.openxmlformats.org/officeDocument/2006/relationships" ref="H30" r:id="rId23"/>
    <hyperlink xmlns:r="http://schemas.openxmlformats.org/officeDocument/2006/relationships" ref="H31" r:id="rId24"/>
    <hyperlink xmlns:r="http://schemas.openxmlformats.org/officeDocument/2006/relationships" ref="H32" r:id="rId25"/>
    <hyperlink xmlns:r="http://schemas.openxmlformats.org/officeDocument/2006/relationships" ref="H34" r:id="rId26"/>
    <hyperlink xmlns:r="http://schemas.openxmlformats.org/officeDocument/2006/relationships" ref="H35" r:id="rId27"/>
    <hyperlink xmlns:r="http://schemas.openxmlformats.org/officeDocument/2006/relationships" ref="H36" r:id="rId28"/>
    <hyperlink xmlns:r="http://schemas.openxmlformats.org/officeDocument/2006/relationships" ref="H37" r:id="rId29"/>
    <hyperlink xmlns:r="http://schemas.openxmlformats.org/officeDocument/2006/relationships" ref="H38" r:id="rId30"/>
    <hyperlink xmlns:r="http://schemas.openxmlformats.org/officeDocument/2006/relationships" ref="H39" r:id="rId31"/>
    <hyperlink xmlns:r="http://schemas.openxmlformats.org/officeDocument/2006/relationships" ref="H40" r:id="rId32"/>
    <hyperlink xmlns:r="http://schemas.openxmlformats.org/officeDocument/2006/relationships" ref="H43" r:id="rId33"/>
    <hyperlink xmlns:r="http://schemas.openxmlformats.org/officeDocument/2006/relationships" ref="H44" r:id="rId34"/>
    <hyperlink xmlns:r="http://schemas.openxmlformats.org/officeDocument/2006/relationships" ref="H45" r:id="rId35"/>
    <hyperlink xmlns:r="http://schemas.openxmlformats.org/officeDocument/2006/relationships" ref="H46" r:id="rId36"/>
    <hyperlink xmlns:r="http://schemas.openxmlformats.org/officeDocument/2006/relationships" ref="H47" r:id="rId37"/>
    <hyperlink xmlns:r="http://schemas.openxmlformats.org/officeDocument/2006/relationships" ref="H48" r:id="rId38"/>
    <hyperlink xmlns:r="http://schemas.openxmlformats.org/officeDocument/2006/relationships" ref="H49" r:id="rId39"/>
    <hyperlink xmlns:r="http://schemas.openxmlformats.org/officeDocument/2006/relationships" ref="H50" r:id="rId40"/>
    <hyperlink xmlns:r="http://schemas.openxmlformats.org/officeDocument/2006/relationships" ref="H51" r:id="rId41"/>
    <hyperlink xmlns:r="http://schemas.openxmlformats.org/officeDocument/2006/relationships" ref="H52" r:id="rId42"/>
    <hyperlink xmlns:r="http://schemas.openxmlformats.org/officeDocument/2006/relationships" ref="H53" r:id="rId43"/>
    <hyperlink xmlns:r="http://schemas.openxmlformats.org/officeDocument/2006/relationships" ref="H54" r:id="rId44"/>
    <hyperlink xmlns:r="http://schemas.openxmlformats.org/officeDocument/2006/relationships" ref="H55" r:id="rId45"/>
    <hyperlink xmlns:r="http://schemas.openxmlformats.org/officeDocument/2006/relationships" ref="H56" r:id="rId46"/>
    <hyperlink xmlns:r="http://schemas.openxmlformats.org/officeDocument/2006/relationships" ref="H57" r:id="rId47"/>
    <hyperlink xmlns:r="http://schemas.openxmlformats.org/officeDocument/2006/relationships" ref="H58" r:id="rId48"/>
  </hyperlinks>
  <pageMargins left="0.75" right="0.75" top="1" bottom="1" header="0.5" footer="0.5"/>
  <pageSetup orientation="landscape" fitToHeight="0" fitToWidth="1"/>
  <headerFooter>
    <oddHeader>&amp;LAFINE | TLPT DORA Checklista gotowości&amp;RPage &amp;P of &amp;N</oddHeader>
    <oddFooter>&amp;CAFINE sp. z o.o. | afine.com</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2026-03-26T00:24:25Z</dcterms:created>
  <dcterms:modified xsi:type="dcterms:W3CDTF">2026-03-26T13:49:35Z</dcterms:modified>
</cp:coreProperties>
</file>