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drawings/vmlDrawing2.vml" ContentType="application/vnd.openxmlformats-officedocument.vmlDrawing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How to use" sheetId="1" state="visible" r:id="rId3"/>
    <sheet name="S-Curve Calculator" sheetId="2" state="visible" r:id="rId4"/>
    <sheet name="Worked Example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Gather</author>
  </authors>
  <commentList>
    <comment ref="B7" authorId="0">
      <text>
        <r>
          <rPr>
            <sz val="10"/>
            <rFont val="Arial"/>
            <family val="2"/>
          </rPr>
          <t xml:space="preserve">Enter the approved Budget at Completion for the project or package.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</xdr:colOff>
                <xdr:row>0</xdr:row>
                <xdr:rowOff>2</xdr:rowOff>
              </xdr:from>
              <xdr:to>
                <xdr:col>2</xdr:col>
                <xdr:colOff>16</xdr:colOff>
                <xdr:row>2</xdr:row>
                <xdr:rowOff>23</xdr:rowOff>
              </xdr:to>
            </anchor>
          </commentPr>
        </mc:Choice>
        <mc:Fallback/>
      </mc:AlternateContent>
    </comment>
    <comment ref="C16" authorId="0">
      <text>
        <r>
          <rPr>
            <sz val="10"/>
            <rFont val="Arial"/>
            <family val="2"/>
          </rPr>
          <t xml:space="preserve">Enter cumulative planned percent complete as 0-100. The final active period should reach 100.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</xdr:colOff>
                <xdr:row>3</xdr:row>
                <xdr:rowOff>28</xdr:rowOff>
              </xdr:from>
              <xdr:to>
                <xdr:col>2</xdr:col>
                <xdr:colOff>16</xdr:colOff>
                <xdr:row>7</xdr:row>
                <xdr:rowOff>2</xdr:rowOff>
              </xdr:to>
            </anchor>
          </commentPr>
        </mc:Choice>
        <mc:Fallback/>
      </mc:AlternateContent>
    </comment>
    <comment ref="E7" authorId="0">
      <text>
        <r>
          <rPr>
            <sz val="10"/>
            <rFont val="Arial"/>
            <family val="2"/>
          </rPr>
          <t xml:space="preserve">Cost efficiency index used for the forecast.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</xdr:colOff>
                <xdr:row>0</xdr:row>
                <xdr:rowOff>2</xdr:rowOff>
              </xdr:from>
              <xdr:to>
                <xdr:col>2</xdr:col>
                <xdr:colOff>16</xdr:colOff>
                <xdr:row>2</xdr:row>
                <xdr:rowOff>23</xdr:rowOff>
              </xdr:to>
            </anchor>
          </commentPr>
        </mc:Choice>
        <mc:Fallback/>
      </mc:AlternateContent>
    </comment>
    <comment ref="E8" authorId="0">
      <text>
        <r>
          <rPr>
            <sz val="10"/>
            <rFont val="Arial"/>
            <family val="2"/>
          </rPr>
          <t xml:space="preserve">Actual cumulative cost at the data date.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</xdr:colOff>
                <xdr:row>0</xdr:row>
                <xdr:rowOff>18</xdr:rowOff>
              </xdr:from>
              <xdr:to>
                <xdr:col>2</xdr:col>
                <xdr:colOff>16</xdr:colOff>
                <xdr:row>3</xdr:row>
                <xdr:rowOff>10</xdr:rowOff>
              </xdr:to>
            </anchor>
          </commentPr>
        </mc:Choice>
        <mc:Fallback/>
      </mc:AlternateContent>
    </comment>
    <comment ref="E9" authorId="0">
      <text>
        <r>
          <rPr>
            <sz val="10"/>
            <rFont val="Arial"/>
            <family val="2"/>
          </rPr>
          <t xml:space="preserve">Earned value at the data date.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</xdr:colOff>
                <xdr:row>0</xdr:row>
                <xdr:rowOff>18</xdr:rowOff>
              </xdr:from>
              <xdr:to>
                <xdr:col>2</xdr:col>
                <xdr:colOff>16</xdr:colOff>
                <xdr:row>3</xdr:row>
                <xdr:rowOff>10</xdr:rowOff>
              </xdr:to>
            </anchor>
          </commentPr>
        </mc:Choice>
        <mc:Fallback/>
      </mc:AlternateContent>
    </comment>
    <comment ref="E10" authorId="0">
      <text>
        <r>
          <rPr>
            <sz val="10"/>
            <rFont val="Arial"/>
            <family val="2"/>
          </rPr>
          <t xml:space="preserve">Estimate at Completion = BAC / CPI.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</xdr:colOff>
                <xdr:row>0</xdr:row>
                <xdr:rowOff>18</xdr:rowOff>
              </xdr:from>
              <xdr:to>
                <xdr:col>2</xdr:col>
                <xdr:colOff>16</xdr:colOff>
                <xdr:row>3</xdr:row>
                <xdr:rowOff>10</xdr:rowOff>
              </xdr:to>
            </anchor>
          </commentPr>
        </mc:Choice>
        <mc:Fallback/>
      </mc:AlternateContent>
    </comment>
    <comment ref="E11" authorId="0">
      <text>
        <r>
          <rPr>
            <sz val="10"/>
            <rFont val="Arial"/>
            <family val="2"/>
          </rPr>
          <t xml:space="preserve">Estimate to Complete = EAC - AC.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</xdr:colOff>
                <xdr:row>1</xdr:row>
                <xdr:rowOff>22</xdr:rowOff>
              </xdr:from>
              <xdr:to>
                <xdr:col>2</xdr:col>
                <xdr:colOff>16</xdr:colOff>
                <xdr:row>4</xdr:row>
                <xdr:rowOff>13</xdr:rowOff>
              </xdr:to>
            </anchor>
          </commentPr>
        </mc:Choice>
        <mc:Fallback/>
      </mc:AlternateContent>
    </comment>
    <comment ref="E12" authorId="0">
      <text>
        <r>
          <rPr>
            <sz val="10"/>
            <rFont val="Arial"/>
            <family val="2"/>
          </rPr>
          <t xml:space="preserve">Variance at Completion = BAC - EAC.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</xdr:colOff>
                <xdr:row>2</xdr:row>
                <xdr:rowOff>8</xdr:rowOff>
              </xdr:from>
              <xdr:to>
                <xdr:col>2</xdr:col>
                <xdr:colOff>16</xdr:colOff>
                <xdr:row>5</xdr:row>
                <xdr:rowOff>9</xdr:rowOff>
              </xdr:to>
            </anchor>
          </commentPr>
        </mc:Choice>
        <mc:Fallback/>
      </mc:AlternateContent>
    </comment>
    <comment ref="E13" authorId="0">
      <text>
        <r>
          <rPr>
            <sz val="10"/>
            <rFont val="Arial"/>
            <family val="2"/>
          </rPr>
          <t xml:space="preserve">To-Complete Performance Index = (BAC - EV) / (BAC - AC).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</xdr:colOff>
                <xdr:row>3</xdr:row>
                <xdr:rowOff>12</xdr:rowOff>
              </xdr:from>
              <xdr:to>
                <xdr:col>2</xdr:col>
                <xdr:colOff>16</xdr:colOff>
                <xdr:row>6</xdr:row>
                <xdr:rowOff>22</xdr:rowOff>
              </xdr:to>
            </anchor>
          </commentPr>
        </mc:Choice>
        <mc:Fallback/>
      </mc:AlternateContent>
    </comment>
    <comment ref="E16" authorId="0">
      <text>
        <r>
          <rPr>
            <sz val="10"/>
            <rFont val="Arial"/>
            <family val="2"/>
          </rPr>
          <t xml:space="preserve">Enter cumulative actual cost from cost records.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</xdr:colOff>
                <xdr:row>3</xdr:row>
                <xdr:rowOff>28</xdr:rowOff>
              </xdr:from>
              <xdr:to>
                <xdr:col>2</xdr:col>
                <xdr:colOff>16</xdr:colOff>
                <xdr:row>7</xdr:row>
                <xdr:rowOff>2</xdr:rowOff>
              </xdr:to>
            </anchor>
          </commentPr>
        </mc:Choice>
        <mc:Fallback/>
      </mc:AlternateContent>
    </comment>
    <comment ref="F16" authorId="0">
      <text>
        <r>
          <rPr>
            <sz val="10"/>
            <rFont val="Arial"/>
            <family val="2"/>
          </rPr>
          <t xml:space="preserve">Enter cumulative actual percent complete from site progress records.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</xdr:colOff>
                <xdr:row>3</xdr:row>
                <xdr:rowOff>28</xdr:rowOff>
              </xdr:from>
              <xdr:to>
                <xdr:col>2</xdr:col>
                <xdr:colOff>16</xdr:colOff>
                <xdr:row>7</xdr:row>
                <xdr:rowOff>2</xdr:rowOff>
              </xdr:to>
            </anchor>
          </commentPr>
        </mc:Choice>
        <mc:Fallback/>
      </mc:AlternateContent>
    </comment>
  </commentList>
</comments>
</file>

<file path=xl/comments3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Gather</author>
  </authors>
  <commentList>
    <comment ref="B7" authorId="0">
      <text>
        <r>
          <rPr>
            <sz val="10"/>
            <rFont val="Arial"/>
            <family val="2"/>
          </rPr>
          <t xml:space="preserve">Enter the approved Budget at Completion for the project or package.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</xdr:colOff>
                <xdr:row>0</xdr:row>
                <xdr:rowOff>2</xdr:rowOff>
              </xdr:from>
              <xdr:to>
                <xdr:col>2</xdr:col>
                <xdr:colOff>16</xdr:colOff>
                <xdr:row>2</xdr:row>
                <xdr:rowOff>23</xdr:rowOff>
              </xdr:to>
            </anchor>
          </commentPr>
        </mc:Choice>
        <mc:Fallback/>
      </mc:AlternateContent>
    </comment>
    <comment ref="C16" authorId="0">
      <text>
        <r>
          <rPr>
            <sz val="10"/>
            <rFont val="Arial"/>
            <family val="2"/>
          </rPr>
          <t xml:space="preserve">Enter cumulative planned percent complete as 0-100. The final active period should reach 100.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</xdr:colOff>
                <xdr:row>3</xdr:row>
                <xdr:rowOff>28</xdr:rowOff>
              </xdr:from>
              <xdr:to>
                <xdr:col>2</xdr:col>
                <xdr:colOff>16</xdr:colOff>
                <xdr:row>7</xdr:row>
                <xdr:rowOff>2</xdr:rowOff>
              </xdr:to>
            </anchor>
          </commentPr>
        </mc:Choice>
        <mc:Fallback/>
      </mc:AlternateContent>
    </comment>
    <comment ref="E7" authorId="0">
      <text>
        <r>
          <rPr>
            <sz val="10"/>
            <rFont val="Arial"/>
            <family val="2"/>
          </rPr>
          <t xml:space="preserve">Cost efficiency index used for the forecast.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</xdr:colOff>
                <xdr:row>0</xdr:row>
                <xdr:rowOff>2</xdr:rowOff>
              </xdr:from>
              <xdr:to>
                <xdr:col>2</xdr:col>
                <xdr:colOff>16</xdr:colOff>
                <xdr:row>2</xdr:row>
                <xdr:rowOff>23</xdr:rowOff>
              </xdr:to>
            </anchor>
          </commentPr>
        </mc:Choice>
        <mc:Fallback/>
      </mc:AlternateContent>
    </comment>
    <comment ref="E8" authorId="0">
      <text>
        <r>
          <rPr>
            <sz val="10"/>
            <rFont val="Arial"/>
            <family val="2"/>
          </rPr>
          <t xml:space="preserve">Actual cumulative cost at the data date.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</xdr:colOff>
                <xdr:row>0</xdr:row>
                <xdr:rowOff>18</xdr:rowOff>
              </xdr:from>
              <xdr:to>
                <xdr:col>2</xdr:col>
                <xdr:colOff>16</xdr:colOff>
                <xdr:row>3</xdr:row>
                <xdr:rowOff>10</xdr:rowOff>
              </xdr:to>
            </anchor>
          </commentPr>
        </mc:Choice>
        <mc:Fallback/>
      </mc:AlternateContent>
    </comment>
    <comment ref="E9" authorId="0">
      <text>
        <r>
          <rPr>
            <sz val="10"/>
            <rFont val="Arial"/>
            <family val="2"/>
          </rPr>
          <t xml:space="preserve">Earned value at the data date.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</xdr:colOff>
                <xdr:row>0</xdr:row>
                <xdr:rowOff>18</xdr:rowOff>
              </xdr:from>
              <xdr:to>
                <xdr:col>2</xdr:col>
                <xdr:colOff>16</xdr:colOff>
                <xdr:row>3</xdr:row>
                <xdr:rowOff>10</xdr:rowOff>
              </xdr:to>
            </anchor>
          </commentPr>
        </mc:Choice>
        <mc:Fallback/>
      </mc:AlternateContent>
    </comment>
    <comment ref="E10" authorId="0">
      <text>
        <r>
          <rPr>
            <sz val="10"/>
            <rFont val="Arial"/>
            <family val="2"/>
          </rPr>
          <t xml:space="preserve">Estimate at Completion = BAC / CPI.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</xdr:colOff>
                <xdr:row>0</xdr:row>
                <xdr:rowOff>18</xdr:rowOff>
              </xdr:from>
              <xdr:to>
                <xdr:col>2</xdr:col>
                <xdr:colOff>16</xdr:colOff>
                <xdr:row>3</xdr:row>
                <xdr:rowOff>10</xdr:rowOff>
              </xdr:to>
            </anchor>
          </commentPr>
        </mc:Choice>
        <mc:Fallback/>
      </mc:AlternateContent>
    </comment>
    <comment ref="E11" authorId="0">
      <text>
        <r>
          <rPr>
            <sz val="10"/>
            <rFont val="Arial"/>
            <family val="2"/>
          </rPr>
          <t xml:space="preserve">Estimate to Complete = EAC - AC.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</xdr:colOff>
                <xdr:row>1</xdr:row>
                <xdr:rowOff>22</xdr:rowOff>
              </xdr:from>
              <xdr:to>
                <xdr:col>2</xdr:col>
                <xdr:colOff>16</xdr:colOff>
                <xdr:row>4</xdr:row>
                <xdr:rowOff>13</xdr:rowOff>
              </xdr:to>
            </anchor>
          </commentPr>
        </mc:Choice>
        <mc:Fallback/>
      </mc:AlternateContent>
    </comment>
    <comment ref="E12" authorId="0">
      <text>
        <r>
          <rPr>
            <sz val="10"/>
            <rFont val="Arial"/>
            <family val="2"/>
          </rPr>
          <t xml:space="preserve">Variance at Completion = BAC - EAC.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</xdr:colOff>
                <xdr:row>2</xdr:row>
                <xdr:rowOff>8</xdr:rowOff>
              </xdr:from>
              <xdr:to>
                <xdr:col>2</xdr:col>
                <xdr:colOff>16</xdr:colOff>
                <xdr:row>5</xdr:row>
                <xdr:rowOff>9</xdr:rowOff>
              </xdr:to>
            </anchor>
          </commentPr>
        </mc:Choice>
        <mc:Fallback/>
      </mc:AlternateContent>
    </comment>
    <comment ref="E13" authorId="0">
      <text>
        <r>
          <rPr>
            <sz val="10"/>
            <rFont val="Arial"/>
            <family val="2"/>
          </rPr>
          <t xml:space="preserve">To-Complete Performance Index = (BAC - EV) / (BAC - AC).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</xdr:colOff>
                <xdr:row>3</xdr:row>
                <xdr:rowOff>12</xdr:rowOff>
              </xdr:from>
              <xdr:to>
                <xdr:col>2</xdr:col>
                <xdr:colOff>16</xdr:colOff>
                <xdr:row>6</xdr:row>
                <xdr:rowOff>22</xdr:rowOff>
              </xdr:to>
            </anchor>
          </commentPr>
        </mc:Choice>
        <mc:Fallback/>
      </mc:AlternateContent>
    </comment>
    <comment ref="E16" authorId="0">
      <text>
        <r>
          <rPr>
            <sz val="10"/>
            <rFont val="Arial"/>
            <family val="2"/>
          </rPr>
          <t xml:space="preserve">Enter cumulative actual cost from cost records.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</xdr:colOff>
                <xdr:row>3</xdr:row>
                <xdr:rowOff>28</xdr:rowOff>
              </xdr:from>
              <xdr:to>
                <xdr:col>2</xdr:col>
                <xdr:colOff>16</xdr:colOff>
                <xdr:row>7</xdr:row>
                <xdr:rowOff>2</xdr:rowOff>
              </xdr:to>
            </anchor>
          </commentPr>
        </mc:Choice>
        <mc:Fallback/>
      </mc:AlternateContent>
    </comment>
    <comment ref="F16" authorId="0">
      <text>
        <r>
          <rPr>
            <sz val="10"/>
            <rFont val="Arial"/>
            <family val="2"/>
          </rPr>
          <t xml:space="preserve">Enter cumulative actual percent complete from site progress records.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5</xdr:colOff>
                <xdr:row>3</xdr:row>
                <xdr:rowOff>28</xdr:rowOff>
              </xdr:from>
              <xdr:to>
                <xdr:col>2</xdr:col>
                <xdr:colOff>16</xdr:colOff>
                <xdr:row>7</xdr:row>
                <xdr:rowOff>2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<sst xmlns="http://schemas.openxmlformats.org/spreadsheetml/2006/main" count="124" uniqueCount="83">
  <si>
    <t xml:space="preserve">Gather</t>
  </si>
  <si>
    <t xml:space="preserve">Construction S-Curve Template</t>
  </si>
  <si>
    <t xml:space="preserve">A practical QS-ready template for planned value, actual cost, earned value and forecast outturn.</t>
  </si>
  <si>
    <t xml:space="preserve">How to use this template</t>
  </si>
  <si>
    <t xml:space="preserve">Step</t>
  </si>
  <si>
    <t xml:space="preserve">Task</t>
  </si>
  <si>
    <t xml:space="preserve">What to do</t>
  </si>
  <si>
    <t xml:space="preserve">1</t>
  </si>
  <si>
    <t xml:space="preserve">Set the job basics</t>
  </si>
  <si>
    <t xml:space="preserve">Open the S-Curve Calculator tab and enter the Budget at Completion, number of periods, period type and data date in the pale-yellow cells.</t>
  </si>
  <si>
    <t xml:space="preserve">2</t>
  </si>
  <si>
    <t xml:space="preserve">Enter your baseline</t>
  </si>
  <si>
    <t xml:space="preserve">Fill Planned % complete cumulative by period. Use the ideal curve helper if you need a starter baseline, then refine it to match your programme.</t>
  </si>
  <si>
    <t xml:space="preserve">3</t>
  </si>
  <si>
    <t xml:space="preserve">Add actuals</t>
  </si>
  <si>
    <t xml:space="preserve">Enter cumulative Actual Cost and cumulative Actual % complete from your cost records and site progress records.</t>
  </si>
  <si>
    <t xml:space="preserve">4</t>
  </si>
  <si>
    <t xml:space="preserve">Read the curves</t>
  </si>
  <si>
    <t xml:space="preserve">The chart compares Planned Value, Actual Cost and Earned Value. Negative CV/SV and CPI/SPI below 1 are highlighted automatically.</t>
  </si>
  <si>
    <t xml:space="preserve">5</t>
  </si>
  <si>
    <t xml:space="preserve">Use the forecast</t>
  </si>
  <si>
    <t xml:space="preserve">The summary block uses the data date row to calculate EAC, ETC, VAC and TCPI. It is a guide, not a substitute for commercial judgement. Sadly, Excel still does not attend site meetings.</t>
  </si>
  <si>
    <t xml:space="preserve">Free template by Gather — gatherinsights.com</t>
  </si>
  <si>
    <t xml:space="preserve">Want these three curves drawn automatically from your site diaries and cost data? → Book a demo</t>
  </si>
  <si>
    <t xml:space="preserve">S-Curve Calculator</t>
  </si>
  <si>
    <t xml:space="preserve">Blank calculator — enter only the pale-yellow cells.</t>
  </si>
  <si>
    <t xml:space="preserve">Inputs</t>
  </si>
  <si>
    <t xml:space="preserve">Forecast summary at data date</t>
  </si>
  <si>
    <t xml:space="preserve">Ideal planned curve helper</t>
  </si>
  <si>
    <t xml:space="preserve">Budget at Completion (BAC) — £</t>
  </si>
  <si>
    <t xml:space="preserve">CPI at data date</t>
  </si>
  <si>
    <t xml:space="preserve">Formula used: y = 1 − (1 − x^r)^b. Copy Ideal % into column C to start, then refine.</t>
  </si>
  <si>
    <t xml:space="preserve">Number of periods (N)</t>
  </si>
  <si>
    <t xml:space="preserve">AC at data date</t>
  </si>
  <si>
    <t xml:space="preserve">Period #</t>
  </si>
  <si>
    <t xml:space="preserve">x</t>
  </si>
  <si>
    <t xml:space="preserve">Ideal %</t>
  </si>
  <si>
    <t xml:space="preserve">Marker X</t>
  </si>
  <si>
    <t xml:space="preserve">Marker Y</t>
  </si>
  <si>
    <t xml:space="preserve">Data date marker</t>
  </si>
  <si>
    <t xml:space="preserve">Period type</t>
  </si>
  <si>
    <t xml:space="preserve">Month</t>
  </si>
  <si>
    <t xml:space="preserve">EV at data date</t>
  </si>
  <si>
    <t xml:space="preserve">Data date (period #)</t>
  </si>
  <si>
    <t xml:space="preserve">EAC — what the job will cost if today's efficiency holds</t>
  </si>
  <si>
    <t xml:space="preserve">Curve shape r</t>
  </si>
  <si>
    <t xml:space="preserve">ETC — what is left to spend from today</t>
  </si>
  <si>
    <t xml:space="preserve">Curve shape b</t>
  </si>
  <si>
    <t xml:space="preserve">VAC — forecast over/under against budget</t>
  </si>
  <si>
    <t xml:space="preserve">TCPI — efficiency needed to hit BAC</t>
  </si>
  <si>
    <t xml:space="preserve">Period label / date</t>
  </si>
  <si>
    <t xml:space="preserve">Planned % complete (cum.)</t>
  </si>
  <si>
    <t xml:space="preserve">Planned Value — PV (cum. £)</t>
  </si>
  <si>
    <t xml:space="preserve">Actual Cost — AC (cum. £)</t>
  </si>
  <si>
    <t xml:space="preserve">Actual % complete (cum.)</t>
  </si>
  <si>
    <t xml:space="preserve">Earned Value — EV (cum. £)</t>
  </si>
  <si>
    <t xml:space="preserve">Cost Variance — CV (£)</t>
  </si>
  <si>
    <t xml:space="preserve">Schedule Variance — SV (£)</t>
  </si>
  <si>
    <t xml:space="preserve">CPI</t>
  </si>
  <si>
    <t xml:space="preserve">SPI</t>
  </si>
  <si>
    <t xml:space="preserve">Notes</t>
  </si>
  <si>
    <t xml:space="preserve">Data date</t>
  </si>
  <si>
    <t xml:space="preserve">Free template by Gather — gatherinsights.com | Want these curves drawn automatically from your site diaries and cost data? → Book a demo</t>
  </si>
  <si>
    <t xml:space="preserve">Worked Example</t>
  </si>
  <si>
    <t xml:space="preserve">12-month / £2.4M construction example with live formulas and forecast.</t>
  </si>
  <si>
    <t xml:space="preserve">M1</t>
  </si>
  <si>
    <t xml:space="preserve">Mobilisation</t>
  </si>
  <si>
    <t xml:space="preserve">M2</t>
  </si>
  <si>
    <t xml:space="preserve">M3</t>
  </si>
  <si>
    <t xml:space="preserve">Groundworks</t>
  </si>
  <si>
    <t xml:space="preserve">M4</t>
  </si>
  <si>
    <t xml:space="preserve">M5</t>
  </si>
  <si>
    <t xml:space="preserve">Peak begins</t>
  </si>
  <si>
    <t xml:space="preserve">M6</t>
  </si>
  <si>
    <t xml:space="preserve">M7</t>
  </si>
  <si>
    <t xml:space="preserve">Peak</t>
  </si>
  <si>
    <t xml:space="preserve">M8</t>
  </si>
  <si>
    <t xml:space="preserve">M9</t>
  </si>
  <si>
    <t xml:space="preserve">Fit-out</t>
  </si>
  <si>
    <t xml:space="preserve">M10</t>
  </si>
  <si>
    <t xml:space="preserve">M11</t>
  </si>
  <si>
    <t xml:space="preserve">M12</t>
  </si>
  <si>
    <t xml:space="preserve">Practical completion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</si>
</sst>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\£#,##0"/>
    <numFmt numFmtId="166" formatCode="0.00"/>
    <numFmt numFmtId="167" formatCode="0"/>
    <numFmt numFmtId="168" formatCode="\£#,##0;[RED]&quot;-£&quot;#,##0;\£0"/>
    <numFmt numFmtId="169" formatCode="0\%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FFFFFF"/>
      <name val="Montserrat"/>
      <family val="0"/>
      <charset val="1"/>
    </font>
    <font>
      <b val="true"/>
      <sz val="16"/>
      <color rgb="FFFFFFFF"/>
      <name val="Montserrat"/>
      <family val="0"/>
      <charset val="1"/>
    </font>
    <font>
      <sz val="10"/>
      <color rgb="FFFFFFFF"/>
      <name val="Montserrat"/>
      <family val="0"/>
      <charset val="1"/>
    </font>
    <font>
      <b val="true"/>
      <sz val="14"/>
      <color rgb="FF111827"/>
      <name val="Montserrat"/>
      <family val="0"/>
      <charset val="1"/>
    </font>
    <font>
      <b val="true"/>
      <sz val="11"/>
      <color rgb="FFFFFFFF"/>
      <name val="Montserrat"/>
      <family val="0"/>
      <charset val="1"/>
    </font>
    <font>
      <b val="true"/>
      <sz val="11"/>
      <color rgb="FF111827"/>
      <name val="Montserrat"/>
      <family val="0"/>
      <charset val="1"/>
    </font>
    <font>
      <b val="true"/>
      <sz val="12"/>
      <color rgb="FF111827"/>
      <name val="Montserrat"/>
      <family val="0"/>
      <charset val="1"/>
    </font>
    <font>
      <sz val="9"/>
      <color rgb="FF111827"/>
      <name val="Montserrat"/>
      <family val="0"/>
      <charset val="1"/>
    </font>
    <font>
      <sz val="9"/>
      <color rgb="FF374151"/>
      <name val="Montserrat"/>
      <family val="0"/>
      <charset val="1"/>
    </font>
    <font>
      <b val="true"/>
      <sz val="10"/>
      <color rgb="FF111827"/>
      <name val="Montserrat"/>
      <family val="0"/>
      <charset val="1"/>
    </font>
    <font>
      <sz val="10"/>
      <name val="Arial"/>
      <family val="2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111827"/>
        <bgColor rgb="FF000000"/>
      </patternFill>
    </fill>
    <fill>
      <patternFill patternType="solid">
        <fgColor rgb="FFFACC15"/>
        <bgColor rgb="FFFFFF00"/>
      </patternFill>
    </fill>
    <fill>
      <patternFill patternType="solid">
        <fgColor rgb="FFFEF3C7"/>
        <bgColor rgb="FFFEE2E2"/>
      </patternFill>
    </fill>
    <fill>
      <patternFill patternType="solid">
        <fgColor rgb="FFF3F4F6"/>
        <bgColor rgb="FFFFFFFF"/>
      </patternFill>
    </fill>
    <fill>
      <patternFill patternType="solid">
        <fgColor rgb="FFE5E7EB"/>
        <bgColor rgb="FFDBEAF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0" fillId="4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0" fillId="5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0" fillId="4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5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4" borderId="1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4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4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4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13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9" fontId="0" fillId="4" borderId="1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0" fillId="4" borderId="1" xfId="0" applyFont="false" applyBorder="true" applyAlignment="true" applyProtection="true">
      <alignment horizontal="general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color rgb="FFB91C1C"/>
      </font>
      <fill>
        <patternFill>
          <bgColor rgb="FFFEE2E2"/>
        </patternFill>
      </fill>
    </dxf>
    <dxf>
      <font>
        <color rgb="FF166534"/>
      </font>
      <fill>
        <patternFill>
          <bgColor rgb="FFDCFCE7"/>
        </patternFill>
      </fill>
    </dxf>
    <dxf>
      <fill>
        <patternFill>
          <bgColor rgb="FFDBEAF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66534"/>
      <rgbColor rgb="FF000080"/>
      <rgbColor rgb="FF808000"/>
      <rgbColor rgb="FF800080"/>
      <rgbColor rgb="FF008080"/>
      <rgbColor rgb="FFD9D9D9"/>
      <rgbColor rgb="FF878787"/>
      <rgbColor rgb="FF9999FF"/>
      <rgbColor rgb="FF993366"/>
      <rgbColor rgb="FFFEF3C7"/>
      <rgbColor rgb="FFDCFCE7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BEAFE"/>
      <rgbColor rgb="FFE5E7EB"/>
      <rgbColor rgb="FFF3F4F6"/>
      <rgbColor rgb="FF99CCFF"/>
      <rgbColor rgb="FFFF99CC"/>
      <rgbColor rgb="FFCC99FF"/>
      <rgbColor rgb="FFFEE2E2"/>
      <rgbColor rgb="FF2563EB"/>
      <rgbColor rgb="FF33CCCC"/>
      <rgbColor rgb="FF99CC00"/>
      <rgbColor rgb="FFFACC15"/>
      <rgbColor rgb="FFFF9900"/>
      <rgbColor rgb="FFF97316"/>
      <rgbColor rgb="FF6B7280"/>
      <rgbColor rgb="FF969696"/>
      <rgbColor rgb="FF003366"/>
      <rgbColor rgb="FF339966"/>
      <rgbColor rgb="FF111827"/>
      <rgbColor rgb="FF333300"/>
      <rgbColor rgb="FFB91C1C"/>
      <rgbColor rgb="FF993366"/>
      <rgbColor rgb="FF333399"/>
      <rgbColor rgb="FF37415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trike="noStrike" u="none">
                <a:uFillTx/>
                <a:latin typeface="Arial"/>
              </a:defRPr>
            </a:pPr>
            <a:r>
              <a:rPr b="1" sz="1800" strike="noStrike" u="none">
                <a:solidFill>
                  <a:srgbClr val="000000"/>
                </a:solidFill>
                <a:uFillTx/>
                <a:latin typeface="Calibri"/>
              </a:rPr>
              <a:t>Project S-Curve — Planned vs Actual vs Earned Value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'S-Curve Calculator'!D16</c:f>
              <c:strCache>
                <c:ptCount val="1"/>
                <c:pt idx="0">
                  <c:v>Planned Value — PV (cum. £)</c:v>
                </c:pt>
              </c:strCache>
            </c:strRef>
          </c:tx>
          <c:spPr>
            <a:solidFill>
              <a:srgbClr val="6b7280"/>
            </a:solidFill>
            <a:ln w="24840">
              <a:solidFill>
                <a:srgbClr val="6b7280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48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'S-Curve Calculator'!$A$17:$A$66</c:f>
              <c:strCache>
                <c:ptCount val="5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</c:strCache>
            </c:strRef>
          </c:cat>
          <c:val>
            <c:numRef>
              <c:f>'S-Curve Calculator'!$D$17:$D$66</c:f>
              <c:numCache>
                <c:formatCode>General</c:formatCode>
                <c:ptCount val="50"/>
              </c:numCache>
            </c:numRef>
          </c:val>
          <c:smooth val="1"/>
        </c:ser>
        <c:ser>
          <c:idx val="1"/>
          <c:order val="1"/>
          <c:tx>
            <c:strRef>
              <c:f>'S-Curve Calculator'!E16</c:f>
              <c:strCache>
                <c:ptCount val="1"/>
                <c:pt idx="0">
                  <c:v>Actual Cost — AC (cum. £)</c:v>
                </c:pt>
              </c:strCache>
            </c:strRef>
          </c:tx>
          <c:spPr>
            <a:solidFill>
              <a:srgbClr val="f97316"/>
            </a:solidFill>
            <a:ln w="24840">
              <a:solidFill>
                <a:srgbClr val="f97316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48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'S-Curve Calculator'!$A$17:$A$66</c:f>
              <c:strCache>
                <c:ptCount val="5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</c:strCache>
            </c:strRef>
          </c:cat>
          <c:val>
            <c:numRef>
              <c:f>'S-Curve Calculator'!$E$17:$E$66</c:f>
              <c:numCache>
                <c:formatCode>General</c:formatCode>
                <c:ptCount val="50"/>
              </c:numCache>
            </c:numRef>
          </c:val>
          <c:smooth val="1"/>
        </c:ser>
        <c:ser>
          <c:idx val="2"/>
          <c:order val="2"/>
          <c:tx>
            <c:strRef>
              <c:f>'S-Curve Calculator'!G16</c:f>
              <c:strCache>
                <c:ptCount val="1"/>
                <c:pt idx="0">
                  <c:v>Earned Value — EV (cum. £)</c:v>
                </c:pt>
              </c:strCache>
            </c:strRef>
          </c:tx>
          <c:spPr>
            <a:solidFill>
              <a:srgbClr val="2563eb"/>
            </a:solidFill>
            <a:ln w="24840">
              <a:solidFill>
                <a:srgbClr val="2563e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48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'S-Curve Calculator'!$A$17:$A$66</c:f>
              <c:strCache>
                <c:ptCount val="5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</c:strCache>
            </c:strRef>
          </c:cat>
          <c:val>
            <c:numRef>
              <c:f>'S-Curve Calculator'!$G$17:$G$66</c:f>
              <c:numCache>
                <c:formatCode>General</c:formatCode>
                <c:ptCount val="50"/>
              </c:numCache>
            </c:numRef>
          </c:val>
          <c:smooth val="1"/>
        </c:ser>
        <c:ser>
          <c:idx val="3"/>
          <c:order val="3"/>
          <c:tx>
            <c:strRef>
              <c:f>'S-Curve Calculator'!S16</c:f>
              <c:strCache>
                <c:ptCount val="1"/>
                <c:pt idx="0">
                  <c:v/>
                </c:pt>
              </c:strCache>
            </c:strRef>
          </c:tx>
          <c:spPr>
            <a:solidFill>
              <a:srgbClr val="000000"/>
            </a:solidFill>
            <a:ln w="28440">
              <a:noFill/>
            </a:ln>
          </c:spPr>
          <c:marker>
            <c:symbol val="diamond"/>
            <c:size val="7"/>
            <c:spPr>
              <a:solidFill>
                <a:srgbClr val="000000"/>
              </a:solidFill>
            </c:spPr>
          </c:marker>
          <c:cat>
            <c:strRef>
              <c:f>'S-Curve Calculator'!$A$17:$A$66</c:f>
              <c:strCache>
                <c:ptCount val="5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</c:strCache>
            </c:strRef>
          </c:cat>
          <c:val>
            <c:numRef>
              <c:f>'S-Curve Calculator'!$S$17:$S$66</c:f>
              <c:numCache>
                <c:formatCode>General</c:formatCode>
                <c:ptCount val="0"/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80785213"/>
        <c:axId val="78308778"/>
      </c:lineChart>
      <c:catAx>
        <c:axId val="80785213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sz="1000" strike="noStrike" u="none">
                    <a:solidFill>
                      <a:srgbClr val="000000"/>
                    </a:solidFill>
                    <a:uFillTx/>
                    <a:latin typeface="Calibri"/>
                  </a:rPr>
                  <a:t>Period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trike="noStrike" u="non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78308778"/>
        <c:crosses val="autoZero"/>
        <c:auto val="1"/>
        <c:lblAlgn val="ctr"/>
        <c:lblOffset val="100"/>
        <c:noMultiLvlLbl val="0"/>
      </c:catAx>
      <c:valAx>
        <c:axId val="7830877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sz="1000" strike="noStrike" u="none">
                    <a:solidFill>
                      <a:srgbClr val="000000"/>
                    </a:solidFill>
                    <a:uFillTx/>
                    <a:latin typeface="Calibri"/>
                  </a:rPr>
                  <a:t>Cumulative value (£)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£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trike="noStrike" u="non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8078521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trike="noStrike" u="none">
              <a:solidFill>
                <a:srgbClr val="000000"/>
              </a:solidFill>
              <a:uFillTx/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trike="noStrike" u="none">
                <a:uFillTx/>
                <a:latin typeface="Arial"/>
              </a:defRPr>
            </a:pPr>
            <a:r>
              <a:rPr b="1" sz="1800" strike="noStrike" u="none">
                <a:solidFill>
                  <a:srgbClr val="000000"/>
                </a:solidFill>
                <a:uFillTx/>
                <a:latin typeface="Calibri"/>
              </a:rPr>
              <a:t>Project S-Curve — Planned vs Actual vs Earned Value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'Worked Example'!D16</c:f>
              <c:strCache>
                <c:ptCount val="1"/>
                <c:pt idx="0">
                  <c:v>Planned Value — PV (cum. £)</c:v>
                </c:pt>
              </c:strCache>
            </c:strRef>
          </c:tx>
          <c:spPr>
            <a:solidFill>
              <a:srgbClr val="6b7280"/>
            </a:solidFill>
            <a:ln w="24840">
              <a:solidFill>
                <a:srgbClr val="6b7280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48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'Worked Example'!$A$17:$A$66</c:f>
              <c:strCache>
                <c:ptCount val="5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</c:strCache>
            </c:strRef>
          </c:cat>
          <c:val>
            <c:numRef>
              <c:f>'Worked Example'!$D$17:$D$66</c:f>
              <c:numCache>
                <c:formatCode>\£#,##0;[RED]"-£"#,##0;\£0</c:formatCode>
                <c:ptCount val="50"/>
                <c:pt idx="0">
                  <c:v>48000</c:v>
                </c:pt>
                <c:pt idx="1">
                  <c:v>144000</c:v>
                </c:pt>
                <c:pt idx="2">
                  <c:v>312000</c:v>
                </c:pt>
                <c:pt idx="3">
                  <c:v>576000</c:v>
                </c:pt>
                <c:pt idx="4">
                  <c:v>912000</c:v>
                </c:pt>
                <c:pt idx="5">
                  <c:v>1296000</c:v>
                </c:pt>
                <c:pt idx="6">
                  <c:v>1632000</c:v>
                </c:pt>
                <c:pt idx="7">
                  <c:v>1920000</c:v>
                </c:pt>
                <c:pt idx="8">
                  <c:v>2136000</c:v>
                </c:pt>
                <c:pt idx="9">
                  <c:v>2280000</c:v>
                </c:pt>
                <c:pt idx="10">
                  <c:v>2352000</c:v>
                </c:pt>
                <c:pt idx="11">
                  <c:v>2400000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'Worked Example'!E16</c:f>
              <c:strCache>
                <c:ptCount val="1"/>
                <c:pt idx="0">
                  <c:v>Actual Cost — AC (cum. £)</c:v>
                </c:pt>
              </c:strCache>
            </c:strRef>
          </c:tx>
          <c:spPr>
            <a:solidFill>
              <a:srgbClr val="f97316"/>
            </a:solidFill>
            <a:ln w="24840">
              <a:solidFill>
                <a:srgbClr val="f97316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48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'Worked Example'!$A$17:$A$66</c:f>
              <c:strCache>
                <c:ptCount val="5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</c:strCache>
            </c:strRef>
          </c:cat>
          <c:val>
            <c:numRef>
              <c:f>'Worked Example'!$E$17:$E$66</c:f>
              <c:numCache>
                <c:formatCode>\£#,##0;[RED]"-£"#,##0;\£0</c:formatCode>
                <c:ptCount val="50"/>
                <c:pt idx="0">
                  <c:v>52000</c:v>
                </c:pt>
                <c:pt idx="1">
                  <c:v>150000</c:v>
                </c:pt>
                <c:pt idx="2">
                  <c:v>330000</c:v>
                </c:pt>
                <c:pt idx="3">
                  <c:v>600000</c:v>
                </c:pt>
                <c:pt idx="4">
                  <c:v>948000</c:v>
                </c:pt>
                <c:pt idx="5">
                  <c:v>1340000</c:v>
                </c:pt>
                <c:pt idx="6">
                  <c:v>1690000</c:v>
                </c:pt>
                <c:pt idx="7">
                  <c:v>1985000</c:v>
                </c:pt>
                <c:pt idx="8">
                  <c:v>2200000</c:v>
                </c:pt>
                <c:pt idx="9">
                  <c:v>2350000</c:v>
                </c:pt>
                <c:pt idx="10">
                  <c:v>2420000</c:v>
                </c:pt>
                <c:pt idx="11">
                  <c:v>2470000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'Worked Example'!G16</c:f>
              <c:strCache>
                <c:ptCount val="1"/>
                <c:pt idx="0">
                  <c:v>Earned Value — EV (cum. £)</c:v>
                </c:pt>
              </c:strCache>
            </c:strRef>
          </c:tx>
          <c:spPr>
            <a:solidFill>
              <a:srgbClr val="2563eb"/>
            </a:solidFill>
            <a:ln w="24840">
              <a:solidFill>
                <a:srgbClr val="2563e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trike="noStrike" u="non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48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'Worked Example'!$A$17:$A$66</c:f>
              <c:strCache>
                <c:ptCount val="5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</c:strCache>
            </c:strRef>
          </c:cat>
          <c:val>
            <c:numRef>
              <c:f>'Worked Example'!$G$17:$G$66</c:f>
              <c:numCache>
                <c:formatCode>\£#,##0;[RED]"-£"#,##0;\£0</c:formatCode>
                <c:ptCount val="50"/>
                <c:pt idx="0">
                  <c:v>40000</c:v>
                </c:pt>
                <c:pt idx="1">
                  <c:v>130000</c:v>
                </c:pt>
                <c:pt idx="2">
                  <c:v>300000</c:v>
                </c:pt>
                <c:pt idx="3">
                  <c:v>560000</c:v>
                </c:pt>
                <c:pt idx="4">
                  <c:v>890000</c:v>
                </c:pt>
                <c:pt idx="5">
                  <c:v>1270000</c:v>
                </c:pt>
                <c:pt idx="6">
                  <c:v>1600000</c:v>
                </c:pt>
                <c:pt idx="7">
                  <c:v>1890000</c:v>
                </c:pt>
                <c:pt idx="8">
                  <c:v>2110000</c:v>
                </c:pt>
                <c:pt idx="9">
                  <c:v>2260000</c:v>
                </c:pt>
                <c:pt idx="10">
                  <c:v>2335000</c:v>
                </c:pt>
                <c:pt idx="11">
                  <c:v>2390000</c:v>
                </c:pt>
              </c:numCache>
            </c:numRef>
          </c:val>
          <c:smooth val="1"/>
        </c:ser>
        <c:ser>
          <c:idx val="3"/>
          <c:order val="3"/>
          <c:tx>
            <c:strRef>
              <c:f>'Worked Example'!S16</c:f>
              <c:strCache>
                <c:ptCount val="1"/>
                <c:pt idx="0">
                  <c:v/>
                </c:pt>
              </c:strCache>
            </c:strRef>
          </c:tx>
          <c:spPr>
            <a:solidFill>
              <a:srgbClr val="000000"/>
            </a:solidFill>
            <a:ln w="28440">
              <a:noFill/>
            </a:ln>
          </c:spPr>
          <c:marker>
            <c:symbol val="diamond"/>
            <c:size val="7"/>
            <c:spPr>
              <a:solidFill>
                <a:srgbClr val="000000"/>
              </a:solidFill>
            </c:spPr>
          </c:marker>
          <c:cat>
            <c:strRef>
              <c:f>'Worked Example'!$A$17:$A$66</c:f>
              <c:strCache>
                <c:ptCount val="5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</c:strCache>
            </c:strRef>
          </c:cat>
          <c:val>
            <c:numRef>
              <c:f>'Worked Example'!$S$17:$S$66</c:f>
              <c:numCache>
                <c:formatCode>General</c:formatCode>
                <c:ptCount val="0"/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18063613"/>
        <c:axId val="55685631"/>
      </c:lineChart>
      <c:catAx>
        <c:axId val="18063613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sz="1000" strike="noStrike" u="none">
                    <a:solidFill>
                      <a:srgbClr val="000000"/>
                    </a:solidFill>
                    <a:uFillTx/>
                    <a:latin typeface="Calibri"/>
                  </a:rPr>
                  <a:t>Period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trike="noStrike" u="non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55685631"/>
        <c:crosses val="autoZero"/>
        <c:auto val="1"/>
        <c:lblAlgn val="ctr"/>
        <c:lblOffset val="100"/>
        <c:noMultiLvlLbl val="0"/>
      </c:catAx>
      <c:valAx>
        <c:axId val="5568563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0" sz="1300" strike="noStrike" u="none">
                    <a:uFillTx/>
                    <a:latin typeface="Arial"/>
                  </a:defRPr>
                </a:pPr>
                <a:r>
                  <a:rPr b="1" sz="1000" strike="noStrike" u="none">
                    <a:solidFill>
                      <a:srgbClr val="000000"/>
                    </a:solidFill>
                    <a:uFillTx/>
                    <a:latin typeface="Calibri"/>
                  </a:rPr>
                  <a:t>Cumulative value (£)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£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trike="noStrike" u="non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1806361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trike="noStrike" u="none">
              <a:solidFill>
                <a:srgbClr val="000000"/>
              </a:solidFill>
              <a:uFillTx/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13</xdr:col>
      <xdr:colOff>0</xdr:colOff>
      <xdr:row>11</xdr:row>
      <xdr:rowOff>149400</xdr:rowOff>
    </xdr:from>
    <xdr:to>
      <xdr:col>28</xdr:col>
      <xdr:colOff>364320</xdr:colOff>
      <xdr:row>33</xdr:row>
      <xdr:rowOff>12600</xdr:rowOff>
    </xdr:to>
    <xdr:graphicFrame>
      <xdr:nvGraphicFramePr>
        <xdr:cNvPr id="0" name="Chart 1"/>
        <xdr:cNvGraphicFramePr/>
      </xdr:nvGraphicFramePr>
      <xdr:xfrm>
        <a:off x="14426640" y="3200400"/>
        <a:ext cx="8639640" cy="485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13</xdr:col>
      <xdr:colOff>0</xdr:colOff>
      <xdr:row>11</xdr:row>
      <xdr:rowOff>149400</xdr:rowOff>
    </xdr:from>
    <xdr:to>
      <xdr:col>28</xdr:col>
      <xdr:colOff>364320</xdr:colOff>
      <xdr:row>33</xdr:row>
      <xdr:rowOff>12600</xdr:rowOff>
    </xdr:to>
    <xdr:graphicFrame>
      <xdr:nvGraphicFramePr>
        <xdr:cNvPr id="1" name="Chart 1"/>
        <xdr:cNvGraphicFramePr/>
      </xdr:nvGraphicFramePr>
      <xdr:xfrm>
        <a:off x="14426640" y="3200400"/>
        <a:ext cx="8639640" cy="485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gatherinsights.com/" TargetMode="External"/><Relationship Id="rId2" Type="http://schemas.openxmlformats.org/officeDocument/2006/relationships/hyperlink" Target="https://www.gatherinsights.com/en/book-a-demo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hyperlink" Target="https://www.gatherinsights.com/en/book-a-demo" TargetMode="External"/><Relationship Id="rId3" Type="http://schemas.openxmlformats.org/officeDocument/2006/relationships/drawing" Target="../drawings/drawing1.xml"/><Relationship Id="rId4" Type="http://schemas.openxmlformats.org/officeDocument/2006/relationships/vmlDrawing" Target="../drawings/vmlDrawing1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hyperlink" Target="https://www.gatherinsights.com/en/book-a-demo" TargetMode="External"/><Relationship Id="rId3" Type="http://schemas.openxmlformats.org/officeDocument/2006/relationships/drawing" Target="../drawings/drawing2.xml"/><Relationship Id="rId4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9"/>
  <sheetViews>
    <sheetView showFormulas="false" showGridLines="fals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4"/>
    <col collapsed="false" customWidth="true" hidden="false" outlineLevel="0" max="3" min="3" style="0" width="80"/>
    <col collapsed="false" customWidth="true" hidden="false" outlineLevel="0" max="12" min="4" style="0" width="18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21.7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customFormat="false" ht="21.75" hidden="false" customHeight="tru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customFormat="false" ht="21.75" hidden="false" customHeight="true" outlineLevel="0" collapsed="false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6" customFormat="false" ht="17.35" hidden="false" customHeight="false" outlineLevel="0" collapsed="false">
      <c r="B6" s="4" t="s">
        <v>3</v>
      </c>
    </row>
    <row r="8" customFormat="false" ht="15" hidden="false" customHeight="false" outlineLevel="0" collapsed="false">
      <c r="B8" s="5" t="s">
        <v>4</v>
      </c>
      <c r="C8" s="5" t="s">
        <v>5</v>
      </c>
      <c r="D8" s="5" t="s">
        <v>6</v>
      </c>
    </row>
    <row r="9" customFormat="false" ht="36" hidden="false" customHeight="true" outlineLevel="0" collapsed="false">
      <c r="B9" s="6" t="s">
        <v>7</v>
      </c>
      <c r="C9" s="7" t="s">
        <v>8</v>
      </c>
      <c r="D9" s="8" t="s">
        <v>9</v>
      </c>
    </row>
    <row r="10" customFormat="false" ht="36" hidden="false" customHeight="true" outlineLevel="0" collapsed="false">
      <c r="B10" s="6" t="s">
        <v>10</v>
      </c>
      <c r="C10" s="7" t="s">
        <v>11</v>
      </c>
      <c r="D10" s="8" t="s">
        <v>12</v>
      </c>
    </row>
    <row r="11" customFormat="false" ht="36" hidden="false" customHeight="true" outlineLevel="0" collapsed="false">
      <c r="B11" s="6" t="s">
        <v>13</v>
      </c>
      <c r="C11" s="7" t="s">
        <v>14</v>
      </c>
      <c r="D11" s="8" t="s">
        <v>15</v>
      </c>
    </row>
    <row r="12" customFormat="false" ht="36" hidden="false" customHeight="true" outlineLevel="0" collapsed="false">
      <c r="B12" s="6" t="s">
        <v>16</v>
      </c>
      <c r="C12" s="7" t="s">
        <v>17</v>
      </c>
      <c r="D12" s="8" t="s">
        <v>18</v>
      </c>
    </row>
    <row r="13" customFormat="false" ht="36" hidden="false" customHeight="true" outlineLevel="0" collapsed="false">
      <c r="B13" s="6" t="s">
        <v>19</v>
      </c>
      <c r="C13" s="7" t="s">
        <v>20</v>
      </c>
      <c r="D13" s="8" t="s">
        <v>21</v>
      </c>
    </row>
    <row r="16" customFormat="false" ht="16.4" hidden="false" customHeight="false" outlineLevel="0" collapsed="false">
      <c r="B16" s="9" t="s">
        <v>22</v>
      </c>
      <c r="C16" s="9"/>
      <c r="D16" s="9"/>
    </row>
    <row r="18" customFormat="false" ht="15" hidden="false" customHeight="true" outlineLevel="0" collapsed="false">
      <c r="B18" s="10" t="s">
        <v>23</v>
      </c>
      <c r="C18" s="10"/>
      <c r="D18" s="10"/>
    </row>
    <row r="19" customFormat="false" ht="15" hidden="false" customHeight="false" outlineLevel="0" collapsed="false">
      <c r="B19" s="10"/>
      <c r="C19" s="10"/>
      <c r="D19" s="10"/>
    </row>
  </sheetData>
  <mergeCells count="5">
    <mergeCell ref="A1:L2"/>
    <mergeCell ref="A3:L3"/>
    <mergeCell ref="A4:L4"/>
    <mergeCell ref="B16:D16"/>
    <mergeCell ref="B18:D19"/>
  </mergeCells>
  <hyperlinks>
    <hyperlink ref="B16" r:id="rId1" display="Free template by Gather — gatherinsights.com"/>
    <hyperlink ref="B18" r:id="rId2" display="Want these three curves drawn automatically from your site diaries and cost data? → Book a demo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66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pane xSplit="0" ySplit="16" topLeftCell="A1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0"/>
    <col collapsed="false" customWidth="true" hidden="false" outlineLevel="0" max="5" min="2" style="0" width="18"/>
    <col collapsed="false" customWidth="true" hidden="false" outlineLevel="0" max="6" min="6" style="0" width="16"/>
    <col collapsed="false" customWidth="true" hidden="false" outlineLevel="0" max="7" min="7" style="0" width="18"/>
    <col collapsed="false" customWidth="true" hidden="false" outlineLevel="0" max="9" min="8" style="0" width="16"/>
    <col collapsed="false" customWidth="true" hidden="false" outlineLevel="0" max="11" min="10" style="0" width="10"/>
    <col collapsed="false" customWidth="true" hidden="false" outlineLevel="0" max="12" min="12" style="0" width="28"/>
    <col collapsed="false" customWidth="true" hidden="false" outlineLevel="0" max="14" min="14" style="0" width="14"/>
    <col collapsed="false" customWidth="true" hidden="true" outlineLevel="0" max="15" min="15" style="0" width="14"/>
    <col collapsed="false" customWidth="true" hidden="false" outlineLevel="0" max="16" min="16" style="0" width="18"/>
    <col collapsed="false" customWidth="true" hidden="true" outlineLevel="0" max="17" min="17" style="0" width="16"/>
    <col collapsed="false" customWidth="true" hidden="true" outlineLevel="0" max="18" min="18" style="0" width="18"/>
    <col collapsed="false" customWidth="true" hidden="true" outlineLevel="0" max="19" min="19" style="0" width="16"/>
    <col collapsed="false" customWidth="true" hidden="false" outlineLevel="0" max="20" min="20" style="0" width="16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21.7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customFormat="false" ht="21.75" hidden="false" customHeight="true" outlineLevel="0" collapsed="false">
      <c r="A3" s="2" t="s">
        <v>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customFormat="false" ht="21.75" hidden="false" customHeight="true" outlineLevel="0" collapsed="false">
      <c r="A4" s="3" t="s">
        <v>25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6" customFormat="false" ht="15" hidden="false" customHeight="false" outlineLevel="0" collapsed="false">
      <c r="A6" s="11" t="s">
        <v>26</v>
      </c>
      <c r="D6" s="11" t="s">
        <v>27</v>
      </c>
      <c r="N6" s="11" t="s">
        <v>28</v>
      </c>
    </row>
    <row r="7" customFormat="false" ht="26.85" hidden="false" customHeight="true" outlineLevel="0" collapsed="false">
      <c r="A7" s="7" t="s">
        <v>29</v>
      </c>
      <c r="B7" s="12" t="n">
        <v>0</v>
      </c>
      <c r="D7" s="13" t="s">
        <v>30</v>
      </c>
      <c r="E7" s="14" t="str">
        <f aca="false">IFERROR(INDEX($J$17:$J$66,MATCH($B$10,$A$17:$A$66,0)),"")</f>
        <v/>
      </c>
      <c r="N7" s="15" t="s">
        <v>31</v>
      </c>
      <c r="O7" s="15"/>
      <c r="P7" s="15"/>
      <c r="Q7" s="15"/>
      <c r="R7" s="15"/>
      <c r="S7" s="15"/>
      <c r="T7" s="15"/>
    </row>
    <row r="8" customFormat="false" ht="15" hidden="false" customHeight="false" outlineLevel="0" collapsed="false">
      <c r="A8" s="7" t="s">
        <v>32</v>
      </c>
      <c r="B8" s="16" t="n">
        <v>12</v>
      </c>
      <c r="D8" s="13" t="s">
        <v>33</v>
      </c>
      <c r="E8" s="17" t="n">
        <f aca="false">IFERROR(INDEX($E$17:$E$66,MATCH($B$10,$A$17:$A$66,0)),"")</f>
        <v>0</v>
      </c>
      <c r="N8" s="18" t="s">
        <v>34</v>
      </c>
      <c r="O8" s="18" t="s">
        <v>35</v>
      </c>
      <c r="P8" s="18" t="s">
        <v>36</v>
      </c>
      <c r="Q8" s="19" t="s">
        <v>37</v>
      </c>
      <c r="R8" s="19" t="s">
        <v>38</v>
      </c>
      <c r="S8" s="19" t="s">
        <v>39</v>
      </c>
      <c r="T8" s="19"/>
    </row>
    <row r="9" customFormat="false" ht="15" hidden="false" customHeight="false" outlineLevel="0" collapsed="false">
      <c r="A9" s="7" t="s">
        <v>40</v>
      </c>
      <c r="B9" s="20" t="s">
        <v>41</v>
      </c>
      <c r="D9" s="13" t="s">
        <v>42</v>
      </c>
      <c r="E9" s="17" t="str">
        <f aca="false">IFERROR(INDEX($G$17:$G$66,MATCH($B$10,$A$17:$A$66,0)),"")</f>
        <v/>
      </c>
      <c r="N9" s="21" t="n">
        <f aca="false">IF(1&lt;=$B$8,1,"")</f>
        <v>1</v>
      </c>
      <c r="O9" s="21" t="n">
        <f aca="false">IF(N9="","",N9/$B$8)</f>
        <v>0.0833333333333333</v>
      </c>
      <c r="P9" s="22" t="n">
        <f aca="false">IF(N9="","",(1-(1-O9^$B$11)^$B$12)*100)</f>
        <v>0.519629327181215</v>
      </c>
      <c r="Q9" s="23" t="n">
        <f aca="false">$B$10</f>
        <v>1</v>
      </c>
      <c r="R9" s="24" t="n">
        <v>0</v>
      </c>
    </row>
    <row r="10" customFormat="false" ht="39.55" hidden="false" customHeight="false" outlineLevel="0" collapsed="false">
      <c r="A10" s="7" t="s">
        <v>43</v>
      </c>
      <c r="B10" s="16" t="n">
        <v>1</v>
      </c>
      <c r="D10" s="13" t="s">
        <v>44</v>
      </c>
      <c r="E10" s="17" t="str">
        <f aca="false">IF($E$7="","",$B$7/$E$7)</f>
        <v/>
      </c>
      <c r="N10" s="21" t="n">
        <f aca="false">IF(2&lt;=$B$8,2,"")</f>
        <v>2</v>
      </c>
      <c r="O10" s="21" t="n">
        <f aca="false">IF(N10="","",N10/$B$8)</f>
        <v>0.166666666666667</v>
      </c>
      <c r="P10" s="22" t="n">
        <f aca="false">IF(N10="","",(1-(1-O10^$B$11)^$B$12)*100)</f>
        <v>4.09033393504792</v>
      </c>
      <c r="Q10" s="23" t="n">
        <f aca="false">$B$10</f>
        <v>1</v>
      </c>
      <c r="R10" s="24" t="n">
        <f aca="false">MAX($B$7,MAX($D$17:$G$66))*1.08</f>
        <v>0</v>
      </c>
    </row>
    <row r="11" customFormat="false" ht="26.85" hidden="false" customHeight="false" outlineLevel="0" collapsed="false">
      <c r="A11" s="7" t="s">
        <v>45</v>
      </c>
      <c r="B11" s="16" t="n">
        <v>3</v>
      </c>
      <c r="D11" s="13" t="s">
        <v>46</v>
      </c>
      <c r="E11" s="17" t="str">
        <f aca="false">IF($E$10="","",$E$10-$E$8)</f>
        <v/>
      </c>
      <c r="N11" s="21" t="n">
        <f aca="false">IF(3&lt;=$B$8,3,"")</f>
        <v>3</v>
      </c>
      <c r="O11" s="21" t="n">
        <f aca="false">IF(N11="","",N11/$B$8)</f>
        <v>0.25</v>
      </c>
      <c r="P11" s="22" t="n">
        <f aca="false">IF(N11="","",(1-(1-O11^$B$11)^$B$12)*100)</f>
        <v>13.2148978017508</v>
      </c>
    </row>
    <row r="12" customFormat="false" ht="39.55" hidden="false" customHeight="false" outlineLevel="0" collapsed="false">
      <c r="A12" s="7" t="s">
        <v>47</v>
      </c>
      <c r="B12" s="16" t="n">
        <v>9</v>
      </c>
      <c r="D12" s="13" t="s">
        <v>48</v>
      </c>
      <c r="E12" s="17" t="str">
        <f aca="false">IF($E$10="","",$B$7-$E$10)</f>
        <v/>
      </c>
      <c r="N12" s="21" t="n">
        <f aca="false">IF(4&lt;=$B$8,4,"")</f>
        <v>4</v>
      </c>
      <c r="O12" s="21" t="n">
        <f aca="false">IF(N12="","",N12/$B$8)</f>
        <v>0.333333333333333</v>
      </c>
      <c r="P12" s="22" t="n">
        <f aca="false">IF(N12="","",(1-(1-O12^$B$11)^$B$12)*100)</f>
        <v>28.7989735930147</v>
      </c>
    </row>
    <row r="13" customFormat="false" ht="26.85" hidden="false" customHeight="false" outlineLevel="0" collapsed="false">
      <c r="D13" s="13" t="s">
        <v>49</v>
      </c>
      <c r="E13" s="14" t="str">
        <f aca="false">IFERROR(($B$7-$E$9)/($B$7-$E$8),"")</f>
        <v/>
      </c>
      <c r="N13" s="21" t="n">
        <f aca="false">IF(5&lt;=$B$8,5,"")</f>
        <v>5</v>
      </c>
      <c r="O13" s="21" t="n">
        <f aca="false">IF(N13="","",N13/$B$8)</f>
        <v>0.416666666666667</v>
      </c>
      <c r="P13" s="22" t="n">
        <f aca="false">IF(N13="","",(1-(1-O13^$B$11)^$B$12)*100)</f>
        <v>49.1245741014464</v>
      </c>
    </row>
    <row r="14" customFormat="false" ht="15" hidden="false" customHeight="false" outlineLevel="0" collapsed="false">
      <c r="N14" s="21" t="n">
        <f aca="false">IF(6&lt;=$B$8,6,"")</f>
        <v>6</v>
      </c>
      <c r="O14" s="21" t="n">
        <f aca="false">IF(N14="","",N14/$B$8)</f>
        <v>0.5</v>
      </c>
      <c r="P14" s="22" t="n">
        <f aca="false">IF(N14="","",(1-(1-O14^$B$11)^$B$12)*100)</f>
        <v>69.934219866991</v>
      </c>
    </row>
    <row r="15" customFormat="false" ht="15" hidden="false" customHeight="false" outlineLevel="0" collapsed="false">
      <c r="N15" s="21" t="n">
        <f aca="false">IF(7&lt;=$B$8,7,"")</f>
        <v>7</v>
      </c>
      <c r="O15" s="21" t="n">
        <f aca="false">IF(N15="","",N15/$B$8)</f>
        <v>0.583333333333333</v>
      </c>
      <c r="P15" s="22" t="n">
        <f aca="false">IF(N15="","",(1-(1-O15^$B$11)^$B$12)*100)</f>
        <v>86.3493190162628</v>
      </c>
    </row>
    <row r="16" customFormat="false" ht="42" hidden="false" customHeight="true" outlineLevel="0" collapsed="false">
      <c r="A16" s="25" t="s">
        <v>34</v>
      </c>
      <c r="B16" s="25" t="s">
        <v>50</v>
      </c>
      <c r="C16" s="25" t="s">
        <v>51</v>
      </c>
      <c r="D16" s="25" t="s">
        <v>52</v>
      </c>
      <c r="E16" s="25" t="s">
        <v>53</v>
      </c>
      <c r="F16" s="25" t="s">
        <v>54</v>
      </c>
      <c r="G16" s="25" t="s">
        <v>55</v>
      </c>
      <c r="H16" s="25" t="s">
        <v>56</v>
      </c>
      <c r="I16" s="25" t="s">
        <v>57</v>
      </c>
      <c r="J16" s="25" t="s">
        <v>58</v>
      </c>
      <c r="K16" s="25" t="s">
        <v>59</v>
      </c>
      <c r="L16" s="25" t="s">
        <v>60</v>
      </c>
      <c r="N16" s="21" t="n">
        <f aca="false">IF(8&lt;=$B$8,8,"")</f>
        <v>8</v>
      </c>
      <c r="O16" s="21" t="n">
        <f aca="false">IF(N16="","",N16/$B$8)</f>
        <v>0.666666666666667</v>
      </c>
      <c r="P16" s="22" t="n">
        <f aca="false">IF(N16="","",(1-(1-O16^$B$11)^$B$12)*100)</f>
        <v>95.7683617786764</v>
      </c>
      <c r="S16" s="24" t="s">
        <v>61</v>
      </c>
    </row>
    <row r="17" customFormat="false" ht="15" hidden="false" customHeight="false" outlineLevel="0" collapsed="false">
      <c r="A17" s="26" t="n">
        <v>1</v>
      </c>
      <c r="B17" s="27"/>
      <c r="C17" s="28"/>
      <c r="D17" s="17" t="str">
        <f aca="false">IF(OR($A17="",$A17&gt;$B$8,$C17=""),"",$C17/100*$B$7)</f>
        <v/>
      </c>
      <c r="E17" s="29"/>
      <c r="F17" s="28"/>
      <c r="G17" s="17" t="str">
        <f aca="false">IF(OR($A17="",$A17&gt;$B$8,$F17=""),"",$F17/100*$B$7)</f>
        <v/>
      </c>
      <c r="H17" s="17" t="str">
        <f aca="false">IF(OR($G17="",$E17=""),"",$G17-$E17)</f>
        <v/>
      </c>
      <c r="I17" s="17" t="str">
        <f aca="false">IF(OR($G17="",$D17=""),"",$G17-$D17)</f>
        <v/>
      </c>
      <c r="J17" s="14" t="str">
        <f aca="false">IF(OR($E17="",$E17=0,$G17=""),"",$G17/$E17)</f>
        <v/>
      </c>
      <c r="K17" s="14" t="str">
        <f aca="false">IF(OR($D17="",$D17=0,$G17=""),"",$G17/$D17)</f>
        <v/>
      </c>
      <c r="L17" s="30"/>
      <c r="N17" s="21" t="n">
        <f aca="false">IF(9&lt;=$B$8,9,"")</f>
        <v>9</v>
      </c>
      <c r="O17" s="21" t="n">
        <f aca="false">IF(N17="","",N17/$B$8)</f>
        <v>0.75</v>
      </c>
      <c r="P17" s="22" t="n">
        <f aca="false">IF(N17="","",(1-(1-O17^$B$11)^$B$12)*100)</f>
        <v>99.2785674207958</v>
      </c>
      <c r="S17" s="24" t="n">
        <f aca="false">IF($A17=$B$10,MAX($D$17:$G$66)*1.05,"")</f>
        <v>0</v>
      </c>
    </row>
    <row r="18" customFormat="false" ht="15" hidden="false" customHeight="false" outlineLevel="0" collapsed="false">
      <c r="A18" s="26" t="n">
        <v>2</v>
      </c>
      <c r="B18" s="27"/>
      <c r="C18" s="28"/>
      <c r="D18" s="17" t="str">
        <f aca="false">IF(OR($A18="",$A18&gt;$B$8,$C18=""),"",$C18/100*$B$7)</f>
        <v/>
      </c>
      <c r="E18" s="29"/>
      <c r="F18" s="28"/>
      <c r="G18" s="17" t="str">
        <f aca="false">IF(OR($A18="",$A18&gt;$B$8,$F18=""),"",$F18/100*$B$7)</f>
        <v/>
      </c>
      <c r="H18" s="17" t="str">
        <f aca="false">IF(OR($G18="",$E18=""),"",$G18-$E18)</f>
        <v/>
      </c>
      <c r="I18" s="17" t="str">
        <f aca="false">IF(OR($G18="",$D18=""),"",$G18-$D18)</f>
        <v/>
      </c>
      <c r="J18" s="14" t="str">
        <f aca="false">IF(OR($E18="",$E18=0,$G18=""),"",$G18/$E18)</f>
        <v/>
      </c>
      <c r="K18" s="14" t="str">
        <f aca="false">IF(OR($D18="",$D18=0,$G18=""),"",$G18/$D18)</f>
        <v/>
      </c>
      <c r="L18" s="30"/>
      <c r="N18" s="21" t="n">
        <f aca="false">IF(10&lt;=$B$8,10,"")</f>
        <v>10</v>
      </c>
      <c r="O18" s="21" t="n">
        <f aca="false">IF(N18="","",N18/$B$8)</f>
        <v>0.833333333333333</v>
      </c>
      <c r="P18" s="22" t="n">
        <f aca="false">IF(N18="","",(1-(1-O18^$B$11)^$B$12)*100)</f>
        <v>99.9581891717735</v>
      </c>
      <c r="S18" s="24" t="str">
        <f aca="false">IF($A18=$B$10,MAX($D$17:$G$66)*1.05,"")</f>
        <v/>
      </c>
    </row>
    <row r="19" customFormat="false" ht="15" hidden="false" customHeight="false" outlineLevel="0" collapsed="false">
      <c r="A19" s="26" t="n">
        <v>3</v>
      </c>
      <c r="B19" s="27"/>
      <c r="C19" s="28"/>
      <c r="D19" s="17" t="str">
        <f aca="false">IF(OR($A19="",$A19&gt;$B$8,$C19=""),"",$C19/100*$B$7)</f>
        <v/>
      </c>
      <c r="E19" s="29"/>
      <c r="F19" s="28"/>
      <c r="G19" s="17" t="str">
        <f aca="false">IF(OR($A19="",$A19&gt;$B$8,$F19=""),"",$F19/100*$B$7)</f>
        <v/>
      </c>
      <c r="H19" s="17" t="str">
        <f aca="false">IF(OR($G19="",$E19=""),"",$G19-$E19)</f>
        <v/>
      </c>
      <c r="I19" s="17" t="str">
        <f aca="false">IF(OR($G19="",$D19=""),"",$G19-$D19)</f>
        <v/>
      </c>
      <c r="J19" s="14" t="str">
        <f aca="false">IF(OR($E19="",$E19=0,$G19=""),"",$G19/$E19)</f>
        <v/>
      </c>
      <c r="K19" s="14" t="str">
        <f aca="false">IF(OR($D19="",$D19=0,$G19=""),"",$G19/$D19)</f>
        <v/>
      </c>
      <c r="L19" s="30"/>
      <c r="N19" s="21" t="n">
        <f aca="false">IF(11&lt;=$B$8,11,"")</f>
        <v>11</v>
      </c>
      <c r="O19" s="21" t="n">
        <f aca="false">IF(N19="","",N19/$B$8)</f>
        <v>0.916666666666667</v>
      </c>
      <c r="P19" s="22" t="n">
        <f aca="false">IF(N19="","",(1-(1-O19^$B$11)^$B$12)*100)</f>
        <v>99.9998216714339</v>
      </c>
      <c r="S19" s="24" t="str">
        <f aca="false">IF($A19=$B$10,MAX($D$17:$G$66)*1.05,"")</f>
        <v/>
      </c>
    </row>
    <row r="20" customFormat="false" ht="15" hidden="false" customHeight="false" outlineLevel="0" collapsed="false">
      <c r="A20" s="26" t="n">
        <v>4</v>
      </c>
      <c r="B20" s="27"/>
      <c r="C20" s="28"/>
      <c r="D20" s="17" t="str">
        <f aca="false">IF(OR($A20="",$A20&gt;$B$8,$C20=""),"",$C20/100*$B$7)</f>
        <v/>
      </c>
      <c r="E20" s="29"/>
      <c r="F20" s="28"/>
      <c r="G20" s="17" t="str">
        <f aca="false">IF(OR($A20="",$A20&gt;$B$8,$F20=""),"",$F20/100*$B$7)</f>
        <v/>
      </c>
      <c r="H20" s="17" t="str">
        <f aca="false">IF(OR($G20="",$E20=""),"",$G20-$E20)</f>
        <v/>
      </c>
      <c r="I20" s="17" t="str">
        <f aca="false">IF(OR($G20="",$D20=""),"",$G20-$D20)</f>
        <v/>
      </c>
      <c r="J20" s="14" t="str">
        <f aca="false">IF(OR($E20="",$E20=0,$G20=""),"",$G20/$E20)</f>
        <v/>
      </c>
      <c r="K20" s="14" t="str">
        <f aca="false">IF(OR($D20="",$D20=0,$G20=""),"",$G20/$D20)</f>
        <v/>
      </c>
      <c r="L20" s="30"/>
      <c r="N20" s="21" t="n">
        <f aca="false">IF(12&lt;=$B$8,12,"")</f>
        <v>12</v>
      </c>
      <c r="O20" s="21" t="n">
        <f aca="false">IF(N20="","",N20/$B$8)</f>
        <v>1</v>
      </c>
      <c r="P20" s="22" t="n">
        <f aca="false">IF(N20="","",(1-(1-O20^$B$11)^$B$12)*100)</f>
        <v>100</v>
      </c>
      <c r="S20" s="24" t="str">
        <f aca="false">IF($A20=$B$10,MAX($D$17:$G$66)*1.05,"")</f>
        <v/>
      </c>
    </row>
    <row r="21" customFormat="false" ht="15" hidden="false" customHeight="false" outlineLevel="0" collapsed="false">
      <c r="A21" s="26" t="n">
        <v>5</v>
      </c>
      <c r="B21" s="27"/>
      <c r="C21" s="28"/>
      <c r="D21" s="17" t="str">
        <f aca="false">IF(OR($A21="",$A21&gt;$B$8,$C21=""),"",$C21/100*$B$7)</f>
        <v/>
      </c>
      <c r="E21" s="29"/>
      <c r="F21" s="28"/>
      <c r="G21" s="17" t="str">
        <f aca="false">IF(OR($A21="",$A21&gt;$B$8,$F21=""),"",$F21/100*$B$7)</f>
        <v/>
      </c>
      <c r="H21" s="17" t="str">
        <f aca="false">IF(OR($G21="",$E21=""),"",$G21-$E21)</f>
        <v/>
      </c>
      <c r="I21" s="17" t="str">
        <f aca="false">IF(OR($G21="",$D21=""),"",$G21-$D21)</f>
        <v/>
      </c>
      <c r="J21" s="14" t="str">
        <f aca="false">IF(OR($E21="",$E21=0,$G21=""),"",$G21/$E21)</f>
        <v/>
      </c>
      <c r="K21" s="14" t="str">
        <f aca="false">IF(OR($D21="",$D21=0,$G21=""),"",$G21/$D21)</f>
        <v/>
      </c>
      <c r="L21" s="30"/>
      <c r="N21" s="21" t="str">
        <f aca="false">IF(13&lt;=$B$8,13,"")</f>
        <v/>
      </c>
      <c r="O21" s="21" t="str">
        <f aca="false">IF(N21="","",N21/$B$8)</f>
        <v/>
      </c>
      <c r="P21" s="22" t="str">
        <f aca="false">IF(N21="","",(1-(1-O21^$B$11)^$B$12)*100)</f>
        <v/>
      </c>
      <c r="S21" s="24" t="str">
        <f aca="false">IF($A21=$B$10,MAX($D$17:$G$66)*1.05,"")</f>
        <v/>
      </c>
    </row>
    <row r="22" customFormat="false" ht="15" hidden="false" customHeight="false" outlineLevel="0" collapsed="false">
      <c r="A22" s="26" t="n">
        <v>6</v>
      </c>
      <c r="B22" s="27"/>
      <c r="C22" s="28"/>
      <c r="D22" s="17" t="str">
        <f aca="false">IF(OR($A22="",$A22&gt;$B$8,$C22=""),"",$C22/100*$B$7)</f>
        <v/>
      </c>
      <c r="E22" s="29"/>
      <c r="F22" s="28"/>
      <c r="G22" s="17" t="str">
        <f aca="false">IF(OR($A22="",$A22&gt;$B$8,$F22=""),"",$F22/100*$B$7)</f>
        <v/>
      </c>
      <c r="H22" s="17" t="str">
        <f aca="false">IF(OR($G22="",$E22=""),"",$G22-$E22)</f>
        <v/>
      </c>
      <c r="I22" s="17" t="str">
        <f aca="false">IF(OR($G22="",$D22=""),"",$G22-$D22)</f>
        <v/>
      </c>
      <c r="J22" s="14" t="str">
        <f aca="false">IF(OR($E22="",$E22=0,$G22=""),"",$G22/$E22)</f>
        <v/>
      </c>
      <c r="K22" s="14" t="str">
        <f aca="false">IF(OR($D22="",$D22=0,$G22=""),"",$G22/$D22)</f>
        <v/>
      </c>
      <c r="L22" s="30"/>
      <c r="N22" s="21" t="str">
        <f aca="false">IF(14&lt;=$B$8,14,"")</f>
        <v/>
      </c>
      <c r="O22" s="21" t="str">
        <f aca="false">IF(N22="","",N22/$B$8)</f>
        <v/>
      </c>
      <c r="P22" s="22" t="str">
        <f aca="false">IF(N22="","",(1-(1-O22^$B$11)^$B$12)*100)</f>
        <v/>
      </c>
      <c r="S22" s="24" t="str">
        <f aca="false">IF($A22=$B$10,MAX($D$17:$G$66)*1.05,"")</f>
        <v/>
      </c>
    </row>
    <row r="23" customFormat="false" ht="15" hidden="false" customHeight="false" outlineLevel="0" collapsed="false">
      <c r="A23" s="26" t="n">
        <v>7</v>
      </c>
      <c r="B23" s="27"/>
      <c r="C23" s="28"/>
      <c r="D23" s="17" t="str">
        <f aca="false">IF(OR($A23="",$A23&gt;$B$8,$C23=""),"",$C23/100*$B$7)</f>
        <v/>
      </c>
      <c r="E23" s="29"/>
      <c r="F23" s="28"/>
      <c r="G23" s="17" t="str">
        <f aca="false">IF(OR($A23="",$A23&gt;$B$8,$F23=""),"",$F23/100*$B$7)</f>
        <v/>
      </c>
      <c r="H23" s="17" t="str">
        <f aca="false">IF(OR($G23="",$E23=""),"",$G23-$E23)</f>
        <v/>
      </c>
      <c r="I23" s="17" t="str">
        <f aca="false">IF(OR($G23="",$D23=""),"",$G23-$D23)</f>
        <v/>
      </c>
      <c r="J23" s="14" t="str">
        <f aca="false">IF(OR($E23="",$E23=0,$G23=""),"",$G23/$E23)</f>
        <v/>
      </c>
      <c r="K23" s="14" t="str">
        <f aca="false">IF(OR($D23="",$D23=0,$G23=""),"",$G23/$D23)</f>
        <v/>
      </c>
      <c r="L23" s="30"/>
      <c r="N23" s="21" t="str">
        <f aca="false">IF(15&lt;=$B$8,15,"")</f>
        <v/>
      </c>
      <c r="O23" s="21" t="str">
        <f aca="false">IF(N23="","",N23/$B$8)</f>
        <v/>
      </c>
      <c r="P23" s="22" t="str">
        <f aca="false">IF(N23="","",(1-(1-O23^$B$11)^$B$12)*100)</f>
        <v/>
      </c>
      <c r="S23" s="24" t="str">
        <f aca="false">IF($A23=$B$10,MAX($D$17:$G$66)*1.05,"")</f>
        <v/>
      </c>
    </row>
    <row r="24" customFormat="false" ht="15" hidden="false" customHeight="false" outlineLevel="0" collapsed="false">
      <c r="A24" s="26" t="n">
        <v>8</v>
      </c>
      <c r="B24" s="27"/>
      <c r="C24" s="28"/>
      <c r="D24" s="17" t="str">
        <f aca="false">IF(OR($A24="",$A24&gt;$B$8,$C24=""),"",$C24/100*$B$7)</f>
        <v/>
      </c>
      <c r="E24" s="29"/>
      <c r="F24" s="28"/>
      <c r="G24" s="17" t="str">
        <f aca="false">IF(OR($A24="",$A24&gt;$B$8,$F24=""),"",$F24/100*$B$7)</f>
        <v/>
      </c>
      <c r="H24" s="17" t="str">
        <f aca="false">IF(OR($G24="",$E24=""),"",$G24-$E24)</f>
        <v/>
      </c>
      <c r="I24" s="17" t="str">
        <f aca="false">IF(OR($G24="",$D24=""),"",$G24-$D24)</f>
        <v/>
      </c>
      <c r="J24" s="14" t="str">
        <f aca="false">IF(OR($E24="",$E24=0,$G24=""),"",$G24/$E24)</f>
        <v/>
      </c>
      <c r="K24" s="14" t="str">
        <f aca="false">IF(OR($D24="",$D24=0,$G24=""),"",$G24/$D24)</f>
        <v/>
      </c>
      <c r="L24" s="30"/>
      <c r="N24" s="21" t="str">
        <f aca="false">IF(16&lt;=$B$8,16,"")</f>
        <v/>
      </c>
      <c r="O24" s="21" t="str">
        <f aca="false">IF(N24="","",N24/$B$8)</f>
        <v/>
      </c>
      <c r="P24" s="22" t="str">
        <f aca="false">IF(N24="","",(1-(1-O24^$B$11)^$B$12)*100)</f>
        <v/>
      </c>
      <c r="S24" s="24" t="str">
        <f aca="false">IF($A24=$B$10,MAX($D$17:$G$66)*1.05,"")</f>
        <v/>
      </c>
    </row>
    <row r="25" customFormat="false" ht="15" hidden="false" customHeight="false" outlineLevel="0" collapsed="false">
      <c r="A25" s="26" t="n">
        <v>9</v>
      </c>
      <c r="B25" s="27"/>
      <c r="C25" s="28"/>
      <c r="D25" s="17" t="str">
        <f aca="false">IF(OR($A25="",$A25&gt;$B$8,$C25=""),"",$C25/100*$B$7)</f>
        <v/>
      </c>
      <c r="E25" s="29"/>
      <c r="F25" s="28"/>
      <c r="G25" s="17" t="str">
        <f aca="false">IF(OR($A25="",$A25&gt;$B$8,$F25=""),"",$F25/100*$B$7)</f>
        <v/>
      </c>
      <c r="H25" s="17" t="str">
        <f aca="false">IF(OR($G25="",$E25=""),"",$G25-$E25)</f>
        <v/>
      </c>
      <c r="I25" s="17" t="str">
        <f aca="false">IF(OR($G25="",$D25=""),"",$G25-$D25)</f>
        <v/>
      </c>
      <c r="J25" s="14" t="str">
        <f aca="false">IF(OR($E25="",$E25=0,$G25=""),"",$G25/$E25)</f>
        <v/>
      </c>
      <c r="K25" s="14" t="str">
        <f aca="false">IF(OR($D25="",$D25=0,$G25=""),"",$G25/$D25)</f>
        <v/>
      </c>
      <c r="L25" s="30"/>
      <c r="N25" s="21" t="str">
        <f aca="false">IF(17&lt;=$B$8,17,"")</f>
        <v/>
      </c>
      <c r="O25" s="21" t="str">
        <f aca="false">IF(N25="","",N25/$B$8)</f>
        <v/>
      </c>
      <c r="P25" s="22" t="str">
        <f aca="false">IF(N25="","",(1-(1-O25^$B$11)^$B$12)*100)</f>
        <v/>
      </c>
      <c r="S25" s="24" t="str">
        <f aca="false">IF($A25=$B$10,MAX($D$17:$G$66)*1.05,"")</f>
        <v/>
      </c>
    </row>
    <row r="26" customFormat="false" ht="15" hidden="false" customHeight="false" outlineLevel="0" collapsed="false">
      <c r="A26" s="26" t="n">
        <v>10</v>
      </c>
      <c r="B26" s="27"/>
      <c r="C26" s="28"/>
      <c r="D26" s="17" t="str">
        <f aca="false">IF(OR($A26="",$A26&gt;$B$8,$C26=""),"",$C26/100*$B$7)</f>
        <v/>
      </c>
      <c r="E26" s="29"/>
      <c r="F26" s="28"/>
      <c r="G26" s="17" t="str">
        <f aca="false">IF(OR($A26="",$A26&gt;$B$8,$F26=""),"",$F26/100*$B$7)</f>
        <v/>
      </c>
      <c r="H26" s="17" t="str">
        <f aca="false">IF(OR($G26="",$E26=""),"",$G26-$E26)</f>
        <v/>
      </c>
      <c r="I26" s="17" t="str">
        <f aca="false">IF(OR($G26="",$D26=""),"",$G26-$D26)</f>
        <v/>
      </c>
      <c r="J26" s="14" t="str">
        <f aca="false">IF(OR($E26="",$E26=0,$G26=""),"",$G26/$E26)</f>
        <v/>
      </c>
      <c r="K26" s="14" t="str">
        <f aca="false">IF(OR($D26="",$D26=0,$G26=""),"",$G26/$D26)</f>
        <v/>
      </c>
      <c r="L26" s="30"/>
      <c r="N26" s="21" t="str">
        <f aca="false">IF(18&lt;=$B$8,18,"")</f>
        <v/>
      </c>
      <c r="O26" s="21" t="str">
        <f aca="false">IF(N26="","",N26/$B$8)</f>
        <v/>
      </c>
      <c r="P26" s="22" t="str">
        <f aca="false">IF(N26="","",(1-(1-O26^$B$11)^$B$12)*100)</f>
        <v/>
      </c>
      <c r="S26" s="24" t="str">
        <f aca="false">IF($A26=$B$10,MAX($D$17:$G$66)*1.05,"")</f>
        <v/>
      </c>
    </row>
    <row r="27" customFormat="false" ht="15" hidden="false" customHeight="false" outlineLevel="0" collapsed="false">
      <c r="A27" s="26" t="n">
        <v>11</v>
      </c>
      <c r="B27" s="27"/>
      <c r="C27" s="28"/>
      <c r="D27" s="17" t="str">
        <f aca="false">IF(OR($A27="",$A27&gt;$B$8,$C27=""),"",$C27/100*$B$7)</f>
        <v/>
      </c>
      <c r="E27" s="29"/>
      <c r="F27" s="28"/>
      <c r="G27" s="17" t="str">
        <f aca="false">IF(OR($A27="",$A27&gt;$B$8,$F27=""),"",$F27/100*$B$7)</f>
        <v/>
      </c>
      <c r="H27" s="17" t="str">
        <f aca="false">IF(OR($G27="",$E27=""),"",$G27-$E27)</f>
        <v/>
      </c>
      <c r="I27" s="17" t="str">
        <f aca="false">IF(OR($G27="",$D27=""),"",$G27-$D27)</f>
        <v/>
      </c>
      <c r="J27" s="14" t="str">
        <f aca="false">IF(OR($E27="",$E27=0,$G27=""),"",$G27/$E27)</f>
        <v/>
      </c>
      <c r="K27" s="14" t="str">
        <f aca="false">IF(OR($D27="",$D27=0,$G27=""),"",$G27/$D27)</f>
        <v/>
      </c>
      <c r="L27" s="30"/>
      <c r="N27" s="21" t="str">
        <f aca="false">IF(19&lt;=$B$8,19,"")</f>
        <v/>
      </c>
      <c r="O27" s="21" t="str">
        <f aca="false">IF(N27="","",N27/$B$8)</f>
        <v/>
      </c>
      <c r="P27" s="22" t="str">
        <f aca="false">IF(N27="","",(1-(1-O27^$B$11)^$B$12)*100)</f>
        <v/>
      </c>
      <c r="S27" s="24" t="str">
        <f aca="false">IF($A27=$B$10,MAX($D$17:$G$66)*1.05,"")</f>
        <v/>
      </c>
    </row>
    <row r="28" customFormat="false" ht="15" hidden="false" customHeight="false" outlineLevel="0" collapsed="false">
      <c r="A28" s="26" t="n">
        <v>12</v>
      </c>
      <c r="B28" s="27"/>
      <c r="C28" s="28"/>
      <c r="D28" s="17" t="str">
        <f aca="false">IF(OR($A28="",$A28&gt;$B$8,$C28=""),"",$C28/100*$B$7)</f>
        <v/>
      </c>
      <c r="E28" s="29"/>
      <c r="F28" s="28"/>
      <c r="G28" s="17" t="str">
        <f aca="false">IF(OR($A28="",$A28&gt;$B$8,$F28=""),"",$F28/100*$B$7)</f>
        <v/>
      </c>
      <c r="H28" s="17" t="str">
        <f aca="false">IF(OR($G28="",$E28=""),"",$G28-$E28)</f>
        <v/>
      </c>
      <c r="I28" s="17" t="str">
        <f aca="false">IF(OR($G28="",$D28=""),"",$G28-$D28)</f>
        <v/>
      </c>
      <c r="J28" s="14" t="str">
        <f aca="false">IF(OR($E28="",$E28=0,$G28=""),"",$G28/$E28)</f>
        <v/>
      </c>
      <c r="K28" s="14" t="str">
        <f aca="false">IF(OR($D28="",$D28=0,$G28=""),"",$G28/$D28)</f>
        <v/>
      </c>
      <c r="L28" s="30"/>
      <c r="N28" s="21" t="str">
        <f aca="false">IF(20&lt;=$B$8,20,"")</f>
        <v/>
      </c>
      <c r="O28" s="21" t="str">
        <f aca="false">IF(N28="","",N28/$B$8)</f>
        <v/>
      </c>
      <c r="P28" s="22" t="str">
        <f aca="false">IF(N28="","",(1-(1-O28^$B$11)^$B$12)*100)</f>
        <v/>
      </c>
      <c r="S28" s="24" t="str">
        <f aca="false">IF($A28=$B$10,MAX($D$17:$G$66)*1.05,"")</f>
        <v/>
      </c>
    </row>
    <row r="29" customFormat="false" ht="15" hidden="false" customHeight="false" outlineLevel="0" collapsed="false">
      <c r="A29" s="26" t="n">
        <v>13</v>
      </c>
      <c r="B29" s="27"/>
      <c r="C29" s="28"/>
      <c r="D29" s="17" t="str">
        <f aca="false">IF(OR($A29="",$A29&gt;$B$8,$C29=""),"",$C29/100*$B$7)</f>
        <v/>
      </c>
      <c r="E29" s="29"/>
      <c r="F29" s="28"/>
      <c r="G29" s="17" t="str">
        <f aca="false">IF(OR($A29="",$A29&gt;$B$8,$F29=""),"",$F29/100*$B$7)</f>
        <v/>
      </c>
      <c r="H29" s="17" t="str">
        <f aca="false">IF(OR($G29="",$E29=""),"",$G29-$E29)</f>
        <v/>
      </c>
      <c r="I29" s="17" t="str">
        <f aca="false">IF(OR($G29="",$D29=""),"",$G29-$D29)</f>
        <v/>
      </c>
      <c r="J29" s="14" t="str">
        <f aca="false">IF(OR($E29="",$E29=0,$G29=""),"",$G29/$E29)</f>
        <v/>
      </c>
      <c r="K29" s="14" t="str">
        <f aca="false">IF(OR($D29="",$D29=0,$G29=""),"",$G29/$D29)</f>
        <v/>
      </c>
      <c r="L29" s="30"/>
      <c r="N29" s="21" t="str">
        <f aca="false">IF(21&lt;=$B$8,21,"")</f>
        <v/>
      </c>
      <c r="O29" s="21" t="str">
        <f aca="false">IF(N29="","",N29/$B$8)</f>
        <v/>
      </c>
      <c r="P29" s="22" t="str">
        <f aca="false">IF(N29="","",(1-(1-O29^$B$11)^$B$12)*100)</f>
        <v/>
      </c>
      <c r="S29" s="24" t="str">
        <f aca="false">IF($A29=$B$10,MAX($D$17:$G$66)*1.05,"")</f>
        <v/>
      </c>
    </row>
    <row r="30" customFormat="false" ht="15" hidden="false" customHeight="false" outlineLevel="0" collapsed="false">
      <c r="A30" s="26" t="n">
        <v>14</v>
      </c>
      <c r="B30" s="27"/>
      <c r="C30" s="28"/>
      <c r="D30" s="17" t="str">
        <f aca="false">IF(OR($A30="",$A30&gt;$B$8,$C30=""),"",$C30/100*$B$7)</f>
        <v/>
      </c>
      <c r="E30" s="29"/>
      <c r="F30" s="28"/>
      <c r="G30" s="17" t="str">
        <f aca="false">IF(OR($A30="",$A30&gt;$B$8,$F30=""),"",$F30/100*$B$7)</f>
        <v/>
      </c>
      <c r="H30" s="17" t="str">
        <f aca="false">IF(OR($G30="",$E30=""),"",$G30-$E30)</f>
        <v/>
      </c>
      <c r="I30" s="17" t="str">
        <f aca="false">IF(OR($G30="",$D30=""),"",$G30-$D30)</f>
        <v/>
      </c>
      <c r="J30" s="14" t="str">
        <f aca="false">IF(OR($E30="",$E30=0,$G30=""),"",$G30/$E30)</f>
        <v/>
      </c>
      <c r="K30" s="14" t="str">
        <f aca="false">IF(OR($D30="",$D30=0,$G30=""),"",$G30/$D30)</f>
        <v/>
      </c>
      <c r="L30" s="30"/>
      <c r="N30" s="21" t="str">
        <f aca="false">IF(22&lt;=$B$8,22,"")</f>
        <v/>
      </c>
      <c r="O30" s="21" t="str">
        <f aca="false">IF(N30="","",N30/$B$8)</f>
        <v/>
      </c>
      <c r="P30" s="22" t="str">
        <f aca="false">IF(N30="","",(1-(1-O30^$B$11)^$B$12)*100)</f>
        <v/>
      </c>
      <c r="S30" s="24" t="str">
        <f aca="false">IF($A30=$B$10,MAX($D$17:$G$66)*1.05,"")</f>
        <v/>
      </c>
    </row>
    <row r="31" customFormat="false" ht="15" hidden="false" customHeight="false" outlineLevel="0" collapsed="false">
      <c r="A31" s="26" t="n">
        <v>15</v>
      </c>
      <c r="B31" s="27"/>
      <c r="C31" s="28"/>
      <c r="D31" s="17" t="str">
        <f aca="false">IF(OR($A31="",$A31&gt;$B$8,$C31=""),"",$C31/100*$B$7)</f>
        <v/>
      </c>
      <c r="E31" s="29"/>
      <c r="F31" s="28"/>
      <c r="G31" s="17" t="str">
        <f aca="false">IF(OR($A31="",$A31&gt;$B$8,$F31=""),"",$F31/100*$B$7)</f>
        <v/>
      </c>
      <c r="H31" s="17" t="str">
        <f aca="false">IF(OR($G31="",$E31=""),"",$G31-$E31)</f>
        <v/>
      </c>
      <c r="I31" s="17" t="str">
        <f aca="false">IF(OR($G31="",$D31=""),"",$G31-$D31)</f>
        <v/>
      </c>
      <c r="J31" s="14" t="str">
        <f aca="false">IF(OR($E31="",$E31=0,$G31=""),"",$G31/$E31)</f>
        <v/>
      </c>
      <c r="K31" s="14" t="str">
        <f aca="false">IF(OR($D31="",$D31=0,$G31=""),"",$G31/$D31)</f>
        <v/>
      </c>
      <c r="L31" s="30"/>
      <c r="N31" s="21" t="str">
        <f aca="false">IF(23&lt;=$B$8,23,"")</f>
        <v/>
      </c>
      <c r="O31" s="21" t="str">
        <f aca="false">IF(N31="","",N31/$B$8)</f>
        <v/>
      </c>
      <c r="P31" s="22" t="str">
        <f aca="false">IF(N31="","",(1-(1-O31^$B$11)^$B$12)*100)</f>
        <v/>
      </c>
      <c r="S31" s="24" t="str">
        <f aca="false">IF($A31=$B$10,MAX($D$17:$G$66)*1.05,"")</f>
        <v/>
      </c>
    </row>
    <row r="32" customFormat="false" ht="15" hidden="false" customHeight="false" outlineLevel="0" collapsed="false">
      <c r="A32" s="26" t="n">
        <v>16</v>
      </c>
      <c r="B32" s="27"/>
      <c r="C32" s="28"/>
      <c r="D32" s="17" t="str">
        <f aca="false">IF(OR($A32="",$A32&gt;$B$8,$C32=""),"",$C32/100*$B$7)</f>
        <v/>
      </c>
      <c r="E32" s="29"/>
      <c r="F32" s="28"/>
      <c r="G32" s="17" t="str">
        <f aca="false">IF(OR($A32="",$A32&gt;$B$8,$F32=""),"",$F32/100*$B$7)</f>
        <v/>
      </c>
      <c r="H32" s="17" t="str">
        <f aca="false">IF(OR($G32="",$E32=""),"",$G32-$E32)</f>
        <v/>
      </c>
      <c r="I32" s="17" t="str">
        <f aca="false">IF(OR($G32="",$D32=""),"",$G32-$D32)</f>
        <v/>
      </c>
      <c r="J32" s="14" t="str">
        <f aca="false">IF(OR($E32="",$E32=0,$G32=""),"",$G32/$E32)</f>
        <v/>
      </c>
      <c r="K32" s="14" t="str">
        <f aca="false">IF(OR($D32="",$D32=0,$G32=""),"",$G32/$D32)</f>
        <v/>
      </c>
      <c r="L32" s="30"/>
      <c r="N32" s="21" t="str">
        <f aca="false">IF(24&lt;=$B$8,24,"")</f>
        <v/>
      </c>
      <c r="O32" s="21" t="str">
        <f aca="false">IF(N32="","",N32/$B$8)</f>
        <v/>
      </c>
      <c r="P32" s="22" t="str">
        <f aca="false">IF(N32="","",(1-(1-O32^$B$11)^$B$12)*100)</f>
        <v/>
      </c>
      <c r="S32" s="24" t="str">
        <f aca="false">IF($A32=$B$10,MAX($D$17:$G$66)*1.05,"")</f>
        <v/>
      </c>
    </row>
    <row r="33" customFormat="false" ht="15" hidden="false" customHeight="false" outlineLevel="0" collapsed="false">
      <c r="A33" s="26" t="n">
        <v>17</v>
      </c>
      <c r="B33" s="27"/>
      <c r="C33" s="28"/>
      <c r="D33" s="17" t="str">
        <f aca="false">IF(OR($A33="",$A33&gt;$B$8,$C33=""),"",$C33/100*$B$7)</f>
        <v/>
      </c>
      <c r="E33" s="29"/>
      <c r="F33" s="28"/>
      <c r="G33" s="17" t="str">
        <f aca="false">IF(OR($A33="",$A33&gt;$B$8,$F33=""),"",$F33/100*$B$7)</f>
        <v/>
      </c>
      <c r="H33" s="17" t="str">
        <f aca="false">IF(OR($G33="",$E33=""),"",$G33-$E33)</f>
        <v/>
      </c>
      <c r="I33" s="17" t="str">
        <f aca="false">IF(OR($G33="",$D33=""),"",$G33-$D33)</f>
        <v/>
      </c>
      <c r="J33" s="14" t="str">
        <f aca="false">IF(OR($E33="",$E33=0,$G33=""),"",$G33/$E33)</f>
        <v/>
      </c>
      <c r="K33" s="14" t="str">
        <f aca="false">IF(OR($D33="",$D33=0,$G33=""),"",$G33/$D33)</f>
        <v/>
      </c>
      <c r="L33" s="30"/>
      <c r="N33" s="21" t="str">
        <f aca="false">IF(25&lt;=$B$8,25,"")</f>
        <v/>
      </c>
      <c r="O33" s="21" t="str">
        <f aca="false">IF(N33="","",N33/$B$8)</f>
        <v/>
      </c>
      <c r="P33" s="22" t="str">
        <f aca="false">IF(N33="","",(1-(1-O33^$B$11)^$B$12)*100)</f>
        <v/>
      </c>
      <c r="S33" s="24" t="str">
        <f aca="false">IF($A33=$B$10,MAX($D$17:$G$66)*1.05,"")</f>
        <v/>
      </c>
    </row>
    <row r="34" customFormat="false" ht="15" hidden="false" customHeight="false" outlineLevel="0" collapsed="false">
      <c r="A34" s="26" t="n">
        <v>18</v>
      </c>
      <c r="B34" s="27"/>
      <c r="C34" s="28"/>
      <c r="D34" s="17" t="str">
        <f aca="false">IF(OR($A34="",$A34&gt;$B$8,$C34=""),"",$C34/100*$B$7)</f>
        <v/>
      </c>
      <c r="E34" s="29"/>
      <c r="F34" s="28"/>
      <c r="G34" s="17" t="str">
        <f aca="false">IF(OR($A34="",$A34&gt;$B$8,$F34=""),"",$F34/100*$B$7)</f>
        <v/>
      </c>
      <c r="H34" s="17" t="str">
        <f aca="false">IF(OR($G34="",$E34=""),"",$G34-$E34)</f>
        <v/>
      </c>
      <c r="I34" s="17" t="str">
        <f aca="false">IF(OR($G34="",$D34=""),"",$G34-$D34)</f>
        <v/>
      </c>
      <c r="J34" s="14" t="str">
        <f aca="false">IF(OR($E34="",$E34=0,$G34=""),"",$G34/$E34)</f>
        <v/>
      </c>
      <c r="K34" s="14" t="str">
        <f aca="false">IF(OR($D34="",$D34=0,$G34=""),"",$G34/$D34)</f>
        <v/>
      </c>
      <c r="L34" s="30"/>
      <c r="N34" s="21" t="str">
        <f aca="false">IF(26&lt;=$B$8,26,"")</f>
        <v/>
      </c>
      <c r="O34" s="21" t="str">
        <f aca="false">IF(N34="","",N34/$B$8)</f>
        <v/>
      </c>
      <c r="P34" s="22" t="str">
        <f aca="false">IF(N34="","",(1-(1-O34^$B$11)^$B$12)*100)</f>
        <v/>
      </c>
      <c r="S34" s="24" t="str">
        <f aca="false">IF($A34=$B$10,MAX($D$17:$G$66)*1.05,"")</f>
        <v/>
      </c>
    </row>
    <row r="35" customFormat="false" ht="15" hidden="false" customHeight="false" outlineLevel="0" collapsed="false">
      <c r="A35" s="26" t="n">
        <v>19</v>
      </c>
      <c r="B35" s="27"/>
      <c r="C35" s="28"/>
      <c r="D35" s="17" t="str">
        <f aca="false">IF(OR($A35="",$A35&gt;$B$8,$C35=""),"",$C35/100*$B$7)</f>
        <v/>
      </c>
      <c r="E35" s="29"/>
      <c r="F35" s="28"/>
      <c r="G35" s="17" t="str">
        <f aca="false">IF(OR($A35="",$A35&gt;$B$8,$F35=""),"",$F35/100*$B$7)</f>
        <v/>
      </c>
      <c r="H35" s="17" t="str">
        <f aca="false">IF(OR($G35="",$E35=""),"",$G35-$E35)</f>
        <v/>
      </c>
      <c r="I35" s="17" t="str">
        <f aca="false">IF(OR($G35="",$D35=""),"",$G35-$D35)</f>
        <v/>
      </c>
      <c r="J35" s="14" t="str">
        <f aca="false">IF(OR($E35="",$E35=0,$G35=""),"",$G35/$E35)</f>
        <v/>
      </c>
      <c r="K35" s="14" t="str">
        <f aca="false">IF(OR($D35="",$D35=0,$G35=""),"",$G35/$D35)</f>
        <v/>
      </c>
      <c r="L35" s="30"/>
      <c r="N35" s="21" t="str">
        <f aca="false">IF(27&lt;=$B$8,27,"")</f>
        <v/>
      </c>
      <c r="O35" s="21" t="str">
        <f aca="false">IF(N35="","",N35/$B$8)</f>
        <v/>
      </c>
      <c r="P35" s="22" t="str">
        <f aca="false">IF(N35="","",(1-(1-O35^$B$11)^$B$12)*100)</f>
        <v/>
      </c>
      <c r="S35" s="24" t="str">
        <f aca="false">IF($A35=$B$10,MAX($D$17:$G$66)*1.05,"")</f>
        <v/>
      </c>
    </row>
    <row r="36" customFormat="false" ht="15" hidden="false" customHeight="false" outlineLevel="0" collapsed="false">
      <c r="A36" s="26" t="n">
        <v>20</v>
      </c>
      <c r="B36" s="27"/>
      <c r="C36" s="28"/>
      <c r="D36" s="17" t="str">
        <f aca="false">IF(OR($A36="",$A36&gt;$B$8,$C36=""),"",$C36/100*$B$7)</f>
        <v/>
      </c>
      <c r="E36" s="29"/>
      <c r="F36" s="28"/>
      <c r="G36" s="17" t="str">
        <f aca="false">IF(OR($A36="",$A36&gt;$B$8,$F36=""),"",$F36/100*$B$7)</f>
        <v/>
      </c>
      <c r="H36" s="17" t="str">
        <f aca="false">IF(OR($G36="",$E36=""),"",$G36-$E36)</f>
        <v/>
      </c>
      <c r="I36" s="17" t="str">
        <f aca="false">IF(OR($G36="",$D36=""),"",$G36-$D36)</f>
        <v/>
      </c>
      <c r="J36" s="14" t="str">
        <f aca="false">IF(OR($E36="",$E36=0,$G36=""),"",$G36/$E36)</f>
        <v/>
      </c>
      <c r="K36" s="14" t="str">
        <f aca="false">IF(OR($D36="",$D36=0,$G36=""),"",$G36/$D36)</f>
        <v/>
      </c>
      <c r="L36" s="30"/>
      <c r="N36" s="21" t="str">
        <f aca="false">IF(28&lt;=$B$8,28,"")</f>
        <v/>
      </c>
      <c r="O36" s="21" t="str">
        <f aca="false">IF(N36="","",N36/$B$8)</f>
        <v/>
      </c>
      <c r="P36" s="22" t="str">
        <f aca="false">IF(N36="","",(1-(1-O36^$B$11)^$B$12)*100)</f>
        <v/>
      </c>
      <c r="S36" s="24" t="str">
        <f aca="false">IF($A36=$B$10,MAX($D$17:$G$66)*1.05,"")</f>
        <v/>
      </c>
    </row>
    <row r="37" customFormat="false" ht="15" hidden="false" customHeight="false" outlineLevel="0" collapsed="false">
      <c r="A37" s="26" t="n">
        <v>21</v>
      </c>
      <c r="B37" s="27"/>
      <c r="C37" s="28"/>
      <c r="D37" s="17" t="str">
        <f aca="false">IF(OR($A37="",$A37&gt;$B$8,$C37=""),"",$C37/100*$B$7)</f>
        <v/>
      </c>
      <c r="E37" s="29"/>
      <c r="F37" s="28"/>
      <c r="G37" s="17" t="str">
        <f aca="false">IF(OR($A37="",$A37&gt;$B$8,$F37=""),"",$F37/100*$B$7)</f>
        <v/>
      </c>
      <c r="H37" s="17" t="str">
        <f aca="false">IF(OR($G37="",$E37=""),"",$G37-$E37)</f>
        <v/>
      </c>
      <c r="I37" s="17" t="str">
        <f aca="false">IF(OR($G37="",$D37=""),"",$G37-$D37)</f>
        <v/>
      </c>
      <c r="J37" s="14" t="str">
        <f aca="false">IF(OR($E37="",$E37=0,$G37=""),"",$G37/$E37)</f>
        <v/>
      </c>
      <c r="K37" s="14" t="str">
        <f aca="false">IF(OR($D37="",$D37=0,$G37=""),"",$G37/$D37)</f>
        <v/>
      </c>
      <c r="L37" s="30"/>
      <c r="N37" s="21" t="str">
        <f aca="false">IF(29&lt;=$B$8,29,"")</f>
        <v/>
      </c>
      <c r="O37" s="21" t="str">
        <f aca="false">IF(N37="","",N37/$B$8)</f>
        <v/>
      </c>
      <c r="P37" s="22" t="str">
        <f aca="false">IF(N37="","",(1-(1-O37^$B$11)^$B$12)*100)</f>
        <v/>
      </c>
      <c r="S37" s="24" t="str">
        <f aca="false">IF($A37=$B$10,MAX($D$17:$G$66)*1.05,"")</f>
        <v/>
      </c>
    </row>
    <row r="38" customFormat="false" ht="15" hidden="false" customHeight="false" outlineLevel="0" collapsed="false">
      <c r="A38" s="26" t="n">
        <v>22</v>
      </c>
      <c r="B38" s="27"/>
      <c r="C38" s="28"/>
      <c r="D38" s="17" t="str">
        <f aca="false">IF(OR($A38="",$A38&gt;$B$8,$C38=""),"",$C38/100*$B$7)</f>
        <v/>
      </c>
      <c r="E38" s="29"/>
      <c r="F38" s="28"/>
      <c r="G38" s="17" t="str">
        <f aca="false">IF(OR($A38="",$A38&gt;$B$8,$F38=""),"",$F38/100*$B$7)</f>
        <v/>
      </c>
      <c r="H38" s="17" t="str">
        <f aca="false">IF(OR($G38="",$E38=""),"",$G38-$E38)</f>
        <v/>
      </c>
      <c r="I38" s="17" t="str">
        <f aca="false">IF(OR($G38="",$D38=""),"",$G38-$D38)</f>
        <v/>
      </c>
      <c r="J38" s="14" t="str">
        <f aca="false">IF(OR($E38="",$E38=0,$G38=""),"",$G38/$E38)</f>
        <v/>
      </c>
      <c r="K38" s="14" t="str">
        <f aca="false">IF(OR($D38="",$D38=0,$G38=""),"",$G38/$D38)</f>
        <v/>
      </c>
      <c r="L38" s="30"/>
      <c r="N38" s="21" t="str">
        <f aca="false">IF(30&lt;=$B$8,30,"")</f>
        <v/>
      </c>
      <c r="O38" s="21" t="str">
        <f aca="false">IF(N38="","",N38/$B$8)</f>
        <v/>
      </c>
      <c r="P38" s="22" t="str">
        <f aca="false">IF(N38="","",(1-(1-O38^$B$11)^$B$12)*100)</f>
        <v/>
      </c>
      <c r="S38" s="24" t="str">
        <f aca="false">IF($A38=$B$10,MAX($D$17:$G$66)*1.05,"")</f>
        <v/>
      </c>
    </row>
    <row r="39" customFormat="false" ht="15" hidden="false" customHeight="false" outlineLevel="0" collapsed="false">
      <c r="A39" s="26" t="n">
        <v>23</v>
      </c>
      <c r="B39" s="27"/>
      <c r="C39" s="28"/>
      <c r="D39" s="17" t="str">
        <f aca="false">IF(OR($A39="",$A39&gt;$B$8,$C39=""),"",$C39/100*$B$7)</f>
        <v/>
      </c>
      <c r="E39" s="29"/>
      <c r="F39" s="28"/>
      <c r="G39" s="17" t="str">
        <f aca="false">IF(OR($A39="",$A39&gt;$B$8,$F39=""),"",$F39/100*$B$7)</f>
        <v/>
      </c>
      <c r="H39" s="17" t="str">
        <f aca="false">IF(OR($G39="",$E39=""),"",$G39-$E39)</f>
        <v/>
      </c>
      <c r="I39" s="17" t="str">
        <f aca="false">IF(OR($G39="",$D39=""),"",$G39-$D39)</f>
        <v/>
      </c>
      <c r="J39" s="14" t="str">
        <f aca="false">IF(OR($E39="",$E39=0,$G39=""),"",$G39/$E39)</f>
        <v/>
      </c>
      <c r="K39" s="14" t="str">
        <f aca="false">IF(OR($D39="",$D39=0,$G39=""),"",$G39/$D39)</f>
        <v/>
      </c>
      <c r="L39" s="30"/>
      <c r="N39" s="21" t="str">
        <f aca="false">IF(31&lt;=$B$8,31,"")</f>
        <v/>
      </c>
      <c r="O39" s="21" t="str">
        <f aca="false">IF(N39="","",N39/$B$8)</f>
        <v/>
      </c>
      <c r="P39" s="22" t="str">
        <f aca="false">IF(N39="","",(1-(1-O39^$B$11)^$B$12)*100)</f>
        <v/>
      </c>
      <c r="S39" s="24" t="str">
        <f aca="false">IF($A39=$B$10,MAX($D$17:$G$66)*1.05,"")</f>
        <v/>
      </c>
    </row>
    <row r="40" customFormat="false" ht="15" hidden="false" customHeight="false" outlineLevel="0" collapsed="false">
      <c r="A40" s="26" t="n">
        <v>24</v>
      </c>
      <c r="B40" s="27"/>
      <c r="C40" s="28"/>
      <c r="D40" s="17" t="str">
        <f aca="false">IF(OR($A40="",$A40&gt;$B$8,$C40=""),"",$C40/100*$B$7)</f>
        <v/>
      </c>
      <c r="E40" s="29"/>
      <c r="F40" s="28"/>
      <c r="G40" s="17" t="str">
        <f aca="false">IF(OR($A40="",$A40&gt;$B$8,$F40=""),"",$F40/100*$B$7)</f>
        <v/>
      </c>
      <c r="H40" s="17" t="str">
        <f aca="false">IF(OR($G40="",$E40=""),"",$G40-$E40)</f>
        <v/>
      </c>
      <c r="I40" s="17" t="str">
        <f aca="false">IF(OR($G40="",$D40=""),"",$G40-$D40)</f>
        <v/>
      </c>
      <c r="J40" s="14" t="str">
        <f aca="false">IF(OR($E40="",$E40=0,$G40=""),"",$G40/$E40)</f>
        <v/>
      </c>
      <c r="K40" s="14" t="str">
        <f aca="false">IF(OR($D40="",$D40=0,$G40=""),"",$G40/$D40)</f>
        <v/>
      </c>
      <c r="L40" s="30"/>
      <c r="N40" s="21" t="str">
        <f aca="false">IF(32&lt;=$B$8,32,"")</f>
        <v/>
      </c>
      <c r="O40" s="21" t="str">
        <f aca="false">IF(N40="","",N40/$B$8)</f>
        <v/>
      </c>
      <c r="P40" s="22" t="str">
        <f aca="false">IF(N40="","",(1-(1-O40^$B$11)^$B$12)*100)</f>
        <v/>
      </c>
      <c r="S40" s="24" t="str">
        <f aca="false">IF($A40=$B$10,MAX($D$17:$G$66)*1.05,"")</f>
        <v/>
      </c>
    </row>
    <row r="41" customFormat="false" ht="15" hidden="false" customHeight="false" outlineLevel="0" collapsed="false">
      <c r="A41" s="26" t="n">
        <v>25</v>
      </c>
      <c r="B41" s="27"/>
      <c r="C41" s="28"/>
      <c r="D41" s="17" t="str">
        <f aca="false">IF(OR($A41="",$A41&gt;$B$8,$C41=""),"",$C41/100*$B$7)</f>
        <v/>
      </c>
      <c r="E41" s="29"/>
      <c r="F41" s="28"/>
      <c r="G41" s="17" t="str">
        <f aca="false">IF(OR($A41="",$A41&gt;$B$8,$F41=""),"",$F41/100*$B$7)</f>
        <v/>
      </c>
      <c r="H41" s="17" t="str">
        <f aca="false">IF(OR($G41="",$E41=""),"",$G41-$E41)</f>
        <v/>
      </c>
      <c r="I41" s="17" t="str">
        <f aca="false">IF(OR($G41="",$D41=""),"",$G41-$D41)</f>
        <v/>
      </c>
      <c r="J41" s="14" t="str">
        <f aca="false">IF(OR($E41="",$E41=0,$G41=""),"",$G41/$E41)</f>
        <v/>
      </c>
      <c r="K41" s="14" t="str">
        <f aca="false">IF(OR($D41="",$D41=0,$G41=""),"",$G41/$D41)</f>
        <v/>
      </c>
      <c r="L41" s="30"/>
      <c r="N41" s="21" t="str">
        <f aca="false">IF(33&lt;=$B$8,33,"")</f>
        <v/>
      </c>
      <c r="O41" s="21" t="str">
        <f aca="false">IF(N41="","",N41/$B$8)</f>
        <v/>
      </c>
      <c r="P41" s="22" t="str">
        <f aca="false">IF(N41="","",(1-(1-O41^$B$11)^$B$12)*100)</f>
        <v/>
      </c>
      <c r="S41" s="24" t="str">
        <f aca="false">IF($A41=$B$10,MAX($D$17:$G$66)*1.05,"")</f>
        <v/>
      </c>
    </row>
    <row r="42" customFormat="false" ht="15" hidden="false" customHeight="false" outlineLevel="0" collapsed="false">
      <c r="A42" s="26" t="n">
        <v>26</v>
      </c>
      <c r="B42" s="27"/>
      <c r="C42" s="28"/>
      <c r="D42" s="17" t="str">
        <f aca="false">IF(OR($A42="",$A42&gt;$B$8,$C42=""),"",$C42/100*$B$7)</f>
        <v/>
      </c>
      <c r="E42" s="29"/>
      <c r="F42" s="28"/>
      <c r="G42" s="17" t="str">
        <f aca="false">IF(OR($A42="",$A42&gt;$B$8,$F42=""),"",$F42/100*$B$7)</f>
        <v/>
      </c>
      <c r="H42" s="17" t="str">
        <f aca="false">IF(OR($G42="",$E42=""),"",$G42-$E42)</f>
        <v/>
      </c>
      <c r="I42" s="17" t="str">
        <f aca="false">IF(OR($G42="",$D42=""),"",$G42-$D42)</f>
        <v/>
      </c>
      <c r="J42" s="14" t="str">
        <f aca="false">IF(OR($E42="",$E42=0,$G42=""),"",$G42/$E42)</f>
        <v/>
      </c>
      <c r="K42" s="14" t="str">
        <f aca="false">IF(OR($D42="",$D42=0,$G42=""),"",$G42/$D42)</f>
        <v/>
      </c>
      <c r="L42" s="30"/>
      <c r="N42" s="21" t="str">
        <f aca="false">IF(34&lt;=$B$8,34,"")</f>
        <v/>
      </c>
      <c r="O42" s="21" t="str">
        <f aca="false">IF(N42="","",N42/$B$8)</f>
        <v/>
      </c>
      <c r="P42" s="22" t="str">
        <f aca="false">IF(N42="","",(1-(1-O42^$B$11)^$B$12)*100)</f>
        <v/>
      </c>
      <c r="S42" s="24" t="str">
        <f aca="false">IF($A42=$B$10,MAX($D$17:$G$66)*1.05,"")</f>
        <v/>
      </c>
    </row>
    <row r="43" customFormat="false" ht="15" hidden="false" customHeight="true" outlineLevel="0" collapsed="false">
      <c r="A43" s="26" t="n">
        <v>27</v>
      </c>
      <c r="B43" s="27"/>
      <c r="C43" s="28"/>
      <c r="D43" s="17" t="str">
        <f aca="false">IF(OR($A43="",$A43&gt;$B$8,$C43=""),"",$C43/100*$B$7)</f>
        <v/>
      </c>
      <c r="E43" s="29"/>
      <c r="F43" s="28"/>
      <c r="G43" s="17" t="str">
        <f aca="false">IF(OR($A43="",$A43&gt;$B$8,$F43=""),"",$F43/100*$B$7)</f>
        <v/>
      </c>
      <c r="H43" s="17" t="str">
        <f aca="false">IF(OR($G43="",$E43=""),"",$G43-$E43)</f>
        <v/>
      </c>
      <c r="I43" s="17" t="str">
        <f aca="false">IF(OR($G43="",$D43=""),"",$G43-$D43)</f>
        <v/>
      </c>
      <c r="J43" s="14" t="str">
        <f aca="false">IF(OR($E43="",$E43=0,$G43=""),"",$G43/$E43)</f>
        <v/>
      </c>
      <c r="K43" s="14" t="str">
        <f aca="false">IF(OR($D43="",$D43=0,$G43=""),"",$G43/$D43)</f>
        <v/>
      </c>
      <c r="L43" s="30"/>
      <c r="N43" s="31" t="s">
        <v>62</v>
      </c>
      <c r="O43" s="31"/>
      <c r="P43" s="31"/>
      <c r="Q43" s="31"/>
      <c r="R43" s="31"/>
      <c r="S43" s="31"/>
      <c r="T43" s="31"/>
    </row>
    <row r="44" customFormat="false" ht="15" hidden="false" customHeight="false" outlineLevel="0" collapsed="false">
      <c r="A44" s="26" t="n">
        <v>28</v>
      </c>
      <c r="B44" s="27"/>
      <c r="C44" s="28"/>
      <c r="D44" s="17" t="str">
        <f aca="false">IF(OR($A44="",$A44&gt;$B$8,$C44=""),"",$C44/100*$B$7)</f>
        <v/>
      </c>
      <c r="E44" s="29"/>
      <c r="F44" s="28"/>
      <c r="G44" s="17" t="str">
        <f aca="false">IF(OR($A44="",$A44&gt;$B$8,$F44=""),"",$F44/100*$B$7)</f>
        <v/>
      </c>
      <c r="H44" s="17" t="str">
        <f aca="false">IF(OR($G44="",$E44=""),"",$G44-$E44)</f>
        <v/>
      </c>
      <c r="I44" s="17" t="str">
        <f aca="false">IF(OR($G44="",$D44=""),"",$G44-$D44)</f>
        <v/>
      </c>
      <c r="J44" s="14" t="str">
        <f aca="false">IF(OR($E44="",$E44=0,$G44=""),"",$G44/$E44)</f>
        <v/>
      </c>
      <c r="K44" s="14" t="str">
        <f aca="false">IF(OR($D44="",$D44=0,$G44=""),"",$G44/$D44)</f>
        <v/>
      </c>
      <c r="L44" s="30"/>
      <c r="N44" s="31"/>
      <c r="O44" s="31"/>
      <c r="P44" s="31"/>
      <c r="Q44" s="31"/>
      <c r="R44" s="31"/>
      <c r="S44" s="31"/>
      <c r="T44" s="31"/>
    </row>
    <row r="45" customFormat="false" ht="15" hidden="false" customHeight="false" outlineLevel="0" collapsed="false">
      <c r="A45" s="26" t="n">
        <v>29</v>
      </c>
      <c r="B45" s="27"/>
      <c r="C45" s="28"/>
      <c r="D45" s="17" t="str">
        <f aca="false">IF(OR($A45="",$A45&gt;$B$8,$C45=""),"",$C45/100*$B$7)</f>
        <v/>
      </c>
      <c r="E45" s="29"/>
      <c r="F45" s="28"/>
      <c r="G45" s="17" t="str">
        <f aca="false">IF(OR($A45="",$A45&gt;$B$8,$F45=""),"",$F45/100*$B$7)</f>
        <v/>
      </c>
      <c r="H45" s="17" t="str">
        <f aca="false">IF(OR($G45="",$E45=""),"",$G45-$E45)</f>
        <v/>
      </c>
      <c r="I45" s="17" t="str">
        <f aca="false">IF(OR($G45="",$D45=""),"",$G45-$D45)</f>
        <v/>
      </c>
      <c r="J45" s="14" t="str">
        <f aca="false">IF(OR($E45="",$E45=0,$G45=""),"",$G45/$E45)</f>
        <v/>
      </c>
      <c r="K45" s="14" t="str">
        <f aca="false">IF(OR($D45="",$D45=0,$G45=""),"",$G45/$D45)</f>
        <v/>
      </c>
      <c r="L45" s="30"/>
      <c r="N45" s="21" t="str">
        <f aca="false">IF(37&lt;=$B$8,37,"")</f>
        <v/>
      </c>
      <c r="O45" s="21" t="str">
        <f aca="false">IF(N45="","",N45/$B$8)</f>
        <v/>
      </c>
      <c r="P45" s="22" t="str">
        <f aca="false">IF(N45="","",(1-(1-O45^$B$11)^$B$12)*100)</f>
        <v/>
      </c>
      <c r="S45" s="24" t="str">
        <f aca="false">IF($A45=$B$10,MAX($D$17:$G$66)*1.05,"")</f>
        <v/>
      </c>
    </row>
    <row r="46" customFormat="false" ht="15" hidden="false" customHeight="false" outlineLevel="0" collapsed="false">
      <c r="A46" s="26" t="n">
        <v>30</v>
      </c>
      <c r="B46" s="27"/>
      <c r="C46" s="28"/>
      <c r="D46" s="17" t="str">
        <f aca="false">IF(OR($A46="",$A46&gt;$B$8,$C46=""),"",$C46/100*$B$7)</f>
        <v/>
      </c>
      <c r="E46" s="29"/>
      <c r="F46" s="28"/>
      <c r="G46" s="17" t="str">
        <f aca="false">IF(OR($A46="",$A46&gt;$B$8,$F46=""),"",$F46/100*$B$7)</f>
        <v/>
      </c>
      <c r="H46" s="17" t="str">
        <f aca="false">IF(OR($G46="",$E46=""),"",$G46-$E46)</f>
        <v/>
      </c>
      <c r="I46" s="17" t="str">
        <f aca="false">IF(OR($G46="",$D46=""),"",$G46-$D46)</f>
        <v/>
      </c>
      <c r="J46" s="14" t="str">
        <f aca="false">IF(OR($E46="",$E46=0,$G46=""),"",$G46/$E46)</f>
        <v/>
      </c>
      <c r="K46" s="14" t="str">
        <f aca="false">IF(OR($D46="",$D46=0,$G46=""),"",$G46/$D46)</f>
        <v/>
      </c>
      <c r="L46" s="30"/>
      <c r="N46" s="21" t="str">
        <f aca="false">IF(38&lt;=$B$8,38,"")</f>
        <v/>
      </c>
      <c r="O46" s="21" t="str">
        <f aca="false">IF(N46="","",N46/$B$8)</f>
        <v/>
      </c>
      <c r="P46" s="22" t="str">
        <f aca="false">IF(N46="","",(1-(1-O46^$B$11)^$B$12)*100)</f>
        <v/>
      </c>
      <c r="S46" s="24" t="str">
        <f aca="false">IF($A46=$B$10,MAX($D$17:$G$66)*1.05,"")</f>
        <v/>
      </c>
    </row>
    <row r="47" customFormat="false" ht="15" hidden="false" customHeight="false" outlineLevel="0" collapsed="false">
      <c r="A47" s="26" t="n">
        <v>31</v>
      </c>
      <c r="B47" s="27"/>
      <c r="C47" s="28"/>
      <c r="D47" s="17" t="str">
        <f aca="false">IF(OR($A47="",$A47&gt;$B$8,$C47=""),"",$C47/100*$B$7)</f>
        <v/>
      </c>
      <c r="E47" s="29"/>
      <c r="F47" s="28"/>
      <c r="G47" s="17" t="str">
        <f aca="false">IF(OR($A47="",$A47&gt;$B$8,$F47=""),"",$F47/100*$B$7)</f>
        <v/>
      </c>
      <c r="H47" s="17" t="str">
        <f aca="false">IF(OR($G47="",$E47=""),"",$G47-$E47)</f>
        <v/>
      </c>
      <c r="I47" s="17" t="str">
        <f aca="false">IF(OR($G47="",$D47=""),"",$G47-$D47)</f>
        <v/>
      </c>
      <c r="J47" s="14" t="str">
        <f aca="false">IF(OR($E47="",$E47=0,$G47=""),"",$G47/$E47)</f>
        <v/>
      </c>
      <c r="K47" s="14" t="str">
        <f aca="false">IF(OR($D47="",$D47=0,$G47=""),"",$G47/$D47)</f>
        <v/>
      </c>
      <c r="L47" s="30"/>
      <c r="N47" s="21" t="str">
        <f aca="false">IF(39&lt;=$B$8,39,"")</f>
        <v/>
      </c>
      <c r="O47" s="21" t="str">
        <f aca="false">IF(N47="","",N47/$B$8)</f>
        <v/>
      </c>
      <c r="P47" s="22" t="str">
        <f aca="false">IF(N47="","",(1-(1-O47^$B$11)^$B$12)*100)</f>
        <v/>
      </c>
      <c r="S47" s="24" t="str">
        <f aca="false">IF($A47=$B$10,MAX($D$17:$G$66)*1.05,"")</f>
        <v/>
      </c>
    </row>
    <row r="48" customFormat="false" ht="15" hidden="false" customHeight="false" outlineLevel="0" collapsed="false">
      <c r="A48" s="26" t="n">
        <v>32</v>
      </c>
      <c r="B48" s="27"/>
      <c r="C48" s="28"/>
      <c r="D48" s="17" t="str">
        <f aca="false">IF(OR($A48="",$A48&gt;$B$8,$C48=""),"",$C48/100*$B$7)</f>
        <v/>
      </c>
      <c r="E48" s="29"/>
      <c r="F48" s="28"/>
      <c r="G48" s="17" t="str">
        <f aca="false">IF(OR($A48="",$A48&gt;$B$8,$F48=""),"",$F48/100*$B$7)</f>
        <v/>
      </c>
      <c r="H48" s="17" t="str">
        <f aca="false">IF(OR($G48="",$E48=""),"",$G48-$E48)</f>
        <v/>
      </c>
      <c r="I48" s="17" t="str">
        <f aca="false">IF(OR($G48="",$D48=""),"",$G48-$D48)</f>
        <v/>
      </c>
      <c r="J48" s="14" t="str">
        <f aca="false">IF(OR($E48="",$E48=0,$G48=""),"",$G48/$E48)</f>
        <v/>
      </c>
      <c r="K48" s="14" t="str">
        <f aca="false">IF(OR($D48="",$D48=0,$G48=""),"",$G48/$D48)</f>
        <v/>
      </c>
      <c r="L48" s="30"/>
      <c r="N48" s="21" t="str">
        <f aca="false">IF(40&lt;=$B$8,40,"")</f>
        <v/>
      </c>
      <c r="O48" s="21" t="str">
        <f aca="false">IF(N48="","",N48/$B$8)</f>
        <v/>
      </c>
      <c r="P48" s="22" t="str">
        <f aca="false">IF(N48="","",(1-(1-O48^$B$11)^$B$12)*100)</f>
        <v/>
      </c>
      <c r="S48" s="24" t="str">
        <f aca="false">IF($A48=$B$10,MAX($D$17:$G$66)*1.05,"")</f>
        <v/>
      </c>
    </row>
    <row r="49" customFormat="false" ht="15" hidden="false" customHeight="false" outlineLevel="0" collapsed="false">
      <c r="A49" s="26" t="n">
        <v>33</v>
      </c>
      <c r="B49" s="27"/>
      <c r="C49" s="28"/>
      <c r="D49" s="17" t="str">
        <f aca="false">IF(OR($A49="",$A49&gt;$B$8,$C49=""),"",$C49/100*$B$7)</f>
        <v/>
      </c>
      <c r="E49" s="29"/>
      <c r="F49" s="28"/>
      <c r="G49" s="17" t="str">
        <f aca="false">IF(OR($A49="",$A49&gt;$B$8,$F49=""),"",$F49/100*$B$7)</f>
        <v/>
      </c>
      <c r="H49" s="17" t="str">
        <f aca="false">IF(OR($G49="",$E49=""),"",$G49-$E49)</f>
        <v/>
      </c>
      <c r="I49" s="17" t="str">
        <f aca="false">IF(OR($G49="",$D49=""),"",$G49-$D49)</f>
        <v/>
      </c>
      <c r="J49" s="14" t="str">
        <f aca="false">IF(OR($E49="",$E49=0,$G49=""),"",$G49/$E49)</f>
        <v/>
      </c>
      <c r="K49" s="14" t="str">
        <f aca="false">IF(OR($D49="",$D49=0,$G49=""),"",$G49/$D49)</f>
        <v/>
      </c>
      <c r="L49" s="30"/>
      <c r="N49" s="21" t="str">
        <f aca="false">IF(41&lt;=$B$8,41,"")</f>
        <v/>
      </c>
      <c r="O49" s="21" t="str">
        <f aca="false">IF(N49="","",N49/$B$8)</f>
        <v/>
      </c>
      <c r="P49" s="22" t="str">
        <f aca="false">IF(N49="","",(1-(1-O49^$B$11)^$B$12)*100)</f>
        <v/>
      </c>
      <c r="S49" s="24" t="str">
        <f aca="false">IF($A49=$B$10,MAX($D$17:$G$66)*1.05,"")</f>
        <v/>
      </c>
    </row>
    <row r="50" customFormat="false" ht="15" hidden="false" customHeight="false" outlineLevel="0" collapsed="false">
      <c r="A50" s="26" t="n">
        <v>34</v>
      </c>
      <c r="B50" s="27"/>
      <c r="C50" s="28"/>
      <c r="D50" s="17" t="str">
        <f aca="false">IF(OR($A50="",$A50&gt;$B$8,$C50=""),"",$C50/100*$B$7)</f>
        <v/>
      </c>
      <c r="E50" s="29"/>
      <c r="F50" s="28"/>
      <c r="G50" s="17" t="str">
        <f aca="false">IF(OR($A50="",$A50&gt;$B$8,$F50=""),"",$F50/100*$B$7)</f>
        <v/>
      </c>
      <c r="H50" s="17" t="str">
        <f aca="false">IF(OR($G50="",$E50=""),"",$G50-$E50)</f>
        <v/>
      </c>
      <c r="I50" s="17" t="str">
        <f aca="false">IF(OR($G50="",$D50=""),"",$G50-$D50)</f>
        <v/>
      </c>
      <c r="J50" s="14" t="str">
        <f aca="false">IF(OR($E50="",$E50=0,$G50=""),"",$G50/$E50)</f>
        <v/>
      </c>
      <c r="K50" s="14" t="str">
        <f aca="false">IF(OR($D50="",$D50=0,$G50=""),"",$G50/$D50)</f>
        <v/>
      </c>
      <c r="L50" s="30"/>
      <c r="N50" s="21" t="str">
        <f aca="false">IF(42&lt;=$B$8,42,"")</f>
        <v/>
      </c>
      <c r="O50" s="21" t="str">
        <f aca="false">IF(N50="","",N50/$B$8)</f>
        <v/>
      </c>
      <c r="P50" s="22" t="str">
        <f aca="false">IF(N50="","",(1-(1-O50^$B$11)^$B$12)*100)</f>
        <v/>
      </c>
      <c r="S50" s="24" t="str">
        <f aca="false">IF($A50=$B$10,MAX($D$17:$G$66)*1.05,"")</f>
        <v/>
      </c>
    </row>
    <row r="51" customFormat="false" ht="15" hidden="false" customHeight="false" outlineLevel="0" collapsed="false">
      <c r="A51" s="26" t="n">
        <v>35</v>
      </c>
      <c r="B51" s="27"/>
      <c r="C51" s="28"/>
      <c r="D51" s="17" t="str">
        <f aca="false">IF(OR($A51="",$A51&gt;$B$8,$C51=""),"",$C51/100*$B$7)</f>
        <v/>
      </c>
      <c r="E51" s="29"/>
      <c r="F51" s="28"/>
      <c r="G51" s="17" t="str">
        <f aca="false">IF(OR($A51="",$A51&gt;$B$8,$F51=""),"",$F51/100*$B$7)</f>
        <v/>
      </c>
      <c r="H51" s="17" t="str">
        <f aca="false">IF(OR($G51="",$E51=""),"",$G51-$E51)</f>
        <v/>
      </c>
      <c r="I51" s="17" t="str">
        <f aca="false">IF(OR($G51="",$D51=""),"",$G51-$D51)</f>
        <v/>
      </c>
      <c r="J51" s="14" t="str">
        <f aca="false">IF(OR($E51="",$E51=0,$G51=""),"",$G51/$E51)</f>
        <v/>
      </c>
      <c r="K51" s="14" t="str">
        <f aca="false">IF(OR($D51="",$D51=0,$G51=""),"",$G51/$D51)</f>
        <v/>
      </c>
      <c r="L51" s="30"/>
      <c r="N51" s="21" t="str">
        <f aca="false">IF(43&lt;=$B$8,43,"")</f>
        <v/>
      </c>
      <c r="O51" s="21" t="str">
        <f aca="false">IF(N51="","",N51/$B$8)</f>
        <v/>
      </c>
      <c r="P51" s="22" t="str">
        <f aca="false">IF(N51="","",(1-(1-O51^$B$11)^$B$12)*100)</f>
        <v/>
      </c>
      <c r="S51" s="24" t="str">
        <f aca="false">IF($A51=$B$10,MAX($D$17:$G$66)*1.05,"")</f>
        <v/>
      </c>
    </row>
    <row r="52" customFormat="false" ht="15" hidden="false" customHeight="false" outlineLevel="0" collapsed="false">
      <c r="A52" s="26" t="n">
        <v>36</v>
      </c>
      <c r="B52" s="27"/>
      <c r="C52" s="28"/>
      <c r="D52" s="17" t="str">
        <f aca="false">IF(OR($A52="",$A52&gt;$B$8,$C52=""),"",$C52/100*$B$7)</f>
        <v/>
      </c>
      <c r="E52" s="29"/>
      <c r="F52" s="28"/>
      <c r="G52" s="17" t="str">
        <f aca="false">IF(OR($A52="",$A52&gt;$B$8,$F52=""),"",$F52/100*$B$7)</f>
        <v/>
      </c>
      <c r="H52" s="17" t="str">
        <f aca="false">IF(OR($G52="",$E52=""),"",$G52-$E52)</f>
        <v/>
      </c>
      <c r="I52" s="17" t="str">
        <f aca="false">IF(OR($G52="",$D52=""),"",$G52-$D52)</f>
        <v/>
      </c>
      <c r="J52" s="14" t="str">
        <f aca="false">IF(OR($E52="",$E52=0,$G52=""),"",$G52/$E52)</f>
        <v/>
      </c>
      <c r="K52" s="14" t="str">
        <f aca="false">IF(OR($D52="",$D52=0,$G52=""),"",$G52/$D52)</f>
        <v/>
      </c>
      <c r="L52" s="30"/>
      <c r="N52" s="21" t="str">
        <f aca="false">IF(44&lt;=$B$8,44,"")</f>
        <v/>
      </c>
      <c r="O52" s="21" t="str">
        <f aca="false">IF(N52="","",N52/$B$8)</f>
        <v/>
      </c>
      <c r="P52" s="22" t="str">
        <f aca="false">IF(N52="","",(1-(1-O52^$B$11)^$B$12)*100)</f>
        <v/>
      </c>
      <c r="S52" s="24" t="str">
        <f aca="false">IF($A52=$B$10,MAX($D$17:$G$66)*1.05,"")</f>
        <v/>
      </c>
    </row>
    <row r="53" customFormat="false" ht="15" hidden="false" customHeight="false" outlineLevel="0" collapsed="false">
      <c r="A53" s="26" t="n">
        <v>37</v>
      </c>
      <c r="B53" s="27"/>
      <c r="C53" s="28"/>
      <c r="D53" s="17" t="str">
        <f aca="false">IF(OR($A53="",$A53&gt;$B$8,$C53=""),"",$C53/100*$B$7)</f>
        <v/>
      </c>
      <c r="E53" s="29"/>
      <c r="F53" s="28"/>
      <c r="G53" s="17" t="str">
        <f aca="false">IF(OR($A53="",$A53&gt;$B$8,$F53=""),"",$F53/100*$B$7)</f>
        <v/>
      </c>
      <c r="H53" s="17" t="str">
        <f aca="false">IF(OR($G53="",$E53=""),"",$G53-$E53)</f>
        <v/>
      </c>
      <c r="I53" s="17" t="str">
        <f aca="false">IF(OR($G53="",$D53=""),"",$G53-$D53)</f>
        <v/>
      </c>
      <c r="J53" s="14" t="str">
        <f aca="false">IF(OR($E53="",$E53=0,$G53=""),"",$G53/$E53)</f>
        <v/>
      </c>
      <c r="K53" s="14" t="str">
        <f aca="false">IF(OR($D53="",$D53=0,$G53=""),"",$G53/$D53)</f>
        <v/>
      </c>
      <c r="L53" s="30"/>
      <c r="N53" s="21" t="str">
        <f aca="false">IF(45&lt;=$B$8,45,"")</f>
        <v/>
      </c>
      <c r="O53" s="21" t="str">
        <f aca="false">IF(N53="","",N53/$B$8)</f>
        <v/>
      </c>
      <c r="P53" s="22" t="str">
        <f aca="false">IF(N53="","",(1-(1-O53^$B$11)^$B$12)*100)</f>
        <v/>
      </c>
      <c r="S53" s="24" t="str">
        <f aca="false">IF($A53=$B$10,MAX($D$17:$G$66)*1.05,"")</f>
        <v/>
      </c>
    </row>
    <row r="54" customFormat="false" ht="15" hidden="false" customHeight="false" outlineLevel="0" collapsed="false">
      <c r="A54" s="26" t="n">
        <v>38</v>
      </c>
      <c r="B54" s="27"/>
      <c r="C54" s="28"/>
      <c r="D54" s="17" t="str">
        <f aca="false">IF(OR($A54="",$A54&gt;$B$8,$C54=""),"",$C54/100*$B$7)</f>
        <v/>
      </c>
      <c r="E54" s="29"/>
      <c r="F54" s="28"/>
      <c r="G54" s="17" t="str">
        <f aca="false">IF(OR($A54="",$A54&gt;$B$8,$F54=""),"",$F54/100*$B$7)</f>
        <v/>
      </c>
      <c r="H54" s="17" t="str">
        <f aca="false">IF(OR($G54="",$E54=""),"",$G54-$E54)</f>
        <v/>
      </c>
      <c r="I54" s="17" t="str">
        <f aca="false">IF(OR($G54="",$D54=""),"",$G54-$D54)</f>
        <v/>
      </c>
      <c r="J54" s="14" t="str">
        <f aca="false">IF(OR($E54="",$E54=0,$G54=""),"",$G54/$E54)</f>
        <v/>
      </c>
      <c r="K54" s="14" t="str">
        <f aca="false">IF(OR($D54="",$D54=0,$G54=""),"",$G54/$D54)</f>
        <v/>
      </c>
      <c r="L54" s="30"/>
      <c r="N54" s="21" t="str">
        <f aca="false">IF(46&lt;=$B$8,46,"")</f>
        <v/>
      </c>
      <c r="O54" s="21" t="str">
        <f aca="false">IF(N54="","",N54/$B$8)</f>
        <v/>
      </c>
      <c r="P54" s="22" t="str">
        <f aca="false">IF(N54="","",(1-(1-O54^$B$11)^$B$12)*100)</f>
        <v/>
      </c>
      <c r="S54" s="24" t="str">
        <f aca="false">IF($A54=$B$10,MAX($D$17:$G$66)*1.05,"")</f>
        <v/>
      </c>
    </row>
    <row r="55" customFormat="false" ht="15" hidden="false" customHeight="false" outlineLevel="0" collapsed="false">
      <c r="A55" s="26" t="n">
        <v>39</v>
      </c>
      <c r="B55" s="27"/>
      <c r="C55" s="28"/>
      <c r="D55" s="17" t="str">
        <f aca="false">IF(OR($A55="",$A55&gt;$B$8,$C55=""),"",$C55/100*$B$7)</f>
        <v/>
      </c>
      <c r="E55" s="29"/>
      <c r="F55" s="28"/>
      <c r="G55" s="17" t="str">
        <f aca="false">IF(OR($A55="",$A55&gt;$B$8,$F55=""),"",$F55/100*$B$7)</f>
        <v/>
      </c>
      <c r="H55" s="17" t="str">
        <f aca="false">IF(OR($G55="",$E55=""),"",$G55-$E55)</f>
        <v/>
      </c>
      <c r="I55" s="17" t="str">
        <f aca="false">IF(OR($G55="",$D55=""),"",$G55-$D55)</f>
        <v/>
      </c>
      <c r="J55" s="14" t="str">
        <f aca="false">IF(OR($E55="",$E55=0,$G55=""),"",$G55/$E55)</f>
        <v/>
      </c>
      <c r="K55" s="14" t="str">
        <f aca="false">IF(OR($D55="",$D55=0,$G55=""),"",$G55/$D55)</f>
        <v/>
      </c>
      <c r="L55" s="30"/>
      <c r="N55" s="21" t="str">
        <f aca="false">IF(47&lt;=$B$8,47,"")</f>
        <v/>
      </c>
      <c r="O55" s="21" t="str">
        <f aca="false">IF(N55="","",N55/$B$8)</f>
        <v/>
      </c>
      <c r="P55" s="22" t="str">
        <f aca="false">IF(N55="","",(1-(1-O55^$B$11)^$B$12)*100)</f>
        <v/>
      </c>
      <c r="S55" s="24" t="str">
        <f aca="false">IF($A55=$B$10,MAX($D$17:$G$66)*1.05,"")</f>
        <v/>
      </c>
    </row>
    <row r="56" customFormat="false" ht="15" hidden="false" customHeight="false" outlineLevel="0" collapsed="false">
      <c r="A56" s="26" t="n">
        <v>40</v>
      </c>
      <c r="B56" s="27"/>
      <c r="C56" s="28"/>
      <c r="D56" s="17" t="str">
        <f aca="false">IF(OR($A56="",$A56&gt;$B$8,$C56=""),"",$C56/100*$B$7)</f>
        <v/>
      </c>
      <c r="E56" s="29"/>
      <c r="F56" s="28"/>
      <c r="G56" s="17" t="str">
        <f aca="false">IF(OR($A56="",$A56&gt;$B$8,$F56=""),"",$F56/100*$B$7)</f>
        <v/>
      </c>
      <c r="H56" s="17" t="str">
        <f aca="false">IF(OR($G56="",$E56=""),"",$G56-$E56)</f>
        <v/>
      </c>
      <c r="I56" s="17" t="str">
        <f aca="false">IF(OR($G56="",$D56=""),"",$G56-$D56)</f>
        <v/>
      </c>
      <c r="J56" s="14" t="str">
        <f aca="false">IF(OR($E56="",$E56=0,$G56=""),"",$G56/$E56)</f>
        <v/>
      </c>
      <c r="K56" s="14" t="str">
        <f aca="false">IF(OR($D56="",$D56=0,$G56=""),"",$G56/$D56)</f>
        <v/>
      </c>
      <c r="L56" s="30"/>
      <c r="N56" s="21" t="str">
        <f aca="false">IF(48&lt;=$B$8,48,"")</f>
        <v/>
      </c>
      <c r="O56" s="21" t="str">
        <f aca="false">IF(N56="","",N56/$B$8)</f>
        <v/>
      </c>
      <c r="P56" s="22" t="str">
        <f aca="false">IF(N56="","",(1-(1-O56^$B$11)^$B$12)*100)</f>
        <v/>
      </c>
      <c r="S56" s="24" t="str">
        <f aca="false">IF($A56=$B$10,MAX($D$17:$G$66)*1.05,"")</f>
        <v/>
      </c>
    </row>
    <row r="57" customFormat="false" ht="15" hidden="false" customHeight="false" outlineLevel="0" collapsed="false">
      <c r="A57" s="26" t="n">
        <v>41</v>
      </c>
      <c r="B57" s="27"/>
      <c r="C57" s="28"/>
      <c r="D57" s="17" t="str">
        <f aca="false">IF(OR($A57="",$A57&gt;$B$8,$C57=""),"",$C57/100*$B$7)</f>
        <v/>
      </c>
      <c r="E57" s="29"/>
      <c r="F57" s="28"/>
      <c r="G57" s="17" t="str">
        <f aca="false">IF(OR($A57="",$A57&gt;$B$8,$F57=""),"",$F57/100*$B$7)</f>
        <v/>
      </c>
      <c r="H57" s="17" t="str">
        <f aca="false">IF(OR($G57="",$E57=""),"",$G57-$E57)</f>
        <v/>
      </c>
      <c r="I57" s="17" t="str">
        <f aca="false">IF(OR($G57="",$D57=""),"",$G57-$D57)</f>
        <v/>
      </c>
      <c r="J57" s="14" t="str">
        <f aca="false">IF(OR($E57="",$E57=0,$G57=""),"",$G57/$E57)</f>
        <v/>
      </c>
      <c r="K57" s="14" t="str">
        <f aca="false">IF(OR($D57="",$D57=0,$G57=""),"",$G57/$D57)</f>
        <v/>
      </c>
      <c r="L57" s="30"/>
      <c r="N57" s="21" t="str">
        <f aca="false">IF(49&lt;=$B$8,49,"")</f>
        <v/>
      </c>
      <c r="O57" s="21" t="str">
        <f aca="false">IF(N57="","",N57/$B$8)</f>
        <v/>
      </c>
      <c r="P57" s="22" t="str">
        <f aca="false">IF(N57="","",(1-(1-O57^$B$11)^$B$12)*100)</f>
        <v/>
      </c>
      <c r="S57" s="24" t="str">
        <f aca="false">IF($A57=$B$10,MAX($D$17:$G$66)*1.05,"")</f>
        <v/>
      </c>
    </row>
    <row r="58" customFormat="false" ht="15" hidden="false" customHeight="false" outlineLevel="0" collapsed="false">
      <c r="A58" s="26" t="n">
        <v>42</v>
      </c>
      <c r="B58" s="27"/>
      <c r="C58" s="28"/>
      <c r="D58" s="17" t="str">
        <f aca="false">IF(OR($A58="",$A58&gt;$B$8,$C58=""),"",$C58/100*$B$7)</f>
        <v/>
      </c>
      <c r="E58" s="29"/>
      <c r="F58" s="28"/>
      <c r="G58" s="17" t="str">
        <f aca="false">IF(OR($A58="",$A58&gt;$B$8,$F58=""),"",$F58/100*$B$7)</f>
        <v/>
      </c>
      <c r="H58" s="17" t="str">
        <f aca="false">IF(OR($G58="",$E58=""),"",$G58-$E58)</f>
        <v/>
      </c>
      <c r="I58" s="17" t="str">
        <f aca="false">IF(OR($G58="",$D58=""),"",$G58-$D58)</f>
        <v/>
      </c>
      <c r="J58" s="14" t="str">
        <f aca="false">IF(OR($E58="",$E58=0,$G58=""),"",$G58/$E58)</f>
        <v/>
      </c>
      <c r="K58" s="14" t="str">
        <f aca="false">IF(OR($D58="",$D58=0,$G58=""),"",$G58/$D58)</f>
        <v/>
      </c>
      <c r="L58" s="30"/>
      <c r="N58" s="21" t="str">
        <f aca="false">IF(50&lt;=$B$8,50,"")</f>
        <v/>
      </c>
      <c r="O58" s="21" t="str">
        <f aca="false">IF(N58="","",N58/$B$8)</f>
        <v/>
      </c>
      <c r="P58" s="22" t="str">
        <f aca="false">IF(N58="","",(1-(1-O58^$B$11)^$B$12)*100)</f>
        <v/>
      </c>
      <c r="S58" s="24" t="str">
        <f aca="false">IF($A58=$B$10,MAX($D$17:$G$66)*1.05,"")</f>
        <v/>
      </c>
    </row>
    <row r="59" customFormat="false" ht="15" hidden="false" customHeight="false" outlineLevel="0" collapsed="false">
      <c r="A59" s="26" t="n">
        <v>43</v>
      </c>
      <c r="B59" s="27"/>
      <c r="C59" s="28"/>
      <c r="D59" s="17" t="str">
        <f aca="false">IF(OR($A59="",$A59&gt;$B$8,$C59=""),"",$C59/100*$B$7)</f>
        <v/>
      </c>
      <c r="E59" s="29"/>
      <c r="F59" s="28"/>
      <c r="G59" s="17" t="str">
        <f aca="false">IF(OR($A59="",$A59&gt;$B$8,$F59=""),"",$F59/100*$B$7)</f>
        <v/>
      </c>
      <c r="H59" s="17" t="str">
        <f aca="false">IF(OR($G59="",$E59=""),"",$G59-$E59)</f>
        <v/>
      </c>
      <c r="I59" s="17" t="str">
        <f aca="false">IF(OR($G59="",$D59=""),"",$G59-$D59)</f>
        <v/>
      </c>
      <c r="J59" s="14" t="str">
        <f aca="false">IF(OR($E59="",$E59=0,$G59=""),"",$G59/$E59)</f>
        <v/>
      </c>
      <c r="K59" s="14" t="str">
        <f aca="false">IF(OR($D59="",$D59=0,$G59=""),"",$G59/$D59)</f>
        <v/>
      </c>
      <c r="L59" s="30"/>
      <c r="S59" s="24" t="str">
        <f aca="false">IF($A59=$B$10,MAX($D$17:$G$66)*1.05,"")</f>
        <v/>
      </c>
    </row>
    <row r="60" customFormat="false" ht="15" hidden="false" customHeight="false" outlineLevel="0" collapsed="false">
      <c r="A60" s="26" t="n">
        <v>44</v>
      </c>
      <c r="B60" s="27"/>
      <c r="C60" s="28"/>
      <c r="D60" s="17" t="str">
        <f aca="false">IF(OR($A60="",$A60&gt;$B$8,$C60=""),"",$C60/100*$B$7)</f>
        <v/>
      </c>
      <c r="E60" s="29"/>
      <c r="F60" s="28"/>
      <c r="G60" s="17" t="str">
        <f aca="false">IF(OR($A60="",$A60&gt;$B$8,$F60=""),"",$F60/100*$B$7)</f>
        <v/>
      </c>
      <c r="H60" s="17" t="str">
        <f aca="false">IF(OR($G60="",$E60=""),"",$G60-$E60)</f>
        <v/>
      </c>
      <c r="I60" s="17" t="str">
        <f aca="false">IF(OR($G60="",$D60=""),"",$G60-$D60)</f>
        <v/>
      </c>
      <c r="J60" s="14" t="str">
        <f aca="false">IF(OR($E60="",$E60=0,$G60=""),"",$G60/$E60)</f>
        <v/>
      </c>
      <c r="K60" s="14" t="str">
        <f aca="false">IF(OR($D60="",$D60=0,$G60=""),"",$G60/$D60)</f>
        <v/>
      </c>
      <c r="L60" s="30"/>
      <c r="S60" s="24" t="str">
        <f aca="false">IF($A60=$B$10,MAX($D$17:$G$66)*1.05,"")</f>
        <v/>
      </c>
    </row>
    <row r="61" customFormat="false" ht="15" hidden="false" customHeight="false" outlineLevel="0" collapsed="false">
      <c r="A61" s="26" t="n">
        <v>45</v>
      </c>
      <c r="B61" s="27"/>
      <c r="C61" s="28"/>
      <c r="D61" s="17" t="str">
        <f aca="false">IF(OR($A61="",$A61&gt;$B$8,$C61=""),"",$C61/100*$B$7)</f>
        <v/>
      </c>
      <c r="E61" s="29"/>
      <c r="F61" s="28"/>
      <c r="G61" s="17" t="str">
        <f aca="false">IF(OR($A61="",$A61&gt;$B$8,$F61=""),"",$F61/100*$B$7)</f>
        <v/>
      </c>
      <c r="H61" s="17" t="str">
        <f aca="false">IF(OR($G61="",$E61=""),"",$G61-$E61)</f>
        <v/>
      </c>
      <c r="I61" s="17" t="str">
        <f aca="false">IF(OR($G61="",$D61=""),"",$G61-$D61)</f>
        <v/>
      </c>
      <c r="J61" s="14" t="str">
        <f aca="false">IF(OR($E61="",$E61=0,$G61=""),"",$G61/$E61)</f>
        <v/>
      </c>
      <c r="K61" s="14" t="str">
        <f aca="false">IF(OR($D61="",$D61=0,$G61=""),"",$G61/$D61)</f>
        <v/>
      </c>
      <c r="L61" s="30"/>
      <c r="S61" s="24" t="str">
        <f aca="false">IF($A61=$B$10,MAX($D$17:$G$66)*1.05,"")</f>
        <v/>
      </c>
    </row>
    <row r="62" customFormat="false" ht="15" hidden="false" customHeight="false" outlineLevel="0" collapsed="false">
      <c r="A62" s="26" t="n">
        <v>46</v>
      </c>
      <c r="B62" s="27"/>
      <c r="C62" s="28"/>
      <c r="D62" s="17" t="str">
        <f aca="false">IF(OR($A62="",$A62&gt;$B$8,$C62=""),"",$C62/100*$B$7)</f>
        <v/>
      </c>
      <c r="E62" s="29"/>
      <c r="F62" s="28"/>
      <c r="G62" s="17" t="str">
        <f aca="false">IF(OR($A62="",$A62&gt;$B$8,$F62=""),"",$F62/100*$B$7)</f>
        <v/>
      </c>
      <c r="H62" s="17" t="str">
        <f aca="false">IF(OR($G62="",$E62=""),"",$G62-$E62)</f>
        <v/>
      </c>
      <c r="I62" s="17" t="str">
        <f aca="false">IF(OR($G62="",$D62=""),"",$G62-$D62)</f>
        <v/>
      </c>
      <c r="J62" s="14" t="str">
        <f aca="false">IF(OR($E62="",$E62=0,$G62=""),"",$G62/$E62)</f>
        <v/>
      </c>
      <c r="K62" s="14" t="str">
        <f aca="false">IF(OR($D62="",$D62=0,$G62=""),"",$G62/$D62)</f>
        <v/>
      </c>
      <c r="L62" s="30"/>
      <c r="S62" s="24" t="str">
        <f aca="false">IF($A62=$B$10,MAX($D$17:$G$66)*1.05,"")</f>
        <v/>
      </c>
    </row>
    <row r="63" customFormat="false" ht="15" hidden="false" customHeight="false" outlineLevel="0" collapsed="false">
      <c r="A63" s="26" t="n">
        <v>47</v>
      </c>
      <c r="B63" s="27"/>
      <c r="C63" s="28"/>
      <c r="D63" s="17" t="str">
        <f aca="false">IF(OR($A63="",$A63&gt;$B$8,$C63=""),"",$C63/100*$B$7)</f>
        <v/>
      </c>
      <c r="E63" s="29"/>
      <c r="F63" s="28"/>
      <c r="G63" s="17" t="str">
        <f aca="false">IF(OR($A63="",$A63&gt;$B$8,$F63=""),"",$F63/100*$B$7)</f>
        <v/>
      </c>
      <c r="H63" s="17" t="str">
        <f aca="false">IF(OR($G63="",$E63=""),"",$G63-$E63)</f>
        <v/>
      </c>
      <c r="I63" s="17" t="str">
        <f aca="false">IF(OR($G63="",$D63=""),"",$G63-$D63)</f>
        <v/>
      </c>
      <c r="J63" s="14" t="str">
        <f aca="false">IF(OR($E63="",$E63=0,$G63=""),"",$G63/$E63)</f>
        <v/>
      </c>
      <c r="K63" s="14" t="str">
        <f aca="false">IF(OR($D63="",$D63=0,$G63=""),"",$G63/$D63)</f>
        <v/>
      </c>
      <c r="L63" s="30"/>
      <c r="S63" s="24" t="str">
        <f aca="false">IF($A63=$B$10,MAX($D$17:$G$66)*1.05,"")</f>
        <v/>
      </c>
    </row>
    <row r="64" customFormat="false" ht="15" hidden="false" customHeight="false" outlineLevel="0" collapsed="false">
      <c r="A64" s="26" t="n">
        <v>48</v>
      </c>
      <c r="B64" s="27"/>
      <c r="C64" s="28"/>
      <c r="D64" s="17" t="str">
        <f aca="false">IF(OR($A64="",$A64&gt;$B$8,$C64=""),"",$C64/100*$B$7)</f>
        <v/>
      </c>
      <c r="E64" s="29"/>
      <c r="F64" s="28"/>
      <c r="G64" s="17" t="str">
        <f aca="false">IF(OR($A64="",$A64&gt;$B$8,$F64=""),"",$F64/100*$B$7)</f>
        <v/>
      </c>
      <c r="H64" s="17" t="str">
        <f aca="false">IF(OR($G64="",$E64=""),"",$G64-$E64)</f>
        <v/>
      </c>
      <c r="I64" s="17" t="str">
        <f aca="false">IF(OR($G64="",$D64=""),"",$G64-$D64)</f>
        <v/>
      </c>
      <c r="J64" s="14" t="str">
        <f aca="false">IF(OR($E64="",$E64=0,$G64=""),"",$G64/$E64)</f>
        <v/>
      </c>
      <c r="K64" s="14" t="str">
        <f aca="false">IF(OR($D64="",$D64=0,$G64=""),"",$G64/$D64)</f>
        <v/>
      </c>
      <c r="L64" s="30"/>
      <c r="S64" s="24" t="str">
        <f aca="false">IF($A64=$B$10,MAX($D$17:$G$66)*1.05,"")</f>
        <v/>
      </c>
    </row>
    <row r="65" customFormat="false" ht="15" hidden="false" customHeight="false" outlineLevel="0" collapsed="false">
      <c r="A65" s="26" t="n">
        <v>49</v>
      </c>
      <c r="B65" s="27"/>
      <c r="C65" s="28"/>
      <c r="D65" s="17" t="str">
        <f aca="false">IF(OR($A65="",$A65&gt;$B$8,$C65=""),"",$C65/100*$B$7)</f>
        <v/>
      </c>
      <c r="E65" s="29"/>
      <c r="F65" s="28"/>
      <c r="G65" s="17" t="str">
        <f aca="false">IF(OR($A65="",$A65&gt;$B$8,$F65=""),"",$F65/100*$B$7)</f>
        <v/>
      </c>
      <c r="H65" s="17" t="str">
        <f aca="false">IF(OR($G65="",$E65=""),"",$G65-$E65)</f>
        <v/>
      </c>
      <c r="I65" s="17" t="str">
        <f aca="false">IF(OR($G65="",$D65=""),"",$G65-$D65)</f>
        <v/>
      </c>
      <c r="J65" s="14" t="str">
        <f aca="false">IF(OR($E65="",$E65=0,$G65=""),"",$G65/$E65)</f>
        <v/>
      </c>
      <c r="K65" s="14" t="str">
        <f aca="false">IF(OR($D65="",$D65=0,$G65=""),"",$G65/$D65)</f>
        <v/>
      </c>
      <c r="L65" s="30"/>
      <c r="S65" s="24" t="str">
        <f aca="false">IF($A65=$B$10,MAX($D$17:$G$66)*1.05,"")</f>
        <v/>
      </c>
    </row>
    <row r="66" customFormat="false" ht="15" hidden="false" customHeight="false" outlineLevel="0" collapsed="false">
      <c r="A66" s="26" t="n">
        <v>50</v>
      </c>
      <c r="B66" s="27"/>
      <c r="C66" s="28"/>
      <c r="D66" s="17" t="str">
        <f aca="false">IF(OR($A66="",$A66&gt;$B$8,$C66=""),"",$C66/100*$B$7)</f>
        <v/>
      </c>
      <c r="E66" s="29"/>
      <c r="F66" s="28"/>
      <c r="G66" s="17" t="str">
        <f aca="false">IF(OR($A66="",$A66&gt;$B$8,$F66=""),"",$F66/100*$B$7)</f>
        <v/>
      </c>
      <c r="H66" s="17" t="str">
        <f aca="false">IF(OR($G66="",$E66=""),"",$G66-$E66)</f>
        <v/>
      </c>
      <c r="I66" s="17" t="str">
        <f aca="false">IF(OR($G66="",$D66=""),"",$G66-$D66)</f>
        <v/>
      </c>
      <c r="J66" s="14" t="str">
        <f aca="false">IF(OR($E66="",$E66=0,$G66=""),"",$G66/$E66)</f>
        <v/>
      </c>
      <c r="K66" s="14" t="str">
        <f aca="false">IF(OR($D66="",$D66=0,$G66=""),"",$G66/$D66)</f>
        <v/>
      </c>
      <c r="L66" s="30"/>
      <c r="S66" s="24" t="str">
        <f aca="false">IF($A66=$B$10,MAX($D$17:$G$66)*1.05,"")</f>
        <v/>
      </c>
    </row>
  </sheetData>
  <sheetProtection sheet="true" selectUnlockedCells="true"/>
  <mergeCells count="5">
    <mergeCell ref="A1:L2"/>
    <mergeCell ref="A3:L3"/>
    <mergeCell ref="A4:L4"/>
    <mergeCell ref="N7:T7"/>
    <mergeCell ref="N43:T44"/>
  </mergeCells>
  <conditionalFormatting sqref="H17:H66">
    <cfRule type="cellIs" priority="2" operator="lessThan" aboveAverage="0" equalAverage="0" bottom="0" percent="0" rank="0" text="" dxfId="0">
      <formula>0</formula>
    </cfRule>
    <cfRule type="cellIs" priority="3" operator="greaterThanOrEqual" aboveAverage="0" equalAverage="0" bottom="0" percent="0" rank="0" text="" dxfId="1">
      <formula>0</formula>
    </cfRule>
  </conditionalFormatting>
  <conditionalFormatting sqref="I17:I66">
    <cfRule type="cellIs" priority="4" operator="lessThan" aboveAverage="0" equalAverage="0" bottom="0" percent="0" rank="0" text="" dxfId="0">
      <formula>0</formula>
    </cfRule>
    <cfRule type="cellIs" priority="5" operator="greaterThanOrEqual" aboveAverage="0" equalAverage="0" bottom="0" percent="0" rank="0" text="" dxfId="1">
      <formula>0</formula>
    </cfRule>
  </conditionalFormatting>
  <conditionalFormatting sqref="E12">
    <cfRule type="cellIs" priority="6" operator="lessThan" aboveAverage="0" equalAverage="0" bottom="0" percent="0" rank="0" text="" dxfId="0">
      <formula>0</formula>
    </cfRule>
    <cfRule type="cellIs" priority="7" operator="greaterThanOrEqual" aboveAverage="0" equalAverage="0" bottom="0" percent="0" rank="0" text="" dxfId="1">
      <formula>0</formula>
    </cfRule>
  </conditionalFormatting>
  <conditionalFormatting sqref="J17:J66">
    <cfRule type="cellIs" priority="8" operator="lessThan" aboveAverage="0" equalAverage="0" bottom="0" percent="0" rank="0" text="" dxfId="0">
      <formula>1</formula>
    </cfRule>
    <cfRule type="cellIs" priority="9" operator="greaterThanOrEqual" aboveAverage="0" equalAverage="0" bottom="0" percent="0" rank="0" text="" dxfId="1">
      <formula>1</formula>
    </cfRule>
  </conditionalFormatting>
  <conditionalFormatting sqref="K17:K66">
    <cfRule type="cellIs" priority="10" operator="lessThan" aboveAverage="0" equalAverage="0" bottom="0" percent="0" rank="0" text="" dxfId="0">
      <formula>1</formula>
    </cfRule>
    <cfRule type="cellIs" priority="11" operator="greaterThanOrEqual" aboveAverage="0" equalAverage="0" bottom="0" percent="0" rank="0" text="" dxfId="1">
      <formula>1</formula>
    </cfRule>
  </conditionalFormatting>
  <conditionalFormatting sqref="E7">
    <cfRule type="cellIs" priority="12" operator="lessThan" aboveAverage="0" equalAverage="0" bottom="0" percent="0" rank="0" text="" dxfId="0">
      <formula>1</formula>
    </cfRule>
    <cfRule type="cellIs" priority="13" operator="greaterThanOrEqual" aboveAverage="0" equalAverage="0" bottom="0" percent="0" rank="0" text="" dxfId="1">
      <formula>1</formula>
    </cfRule>
  </conditionalFormatting>
  <conditionalFormatting sqref="E13">
    <cfRule type="cellIs" priority="14" operator="lessThan" aboveAverage="0" equalAverage="0" bottom="0" percent="0" rank="0" text="" dxfId="0">
      <formula>1</formula>
    </cfRule>
    <cfRule type="cellIs" priority="15" operator="greaterThanOrEqual" aboveAverage="0" equalAverage="0" bottom="0" percent="0" rank="0" text="" dxfId="1">
      <formula>1</formula>
    </cfRule>
  </conditionalFormatting>
  <conditionalFormatting sqref="A17:L66">
    <cfRule type="expression" priority="16" aboveAverage="0" equalAverage="0" bottom="0" percent="0" rank="0" text="" dxfId="2">
      <formula>$A17=$B$10</formula>
    </cfRule>
  </conditionalFormatting>
  <dataValidations count="4">
    <dataValidation allowBlank="false" errorStyle="stop" operator="between" showDropDown="false" showErrorMessage="false" showInputMessage="false" sqref="B9" type="list">
      <formula1>"Month,Week"</formula1>
      <formula2>0</formula2>
    </dataValidation>
    <dataValidation allowBlank="false" errorStyle="stop" operator="between" showDropDown="false" showErrorMessage="false" showInputMessage="false" sqref="B8 B10" type="whole">
      <formula1>1</formula1>
      <formula2>50</formula2>
    </dataValidation>
    <dataValidation allowBlank="true" errorStyle="stop" operator="between" showDropDown="false" showErrorMessage="false" showInputMessage="false" sqref="C17:C66 F17:F66" type="decimal">
      <formula1>0</formula1>
      <formula2>100</formula2>
    </dataValidation>
    <dataValidation allowBlank="true" errorStyle="stop" operator="greaterThanOrEqual" showDropDown="false" showErrorMessage="false" showInputMessage="false" sqref="E17:E66" type="decimal">
      <formula1>0</formula1>
      <formula2>0</formula2>
    </dataValidation>
  </dataValidations>
  <hyperlinks>
    <hyperlink ref="N43" r:id="rId2" display="Free template by Gather — gatherinsights.com | Want these curves drawn automatically from your site diaries and cost data? → Book a demo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66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pane xSplit="0" ySplit="16" topLeftCell="A1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0"/>
    <col collapsed="false" customWidth="true" hidden="false" outlineLevel="0" max="5" min="2" style="0" width="18"/>
    <col collapsed="false" customWidth="true" hidden="false" outlineLevel="0" max="6" min="6" style="0" width="16"/>
    <col collapsed="false" customWidth="true" hidden="false" outlineLevel="0" max="7" min="7" style="0" width="18"/>
    <col collapsed="false" customWidth="true" hidden="false" outlineLevel="0" max="9" min="8" style="0" width="16"/>
    <col collapsed="false" customWidth="true" hidden="false" outlineLevel="0" max="11" min="10" style="0" width="10"/>
    <col collapsed="false" customWidth="true" hidden="false" outlineLevel="0" max="12" min="12" style="0" width="28"/>
    <col collapsed="false" customWidth="true" hidden="false" outlineLevel="0" max="14" min="14" style="0" width="14"/>
    <col collapsed="false" customWidth="true" hidden="true" outlineLevel="0" max="15" min="15" style="0" width="14"/>
    <col collapsed="false" customWidth="true" hidden="false" outlineLevel="0" max="16" min="16" style="0" width="18"/>
    <col collapsed="false" customWidth="true" hidden="true" outlineLevel="0" max="17" min="17" style="0" width="16"/>
    <col collapsed="false" customWidth="true" hidden="true" outlineLevel="0" max="18" min="18" style="0" width="18"/>
    <col collapsed="false" customWidth="true" hidden="true" outlineLevel="0" max="19" min="19" style="0" width="16"/>
    <col collapsed="false" customWidth="true" hidden="false" outlineLevel="0" max="20" min="20" style="0" width="16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21.7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customFormat="false" ht="21.75" hidden="false" customHeight="true" outlineLevel="0" collapsed="false">
      <c r="A3" s="2" t="s">
        <v>63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customFormat="false" ht="21.75" hidden="false" customHeight="true" outlineLevel="0" collapsed="false">
      <c r="A4" s="3" t="s">
        <v>64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6" customFormat="false" ht="15" hidden="false" customHeight="false" outlineLevel="0" collapsed="false">
      <c r="A6" s="11" t="s">
        <v>26</v>
      </c>
      <c r="D6" s="11" t="s">
        <v>27</v>
      </c>
      <c r="N6" s="11" t="s">
        <v>28</v>
      </c>
    </row>
    <row r="7" customFormat="false" ht="26.85" hidden="false" customHeight="true" outlineLevel="0" collapsed="false">
      <c r="A7" s="7" t="s">
        <v>29</v>
      </c>
      <c r="B7" s="12" t="n">
        <v>2400000</v>
      </c>
      <c r="D7" s="13" t="s">
        <v>30</v>
      </c>
      <c r="E7" s="14" t="n">
        <f aca="false">IFERROR(INDEX($J$17:$J$66,MATCH($B$10,$A$17:$A$66,0)),"")</f>
        <v>0.959090909090909</v>
      </c>
      <c r="N7" s="15" t="s">
        <v>31</v>
      </c>
      <c r="O7" s="15"/>
      <c r="P7" s="15"/>
      <c r="Q7" s="15"/>
      <c r="R7" s="15"/>
      <c r="S7" s="15"/>
      <c r="T7" s="15"/>
    </row>
    <row r="8" customFormat="false" ht="15" hidden="false" customHeight="false" outlineLevel="0" collapsed="false">
      <c r="A8" s="7" t="s">
        <v>32</v>
      </c>
      <c r="B8" s="16" t="n">
        <v>12</v>
      </c>
      <c r="D8" s="13" t="s">
        <v>33</v>
      </c>
      <c r="E8" s="17" t="n">
        <f aca="false">IFERROR(INDEX($E$17:$E$66,MATCH($B$10,$A$17:$A$66,0)),"")</f>
        <v>2200000</v>
      </c>
      <c r="N8" s="18" t="s">
        <v>34</v>
      </c>
      <c r="O8" s="18" t="s">
        <v>35</v>
      </c>
      <c r="P8" s="18" t="s">
        <v>36</v>
      </c>
      <c r="Q8" s="19" t="s">
        <v>37</v>
      </c>
      <c r="R8" s="19" t="s">
        <v>38</v>
      </c>
      <c r="S8" s="19" t="s">
        <v>39</v>
      </c>
      <c r="T8" s="19"/>
    </row>
    <row r="9" customFormat="false" ht="15" hidden="false" customHeight="false" outlineLevel="0" collapsed="false">
      <c r="A9" s="7" t="s">
        <v>40</v>
      </c>
      <c r="B9" s="20" t="s">
        <v>41</v>
      </c>
      <c r="D9" s="13" t="s">
        <v>42</v>
      </c>
      <c r="E9" s="17" t="n">
        <f aca="false">IFERROR(INDEX($G$17:$G$66,MATCH($B$10,$A$17:$A$66,0)),"")</f>
        <v>2110000</v>
      </c>
      <c r="N9" s="21" t="n">
        <f aca="false">IF(1&lt;=$B$8,1,"")</f>
        <v>1</v>
      </c>
      <c r="O9" s="21" t="n">
        <f aca="false">IF(N9="","",N9/$B$8)</f>
        <v>0.0833333333333333</v>
      </c>
      <c r="P9" s="22" t="n">
        <f aca="false">IF(N9="","",(1-(1-O9^$B$11)^$B$12)*100)</f>
        <v>0.519629327181215</v>
      </c>
      <c r="Q9" s="23" t="n">
        <f aca="false">$B$10</f>
        <v>9</v>
      </c>
      <c r="R9" s="24" t="n">
        <v>0</v>
      </c>
    </row>
    <row r="10" customFormat="false" ht="39.55" hidden="false" customHeight="false" outlineLevel="0" collapsed="false">
      <c r="A10" s="7" t="s">
        <v>43</v>
      </c>
      <c r="B10" s="16" t="n">
        <v>9</v>
      </c>
      <c r="D10" s="13" t="s">
        <v>44</v>
      </c>
      <c r="E10" s="17" t="n">
        <f aca="false">IF($E$7="","",$B$7/$E$7)</f>
        <v>2502369.66824645</v>
      </c>
      <c r="N10" s="21" t="n">
        <f aca="false">IF(2&lt;=$B$8,2,"")</f>
        <v>2</v>
      </c>
      <c r="O10" s="21" t="n">
        <f aca="false">IF(N10="","",N10/$B$8)</f>
        <v>0.166666666666667</v>
      </c>
      <c r="P10" s="22" t="n">
        <f aca="false">IF(N10="","",(1-(1-O10^$B$11)^$B$12)*100)</f>
        <v>4.09033393504792</v>
      </c>
      <c r="Q10" s="23" t="n">
        <f aca="false">$B$10</f>
        <v>9</v>
      </c>
      <c r="R10" s="24" t="n">
        <f aca="false">MAX($B$7,MAX($D$17:$G$66))*1.08</f>
        <v>2667600</v>
      </c>
    </row>
    <row r="11" customFormat="false" ht="26.85" hidden="false" customHeight="false" outlineLevel="0" collapsed="false">
      <c r="A11" s="7" t="s">
        <v>45</v>
      </c>
      <c r="B11" s="16" t="n">
        <v>3</v>
      </c>
      <c r="D11" s="13" t="s">
        <v>46</v>
      </c>
      <c r="E11" s="17" t="n">
        <f aca="false">IF($E$10="","",$E$10-$E$8)</f>
        <v>302369.668246445</v>
      </c>
      <c r="N11" s="21" t="n">
        <f aca="false">IF(3&lt;=$B$8,3,"")</f>
        <v>3</v>
      </c>
      <c r="O11" s="21" t="n">
        <f aca="false">IF(N11="","",N11/$B$8)</f>
        <v>0.25</v>
      </c>
      <c r="P11" s="22" t="n">
        <f aca="false">IF(N11="","",(1-(1-O11^$B$11)^$B$12)*100)</f>
        <v>13.2148978017508</v>
      </c>
    </row>
    <row r="12" customFormat="false" ht="39.55" hidden="false" customHeight="false" outlineLevel="0" collapsed="false">
      <c r="A12" s="7" t="s">
        <v>47</v>
      </c>
      <c r="B12" s="16" t="n">
        <v>9</v>
      </c>
      <c r="D12" s="13" t="s">
        <v>48</v>
      </c>
      <c r="E12" s="17" t="n">
        <f aca="false">IF($E$10="","",$B$7-$E$10)</f>
        <v>-102369.668246445</v>
      </c>
      <c r="N12" s="21" t="n">
        <f aca="false">IF(4&lt;=$B$8,4,"")</f>
        <v>4</v>
      </c>
      <c r="O12" s="21" t="n">
        <f aca="false">IF(N12="","",N12/$B$8)</f>
        <v>0.333333333333333</v>
      </c>
      <c r="P12" s="22" t="n">
        <f aca="false">IF(N12="","",(1-(1-O12^$B$11)^$B$12)*100)</f>
        <v>28.7989735930147</v>
      </c>
    </row>
    <row r="13" customFormat="false" ht="26.85" hidden="false" customHeight="false" outlineLevel="0" collapsed="false">
      <c r="D13" s="13" t="s">
        <v>49</v>
      </c>
      <c r="E13" s="14" t="n">
        <f aca="false">IFERROR(($B$7-$E$9)/($B$7-$E$8),"")</f>
        <v>1.45</v>
      </c>
      <c r="N13" s="21" t="n">
        <f aca="false">IF(5&lt;=$B$8,5,"")</f>
        <v>5</v>
      </c>
      <c r="O13" s="21" t="n">
        <f aca="false">IF(N13="","",N13/$B$8)</f>
        <v>0.416666666666667</v>
      </c>
      <c r="P13" s="22" t="n">
        <f aca="false">IF(N13="","",(1-(1-O13^$B$11)^$B$12)*100)</f>
        <v>49.1245741014464</v>
      </c>
    </row>
    <row r="14" customFormat="false" ht="15" hidden="false" customHeight="false" outlineLevel="0" collapsed="false">
      <c r="N14" s="21" t="n">
        <f aca="false">IF(6&lt;=$B$8,6,"")</f>
        <v>6</v>
      </c>
      <c r="O14" s="21" t="n">
        <f aca="false">IF(N14="","",N14/$B$8)</f>
        <v>0.5</v>
      </c>
      <c r="P14" s="22" t="n">
        <f aca="false">IF(N14="","",(1-(1-O14^$B$11)^$B$12)*100)</f>
        <v>69.934219866991</v>
      </c>
    </row>
    <row r="15" customFormat="false" ht="15" hidden="false" customHeight="false" outlineLevel="0" collapsed="false">
      <c r="N15" s="21" t="n">
        <f aca="false">IF(7&lt;=$B$8,7,"")</f>
        <v>7</v>
      </c>
      <c r="O15" s="21" t="n">
        <f aca="false">IF(N15="","",N15/$B$8)</f>
        <v>0.583333333333333</v>
      </c>
      <c r="P15" s="22" t="n">
        <f aca="false">IF(N15="","",(1-(1-O15^$B$11)^$B$12)*100)</f>
        <v>86.3493190162628</v>
      </c>
    </row>
    <row r="16" customFormat="false" ht="42" hidden="false" customHeight="true" outlineLevel="0" collapsed="false">
      <c r="A16" s="25" t="s">
        <v>34</v>
      </c>
      <c r="B16" s="25" t="s">
        <v>50</v>
      </c>
      <c r="C16" s="25" t="s">
        <v>51</v>
      </c>
      <c r="D16" s="25" t="s">
        <v>52</v>
      </c>
      <c r="E16" s="25" t="s">
        <v>53</v>
      </c>
      <c r="F16" s="25" t="s">
        <v>54</v>
      </c>
      <c r="G16" s="25" t="s">
        <v>55</v>
      </c>
      <c r="H16" s="25" t="s">
        <v>56</v>
      </c>
      <c r="I16" s="25" t="s">
        <v>57</v>
      </c>
      <c r="J16" s="25" t="s">
        <v>58</v>
      </c>
      <c r="K16" s="25" t="s">
        <v>59</v>
      </c>
      <c r="L16" s="25" t="s">
        <v>60</v>
      </c>
      <c r="N16" s="21" t="n">
        <f aca="false">IF(8&lt;=$B$8,8,"")</f>
        <v>8</v>
      </c>
      <c r="O16" s="21" t="n">
        <f aca="false">IF(N16="","",N16/$B$8)</f>
        <v>0.666666666666667</v>
      </c>
      <c r="P16" s="22" t="n">
        <f aca="false">IF(N16="","",(1-(1-O16^$B$11)^$B$12)*100)</f>
        <v>95.7683617786764</v>
      </c>
      <c r="S16" s="24" t="s">
        <v>61</v>
      </c>
    </row>
    <row r="17" customFormat="false" ht="15" hidden="false" customHeight="false" outlineLevel="0" collapsed="false">
      <c r="A17" s="26" t="n">
        <v>1</v>
      </c>
      <c r="B17" s="32" t="s">
        <v>65</v>
      </c>
      <c r="C17" s="33" t="n">
        <v>2</v>
      </c>
      <c r="D17" s="17" t="n">
        <f aca="false">IF(OR($A17="",$A17&gt;$B$8,$C17=""),"",$C17/100*$B$7)</f>
        <v>48000</v>
      </c>
      <c r="E17" s="34" t="n">
        <v>52000</v>
      </c>
      <c r="F17" s="33" t="n">
        <v>1.66666666666667</v>
      </c>
      <c r="G17" s="17" t="n">
        <f aca="false">IF(OR($A17="",$A17&gt;$B$8,$F17=""),"",$F17/100*$B$7)</f>
        <v>40000</v>
      </c>
      <c r="H17" s="17" t="n">
        <f aca="false">IF(OR($G17="",$E17=""),"",$G17-$E17)</f>
        <v>-12000</v>
      </c>
      <c r="I17" s="17" t="n">
        <f aca="false">IF(OR($G17="",$D17=""),"",$G17-$D17)</f>
        <v>-7999.99999999999</v>
      </c>
      <c r="J17" s="14" t="n">
        <f aca="false">IF(OR($E17="",$E17=0,$G17=""),"",$G17/$E17)</f>
        <v>0.769230769230769</v>
      </c>
      <c r="K17" s="14" t="n">
        <f aca="false">IF(OR($D17="",$D17=0,$G17=""),"",$G17/$D17)</f>
        <v>0.833333333333334</v>
      </c>
      <c r="L17" s="30" t="s">
        <v>66</v>
      </c>
      <c r="N17" s="21" t="n">
        <f aca="false">IF(9&lt;=$B$8,9,"")</f>
        <v>9</v>
      </c>
      <c r="O17" s="21" t="n">
        <f aca="false">IF(N17="","",N17/$B$8)</f>
        <v>0.75</v>
      </c>
      <c r="P17" s="22" t="n">
        <f aca="false">IF(N17="","",(1-(1-O17^$B$11)^$B$12)*100)</f>
        <v>99.2785674207958</v>
      </c>
      <c r="S17" s="24" t="str">
        <f aca="false">IF($A17=$B$10,MAX($D$17:$G$66)*1.05,"")</f>
        <v/>
      </c>
    </row>
    <row r="18" customFormat="false" ht="15" hidden="false" customHeight="false" outlineLevel="0" collapsed="false">
      <c r="A18" s="26" t="n">
        <v>2</v>
      </c>
      <c r="B18" s="32" t="s">
        <v>67</v>
      </c>
      <c r="C18" s="33" t="n">
        <v>6</v>
      </c>
      <c r="D18" s="17" t="n">
        <f aca="false">IF(OR($A18="",$A18&gt;$B$8,$C18=""),"",$C18/100*$B$7)</f>
        <v>144000</v>
      </c>
      <c r="E18" s="34" t="n">
        <v>150000</v>
      </c>
      <c r="F18" s="33" t="n">
        <v>5.41666666666667</v>
      </c>
      <c r="G18" s="17" t="n">
        <f aca="false">IF(OR($A18="",$A18&gt;$B$8,$F18=""),"",$F18/100*$B$7)</f>
        <v>130000</v>
      </c>
      <c r="H18" s="17" t="n">
        <f aca="false">IF(OR($G18="",$E18=""),"",$G18-$E18)</f>
        <v>-20000</v>
      </c>
      <c r="I18" s="17" t="n">
        <f aca="false">IF(OR($G18="",$D18=""),"",$G18-$D18)</f>
        <v>-14000</v>
      </c>
      <c r="J18" s="14" t="n">
        <f aca="false">IF(OR($E18="",$E18=0,$G18=""),"",$G18/$E18)</f>
        <v>0.866666666666667</v>
      </c>
      <c r="K18" s="14" t="n">
        <f aca="false">IF(OR($D18="",$D18=0,$G18=""),"",$G18/$D18)</f>
        <v>0.902777777777778</v>
      </c>
      <c r="L18" s="30"/>
      <c r="N18" s="21" t="n">
        <f aca="false">IF(10&lt;=$B$8,10,"")</f>
        <v>10</v>
      </c>
      <c r="O18" s="21" t="n">
        <f aca="false">IF(N18="","",N18/$B$8)</f>
        <v>0.833333333333333</v>
      </c>
      <c r="P18" s="22" t="n">
        <f aca="false">IF(N18="","",(1-(1-O18^$B$11)^$B$12)*100)</f>
        <v>99.9581891717735</v>
      </c>
      <c r="S18" s="24" t="str">
        <f aca="false">IF($A18=$B$10,MAX($D$17:$G$66)*1.05,"")</f>
        <v/>
      </c>
    </row>
    <row r="19" customFormat="false" ht="15" hidden="false" customHeight="false" outlineLevel="0" collapsed="false">
      <c r="A19" s="26" t="n">
        <v>3</v>
      </c>
      <c r="B19" s="32" t="s">
        <v>68</v>
      </c>
      <c r="C19" s="33" t="n">
        <v>13</v>
      </c>
      <c r="D19" s="17" t="n">
        <f aca="false">IF(OR($A19="",$A19&gt;$B$8,$C19=""),"",$C19/100*$B$7)</f>
        <v>312000</v>
      </c>
      <c r="E19" s="34" t="n">
        <v>330000</v>
      </c>
      <c r="F19" s="33" t="n">
        <v>12.5</v>
      </c>
      <c r="G19" s="17" t="n">
        <f aca="false">IF(OR($A19="",$A19&gt;$B$8,$F19=""),"",$F19/100*$B$7)</f>
        <v>300000</v>
      </c>
      <c r="H19" s="17" t="n">
        <f aca="false">IF(OR($G19="",$E19=""),"",$G19-$E19)</f>
        <v>-30000</v>
      </c>
      <c r="I19" s="17" t="n">
        <f aca="false">IF(OR($G19="",$D19=""),"",$G19-$D19)</f>
        <v>-12000</v>
      </c>
      <c r="J19" s="14" t="n">
        <f aca="false">IF(OR($E19="",$E19=0,$G19=""),"",$G19/$E19)</f>
        <v>0.909090909090909</v>
      </c>
      <c r="K19" s="14" t="n">
        <f aca="false">IF(OR($D19="",$D19=0,$G19=""),"",$G19/$D19)</f>
        <v>0.961538461538462</v>
      </c>
      <c r="L19" s="30" t="s">
        <v>69</v>
      </c>
      <c r="N19" s="21" t="n">
        <f aca="false">IF(11&lt;=$B$8,11,"")</f>
        <v>11</v>
      </c>
      <c r="O19" s="21" t="n">
        <f aca="false">IF(N19="","",N19/$B$8)</f>
        <v>0.916666666666667</v>
      </c>
      <c r="P19" s="22" t="n">
        <f aca="false">IF(N19="","",(1-(1-O19^$B$11)^$B$12)*100)</f>
        <v>99.9998216714339</v>
      </c>
      <c r="S19" s="24" t="str">
        <f aca="false">IF($A19=$B$10,MAX($D$17:$G$66)*1.05,"")</f>
        <v/>
      </c>
    </row>
    <row r="20" customFormat="false" ht="15" hidden="false" customHeight="false" outlineLevel="0" collapsed="false">
      <c r="A20" s="26" t="n">
        <v>4</v>
      </c>
      <c r="B20" s="32" t="s">
        <v>70</v>
      </c>
      <c r="C20" s="33" t="n">
        <v>24</v>
      </c>
      <c r="D20" s="17" t="n">
        <f aca="false">IF(OR($A20="",$A20&gt;$B$8,$C20=""),"",$C20/100*$B$7)</f>
        <v>576000</v>
      </c>
      <c r="E20" s="34" t="n">
        <v>600000</v>
      </c>
      <c r="F20" s="33" t="n">
        <v>23.3333333333333</v>
      </c>
      <c r="G20" s="17" t="n">
        <f aca="false">IF(OR($A20="",$A20&gt;$B$8,$F20=""),"",$F20/100*$B$7)</f>
        <v>560000</v>
      </c>
      <c r="H20" s="17" t="n">
        <f aca="false">IF(OR($G20="",$E20=""),"",$G20-$E20)</f>
        <v>-40000.0000000001</v>
      </c>
      <c r="I20" s="17" t="n">
        <f aca="false">IF(OR($G20="",$D20=""),"",$G20-$D20)</f>
        <v>-16000.0000000001</v>
      </c>
      <c r="J20" s="14" t="n">
        <f aca="false">IF(OR($E20="",$E20=0,$G20=""),"",$G20/$E20)</f>
        <v>0.933333333333333</v>
      </c>
      <c r="K20" s="14" t="n">
        <f aca="false">IF(OR($D20="",$D20=0,$G20=""),"",$G20/$D20)</f>
        <v>0.972222222222222</v>
      </c>
      <c r="L20" s="30"/>
      <c r="N20" s="21" t="n">
        <f aca="false">IF(12&lt;=$B$8,12,"")</f>
        <v>12</v>
      </c>
      <c r="O20" s="21" t="n">
        <f aca="false">IF(N20="","",N20/$B$8)</f>
        <v>1</v>
      </c>
      <c r="P20" s="22" t="n">
        <f aca="false">IF(N20="","",(1-(1-O20^$B$11)^$B$12)*100)</f>
        <v>100</v>
      </c>
      <c r="S20" s="24" t="str">
        <f aca="false">IF($A20=$B$10,MAX($D$17:$G$66)*1.05,"")</f>
        <v/>
      </c>
    </row>
    <row r="21" customFormat="false" ht="15" hidden="false" customHeight="false" outlineLevel="0" collapsed="false">
      <c r="A21" s="26" t="n">
        <v>5</v>
      </c>
      <c r="B21" s="32" t="s">
        <v>71</v>
      </c>
      <c r="C21" s="33" t="n">
        <v>38</v>
      </c>
      <c r="D21" s="17" t="n">
        <f aca="false">IF(OR($A21="",$A21&gt;$B$8,$C21=""),"",$C21/100*$B$7)</f>
        <v>912000</v>
      </c>
      <c r="E21" s="34" t="n">
        <v>948000</v>
      </c>
      <c r="F21" s="33" t="n">
        <v>37.0833333333333</v>
      </c>
      <c r="G21" s="17" t="n">
        <f aca="false">IF(OR($A21="",$A21&gt;$B$8,$F21=""),"",$F21/100*$B$7)</f>
        <v>890000</v>
      </c>
      <c r="H21" s="17" t="n">
        <f aca="false">IF(OR($G21="",$E21=""),"",$G21-$E21)</f>
        <v>-57999.9999999999</v>
      </c>
      <c r="I21" s="17" t="n">
        <f aca="false">IF(OR($G21="",$D21=""),"",$G21-$D21)</f>
        <v>-21999.9999999999</v>
      </c>
      <c r="J21" s="14" t="n">
        <f aca="false">IF(OR($E21="",$E21=0,$G21=""),"",$G21/$E21)</f>
        <v>0.938818565400844</v>
      </c>
      <c r="K21" s="14" t="n">
        <f aca="false">IF(OR($D21="",$D21=0,$G21=""),"",$G21/$D21)</f>
        <v>0.975877192982456</v>
      </c>
      <c r="L21" s="30" t="s">
        <v>72</v>
      </c>
      <c r="N21" s="21" t="str">
        <f aca="false">IF(13&lt;=$B$8,13,"")</f>
        <v/>
      </c>
      <c r="O21" s="21" t="str">
        <f aca="false">IF(N21="","",N21/$B$8)</f>
        <v/>
      </c>
      <c r="P21" s="22" t="str">
        <f aca="false">IF(N21="","",(1-(1-O21^$B$11)^$B$12)*100)</f>
        <v/>
      </c>
      <c r="S21" s="24" t="str">
        <f aca="false">IF($A21=$B$10,MAX($D$17:$G$66)*1.05,"")</f>
        <v/>
      </c>
    </row>
    <row r="22" customFormat="false" ht="15" hidden="false" customHeight="false" outlineLevel="0" collapsed="false">
      <c r="A22" s="26" t="n">
        <v>6</v>
      </c>
      <c r="B22" s="32" t="s">
        <v>73</v>
      </c>
      <c r="C22" s="33" t="n">
        <v>54</v>
      </c>
      <c r="D22" s="17" t="n">
        <f aca="false">IF(OR($A22="",$A22&gt;$B$8,$C22=""),"",$C22/100*$B$7)</f>
        <v>1296000</v>
      </c>
      <c r="E22" s="34" t="n">
        <v>1340000</v>
      </c>
      <c r="F22" s="33" t="n">
        <v>52.9166666666667</v>
      </c>
      <c r="G22" s="17" t="n">
        <f aca="false">IF(OR($A22="",$A22&gt;$B$8,$F22=""),"",$F22/100*$B$7)</f>
        <v>1270000</v>
      </c>
      <c r="H22" s="17" t="n">
        <f aca="false">IF(OR($G22="",$E22=""),"",$G22-$E22)</f>
        <v>-70000.0000000002</v>
      </c>
      <c r="I22" s="17" t="n">
        <f aca="false">IF(OR($G22="",$D22=""),"",$G22-$D22)</f>
        <v>-26000.0000000002</v>
      </c>
      <c r="J22" s="14" t="n">
        <f aca="false">IF(OR($E22="",$E22=0,$G22=""),"",$G22/$E22)</f>
        <v>0.947761194029851</v>
      </c>
      <c r="K22" s="14" t="n">
        <f aca="false">IF(OR($D22="",$D22=0,$G22=""),"",$G22/$D22)</f>
        <v>0.979938271604938</v>
      </c>
      <c r="L22" s="30"/>
      <c r="N22" s="21" t="str">
        <f aca="false">IF(14&lt;=$B$8,14,"")</f>
        <v/>
      </c>
      <c r="O22" s="21" t="str">
        <f aca="false">IF(N22="","",N22/$B$8)</f>
        <v/>
      </c>
      <c r="P22" s="22" t="str">
        <f aca="false">IF(N22="","",(1-(1-O22^$B$11)^$B$12)*100)</f>
        <v/>
      </c>
      <c r="S22" s="24" t="str">
        <f aca="false">IF($A22=$B$10,MAX($D$17:$G$66)*1.05,"")</f>
        <v/>
      </c>
    </row>
    <row r="23" customFormat="false" ht="15" hidden="false" customHeight="false" outlineLevel="0" collapsed="false">
      <c r="A23" s="26" t="n">
        <v>7</v>
      </c>
      <c r="B23" s="32" t="s">
        <v>74</v>
      </c>
      <c r="C23" s="33" t="n">
        <v>68</v>
      </c>
      <c r="D23" s="17" t="n">
        <f aca="false">IF(OR($A23="",$A23&gt;$B$8,$C23=""),"",$C23/100*$B$7)</f>
        <v>1632000</v>
      </c>
      <c r="E23" s="34" t="n">
        <v>1690000</v>
      </c>
      <c r="F23" s="33" t="n">
        <v>66.6666666666667</v>
      </c>
      <c r="G23" s="17" t="n">
        <f aca="false">IF(OR($A23="",$A23&gt;$B$8,$F23=""),"",$F23/100*$B$7)</f>
        <v>1600000</v>
      </c>
      <c r="H23" s="17" t="n">
        <f aca="false">IF(OR($G23="",$E23=""),"",$G23-$E23)</f>
        <v>-90000.0000000005</v>
      </c>
      <c r="I23" s="17" t="n">
        <f aca="false">IF(OR($G23="",$D23=""),"",$G23-$D23)</f>
        <v>-32000.0000000007</v>
      </c>
      <c r="J23" s="14" t="n">
        <f aca="false">IF(OR($E23="",$E23=0,$G23=""),"",$G23/$E23)</f>
        <v>0.946745562130177</v>
      </c>
      <c r="K23" s="14" t="n">
        <f aca="false">IF(OR($D23="",$D23=0,$G23=""),"",$G23/$D23)</f>
        <v>0.980392156862745</v>
      </c>
      <c r="L23" s="30" t="s">
        <v>75</v>
      </c>
      <c r="N23" s="21" t="str">
        <f aca="false">IF(15&lt;=$B$8,15,"")</f>
        <v/>
      </c>
      <c r="O23" s="21" t="str">
        <f aca="false">IF(N23="","",N23/$B$8)</f>
        <v/>
      </c>
      <c r="P23" s="22" t="str">
        <f aca="false">IF(N23="","",(1-(1-O23^$B$11)^$B$12)*100)</f>
        <v/>
      </c>
      <c r="S23" s="24" t="str">
        <f aca="false">IF($A23=$B$10,MAX($D$17:$G$66)*1.05,"")</f>
        <v/>
      </c>
    </row>
    <row r="24" customFormat="false" ht="15" hidden="false" customHeight="false" outlineLevel="0" collapsed="false">
      <c r="A24" s="26" t="n">
        <v>8</v>
      </c>
      <c r="B24" s="32" t="s">
        <v>76</v>
      </c>
      <c r="C24" s="33" t="n">
        <v>80</v>
      </c>
      <c r="D24" s="17" t="n">
        <f aca="false">IF(OR($A24="",$A24&gt;$B$8,$C24=""),"",$C24/100*$B$7)</f>
        <v>1920000</v>
      </c>
      <c r="E24" s="34" t="n">
        <v>1985000</v>
      </c>
      <c r="F24" s="33" t="n">
        <v>78.75</v>
      </c>
      <c r="G24" s="17" t="n">
        <f aca="false">IF(OR($A24="",$A24&gt;$B$8,$F24=""),"",$F24/100*$B$7)</f>
        <v>1890000</v>
      </c>
      <c r="H24" s="17" t="n">
        <f aca="false">IF(OR($G24="",$E24=""),"",$G24-$E24)</f>
        <v>-95000</v>
      </c>
      <c r="I24" s="17" t="n">
        <f aca="false">IF(OR($G24="",$D24=""),"",$G24-$D24)</f>
        <v>-30000</v>
      </c>
      <c r="J24" s="14" t="n">
        <f aca="false">IF(OR($E24="",$E24=0,$G24=""),"",$G24/$E24)</f>
        <v>0.952141057934509</v>
      </c>
      <c r="K24" s="14" t="n">
        <f aca="false">IF(OR($D24="",$D24=0,$G24=""),"",$G24/$D24)</f>
        <v>0.984375</v>
      </c>
      <c r="L24" s="30"/>
      <c r="N24" s="21" t="str">
        <f aca="false">IF(16&lt;=$B$8,16,"")</f>
        <v/>
      </c>
      <c r="O24" s="21" t="str">
        <f aca="false">IF(N24="","",N24/$B$8)</f>
        <v/>
      </c>
      <c r="P24" s="22" t="str">
        <f aca="false">IF(N24="","",(1-(1-O24^$B$11)^$B$12)*100)</f>
        <v/>
      </c>
      <c r="S24" s="24" t="str">
        <f aca="false">IF($A24=$B$10,MAX($D$17:$G$66)*1.05,"")</f>
        <v/>
      </c>
    </row>
    <row r="25" customFormat="false" ht="15" hidden="false" customHeight="false" outlineLevel="0" collapsed="false">
      <c r="A25" s="26" t="n">
        <v>9</v>
      </c>
      <c r="B25" s="32" t="s">
        <v>77</v>
      </c>
      <c r="C25" s="33" t="n">
        <v>89</v>
      </c>
      <c r="D25" s="17" t="n">
        <f aca="false">IF(OR($A25="",$A25&gt;$B$8,$C25=""),"",$C25/100*$B$7)</f>
        <v>2136000</v>
      </c>
      <c r="E25" s="34" t="n">
        <v>2200000</v>
      </c>
      <c r="F25" s="33" t="n">
        <v>87.9166666666667</v>
      </c>
      <c r="G25" s="17" t="n">
        <f aca="false">IF(OR($A25="",$A25&gt;$B$8,$F25=""),"",$F25/100*$B$7)</f>
        <v>2110000</v>
      </c>
      <c r="H25" s="17" t="n">
        <f aca="false">IF(OR($G25="",$E25=""),"",$G25-$E25)</f>
        <v>-90000</v>
      </c>
      <c r="I25" s="17" t="n">
        <f aca="false">IF(OR($G25="",$D25=""),"",$G25-$D25)</f>
        <v>-26000</v>
      </c>
      <c r="J25" s="14" t="n">
        <f aca="false">IF(OR($E25="",$E25=0,$G25=""),"",$G25/$E25)</f>
        <v>0.959090909090909</v>
      </c>
      <c r="K25" s="14" t="n">
        <f aca="false">IF(OR($D25="",$D25=0,$G25=""),"",$G25/$D25)</f>
        <v>0.987827715355805</v>
      </c>
      <c r="L25" s="30" t="s">
        <v>78</v>
      </c>
      <c r="N25" s="21" t="str">
        <f aca="false">IF(17&lt;=$B$8,17,"")</f>
        <v/>
      </c>
      <c r="O25" s="21" t="str">
        <f aca="false">IF(N25="","",N25/$B$8)</f>
        <v/>
      </c>
      <c r="P25" s="22" t="str">
        <f aca="false">IF(N25="","",(1-(1-O25^$B$11)^$B$12)*100)</f>
        <v/>
      </c>
      <c r="S25" s="24" t="n">
        <f aca="false">IF($A25=$B$10,MAX($D$17:$G$66)*1.05,"")</f>
        <v>2593500</v>
      </c>
    </row>
    <row r="26" customFormat="false" ht="15" hidden="false" customHeight="false" outlineLevel="0" collapsed="false">
      <c r="A26" s="26" t="n">
        <v>10</v>
      </c>
      <c r="B26" s="32" t="s">
        <v>79</v>
      </c>
      <c r="C26" s="33" t="n">
        <v>95</v>
      </c>
      <c r="D26" s="17" t="n">
        <f aca="false">IF(OR($A26="",$A26&gt;$B$8,$C26=""),"",$C26/100*$B$7)</f>
        <v>2280000</v>
      </c>
      <c r="E26" s="34" t="n">
        <v>2350000</v>
      </c>
      <c r="F26" s="33" t="n">
        <v>94.1666666666667</v>
      </c>
      <c r="G26" s="17" t="n">
        <f aca="false">IF(OR($A26="",$A26&gt;$B$8,$F26=""),"",$F26/100*$B$7)</f>
        <v>2260000</v>
      </c>
      <c r="H26" s="17" t="n">
        <f aca="false">IF(OR($G26="",$E26=""),"",$G26-$E26)</f>
        <v>-90000</v>
      </c>
      <c r="I26" s="17" t="n">
        <f aca="false">IF(OR($G26="",$D26=""),"",$G26-$D26)</f>
        <v>-20000</v>
      </c>
      <c r="J26" s="14" t="n">
        <f aca="false">IF(OR($E26="",$E26=0,$G26=""),"",$G26/$E26)</f>
        <v>0.961702127659574</v>
      </c>
      <c r="K26" s="14" t="n">
        <f aca="false">IF(OR($D26="",$D26=0,$G26=""),"",$G26/$D26)</f>
        <v>0.991228070175439</v>
      </c>
      <c r="L26" s="30"/>
      <c r="N26" s="21" t="str">
        <f aca="false">IF(18&lt;=$B$8,18,"")</f>
        <v/>
      </c>
      <c r="O26" s="21" t="str">
        <f aca="false">IF(N26="","",N26/$B$8)</f>
        <v/>
      </c>
      <c r="P26" s="22" t="str">
        <f aca="false">IF(N26="","",(1-(1-O26^$B$11)^$B$12)*100)</f>
        <v/>
      </c>
      <c r="S26" s="24" t="str">
        <f aca="false">IF($A26=$B$10,MAX($D$17:$G$66)*1.05,"")</f>
        <v/>
      </c>
    </row>
    <row r="27" customFormat="false" ht="15" hidden="false" customHeight="false" outlineLevel="0" collapsed="false">
      <c r="A27" s="26" t="n">
        <v>11</v>
      </c>
      <c r="B27" s="32" t="s">
        <v>80</v>
      </c>
      <c r="C27" s="33" t="n">
        <v>98</v>
      </c>
      <c r="D27" s="17" t="n">
        <f aca="false">IF(OR($A27="",$A27&gt;$B$8,$C27=""),"",$C27/100*$B$7)</f>
        <v>2352000</v>
      </c>
      <c r="E27" s="34" t="n">
        <v>2420000</v>
      </c>
      <c r="F27" s="33" t="n">
        <v>97.2916666666667</v>
      </c>
      <c r="G27" s="17" t="n">
        <f aca="false">IF(OR($A27="",$A27&gt;$B$8,$F27=""),"",$F27/100*$B$7)</f>
        <v>2335000</v>
      </c>
      <c r="H27" s="17" t="n">
        <f aca="false">IF(OR($G27="",$E27=""),"",$G27-$E27)</f>
        <v>-85000</v>
      </c>
      <c r="I27" s="17" t="n">
        <f aca="false">IF(OR($G27="",$D27=""),"",$G27-$D27)</f>
        <v>-17000</v>
      </c>
      <c r="J27" s="14" t="n">
        <f aca="false">IF(OR($E27="",$E27=0,$G27=""),"",$G27/$E27)</f>
        <v>0.964876033057851</v>
      </c>
      <c r="K27" s="14" t="n">
        <f aca="false">IF(OR($D27="",$D27=0,$G27=""),"",$G27/$D27)</f>
        <v>0.992772108843537</v>
      </c>
      <c r="L27" s="30"/>
      <c r="N27" s="21" t="str">
        <f aca="false">IF(19&lt;=$B$8,19,"")</f>
        <v/>
      </c>
      <c r="O27" s="21" t="str">
        <f aca="false">IF(N27="","",N27/$B$8)</f>
        <v/>
      </c>
      <c r="P27" s="22" t="str">
        <f aca="false">IF(N27="","",(1-(1-O27^$B$11)^$B$12)*100)</f>
        <v/>
      </c>
      <c r="S27" s="24" t="str">
        <f aca="false">IF($A27=$B$10,MAX($D$17:$G$66)*1.05,"")</f>
        <v/>
      </c>
    </row>
    <row r="28" customFormat="false" ht="15" hidden="false" customHeight="false" outlineLevel="0" collapsed="false">
      <c r="A28" s="26" t="n">
        <v>12</v>
      </c>
      <c r="B28" s="32" t="s">
        <v>81</v>
      </c>
      <c r="C28" s="33" t="n">
        <v>100</v>
      </c>
      <c r="D28" s="17" t="n">
        <f aca="false">IF(OR($A28="",$A28&gt;$B$8,$C28=""),"",$C28/100*$B$7)</f>
        <v>2400000</v>
      </c>
      <c r="E28" s="34" t="n">
        <v>2470000</v>
      </c>
      <c r="F28" s="33" t="n">
        <v>99.5833333333333</v>
      </c>
      <c r="G28" s="17" t="n">
        <f aca="false">IF(OR($A28="",$A28&gt;$B$8,$F28=""),"",$F28/100*$B$7)</f>
        <v>2390000</v>
      </c>
      <c r="H28" s="17" t="n">
        <f aca="false">IF(OR($G28="",$E28=""),"",$G28-$E28)</f>
        <v>-80000</v>
      </c>
      <c r="I28" s="17" t="n">
        <f aca="false">IF(OR($G28="",$D28=""),"",$G28-$D28)</f>
        <v>-10000</v>
      </c>
      <c r="J28" s="14" t="n">
        <f aca="false">IF(OR($E28="",$E28=0,$G28=""),"",$G28/$E28)</f>
        <v>0.967611336032389</v>
      </c>
      <c r="K28" s="14" t="n">
        <f aca="false">IF(OR($D28="",$D28=0,$G28=""),"",$G28/$D28)</f>
        <v>0.995833333333333</v>
      </c>
      <c r="L28" s="30" t="s">
        <v>82</v>
      </c>
      <c r="N28" s="21" t="str">
        <f aca="false">IF(20&lt;=$B$8,20,"")</f>
        <v/>
      </c>
      <c r="O28" s="21" t="str">
        <f aca="false">IF(N28="","",N28/$B$8)</f>
        <v/>
      </c>
      <c r="P28" s="22" t="str">
        <f aca="false">IF(N28="","",(1-(1-O28^$B$11)^$B$12)*100)</f>
        <v/>
      </c>
      <c r="S28" s="24" t="str">
        <f aca="false">IF($A28=$B$10,MAX($D$17:$G$66)*1.05,"")</f>
        <v/>
      </c>
    </row>
    <row r="29" customFormat="false" ht="15" hidden="false" customHeight="false" outlineLevel="0" collapsed="false">
      <c r="A29" s="26" t="n">
        <v>13</v>
      </c>
      <c r="B29" s="27"/>
      <c r="C29" s="28"/>
      <c r="D29" s="17" t="str">
        <f aca="false">IF(OR($A29="",$A29&gt;$B$8,$C29=""),"",$C29/100*$B$7)</f>
        <v/>
      </c>
      <c r="E29" s="29"/>
      <c r="F29" s="28"/>
      <c r="G29" s="17" t="str">
        <f aca="false">IF(OR($A29="",$A29&gt;$B$8,$F29=""),"",$F29/100*$B$7)</f>
        <v/>
      </c>
      <c r="H29" s="17" t="str">
        <f aca="false">IF(OR($G29="",$E29=""),"",$G29-$E29)</f>
        <v/>
      </c>
      <c r="I29" s="17" t="str">
        <f aca="false">IF(OR($G29="",$D29=""),"",$G29-$D29)</f>
        <v/>
      </c>
      <c r="J29" s="14" t="str">
        <f aca="false">IF(OR($E29="",$E29=0,$G29=""),"",$G29/$E29)</f>
        <v/>
      </c>
      <c r="K29" s="14" t="str">
        <f aca="false">IF(OR($D29="",$D29=0,$G29=""),"",$G29/$D29)</f>
        <v/>
      </c>
      <c r="L29" s="30"/>
      <c r="N29" s="21" t="str">
        <f aca="false">IF(21&lt;=$B$8,21,"")</f>
        <v/>
      </c>
      <c r="O29" s="21" t="str">
        <f aca="false">IF(N29="","",N29/$B$8)</f>
        <v/>
      </c>
      <c r="P29" s="22" t="str">
        <f aca="false">IF(N29="","",(1-(1-O29^$B$11)^$B$12)*100)</f>
        <v/>
      </c>
      <c r="S29" s="24" t="str">
        <f aca="false">IF($A29=$B$10,MAX($D$17:$G$66)*1.05,"")</f>
        <v/>
      </c>
    </row>
    <row r="30" customFormat="false" ht="15" hidden="false" customHeight="false" outlineLevel="0" collapsed="false">
      <c r="A30" s="26" t="n">
        <v>14</v>
      </c>
      <c r="B30" s="27"/>
      <c r="C30" s="28"/>
      <c r="D30" s="17" t="str">
        <f aca="false">IF(OR($A30="",$A30&gt;$B$8,$C30=""),"",$C30/100*$B$7)</f>
        <v/>
      </c>
      <c r="E30" s="29"/>
      <c r="F30" s="28"/>
      <c r="G30" s="17" t="str">
        <f aca="false">IF(OR($A30="",$A30&gt;$B$8,$F30=""),"",$F30/100*$B$7)</f>
        <v/>
      </c>
      <c r="H30" s="17" t="str">
        <f aca="false">IF(OR($G30="",$E30=""),"",$G30-$E30)</f>
        <v/>
      </c>
      <c r="I30" s="17" t="str">
        <f aca="false">IF(OR($G30="",$D30=""),"",$G30-$D30)</f>
        <v/>
      </c>
      <c r="J30" s="14" t="str">
        <f aca="false">IF(OR($E30="",$E30=0,$G30=""),"",$G30/$E30)</f>
        <v/>
      </c>
      <c r="K30" s="14" t="str">
        <f aca="false">IF(OR($D30="",$D30=0,$G30=""),"",$G30/$D30)</f>
        <v/>
      </c>
      <c r="L30" s="30"/>
      <c r="N30" s="21" t="str">
        <f aca="false">IF(22&lt;=$B$8,22,"")</f>
        <v/>
      </c>
      <c r="O30" s="21" t="str">
        <f aca="false">IF(N30="","",N30/$B$8)</f>
        <v/>
      </c>
      <c r="P30" s="22" t="str">
        <f aca="false">IF(N30="","",(1-(1-O30^$B$11)^$B$12)*100)</f>
        <v/>
      </c>
      <c r="S30" s="24" t="str">
        <f aca="false">IF($A30=$B$10,MAX($D$17:$G$66)*1.05,"")</f>
        <v/>
      </c>
    </row>
    <row r="31" customFormat="false" ht="15" hidden="false" customHeight="false" outlineLevel="0" collapsed="false">
      <c r="A31" s="26" t="n">
        <v>15</v>
      </c>
      <c r="B31" s="27"/>
      <c r="C31" s="28"/>
      <c r="D31" s="17" t="str">
        <f aca="false">IF(OR($A31="",$A31&gt;$B$8,$C31=""),"",$C31/100*$B$7)</f>
        <v/>
      </c>
      <c r="E31" s="29"/>
      <c r="F31" s="28"/>
      <c r="G31" s="17" t="str">
        <f aca="false">IF(OR($A31="",$A31&gt;$B$8,$F31=""),"",$F31/100*$B$7)</f>
        <v/>
      </c>
      <c r="H31" s="17" t="str">
        <f aca="false">IF(OR($G31="",$E31=""),"",$G31-$E31)</f>
        <v/>
      </c>
      <c r="I31" s="17" t="str">
        <f aca="false">IF(OR($G31="",$D31=""),"",$G31-$D31)</f>
        <v/>
      </c>
      <c r="J31" s="14" t="str">
        <f aca="false">IF(OR($E31="",$E31=0,$G31=""),"",$G31/$E31)</f>
        <v/>
      </c>
      <c r="K31" s="14" t="str">
        <f aca="false">IF(OR($D31="",$D31=0,$G31=""),"",$G31/$D31)</f>
        <v/>
      </c>
      <c r="L31" s="30"/>
      <c r="N31" s="21" t="str">
        <f aca="false">IF(23&lt;=$B$8,23,"")</f>
        <v/>
      </c>
      <c r="O31" s="21" t="str">
        <f aca="false">IF(N31="","",N31/$B$8)</f>
        <v/>
      </c>
      <c r="P31" s="22" t="str">
        <f aca="false">IF(N31="","",(1-(1-O31^$B$11)^$B$12)*100)</f>
        <v/>
      </c>
      <c r="S31" s="24" t="str">
        <f aca="false">IF($A31=$B$10,MAX($D$17:$G$66)*1.05,"")</f>
        <v/>
      </c>
    </row>
    <row r="32" customFormat="false" ht="15" hidden="false" customHeight="false" outlineLevel="0" collapsed="false">
      <c r="A32" s="26" t="n">
        <v>16</v>
      </c>
      <c r="B32" s="27"/>
      <c r="C32" s="28"/>
      <c r="D32" s="17" t="str">
        <f aca="false">IF(OR($A32="",$A32&gt;$B$8,$C32=""),"",$C32/100*$B$7)</f>
        <v/>
      </c>
      <c r="E32" s="29"/>
      <c r="F32" s="28"/>
      <c r="G32" s="17" t="str">
        <f aca="false">IF(OR($A32="",$A32&gt;$B$8,$F32=""),"",$F32/100*$B$7)</f>
        <v/>
      </c>
      <c r="H32" s="17" t="str">
        <f aca="false">IF(OR($G32="",$E32=""),"",$G32-$E32)</f>
        <v/>
      </c>
      <c r="I32" s="17" t="str">
        <f aca="false">IF(OR($G32="",$D32=""),"",$G32-$D32)</f>
        <v/>
      </c>
      <c r="J32" s="14" t="str">
        <f aca="false">IF(OR($E32="",$E32=0,$G32=""),"",$G32/$E32)</f>
        <v/>
      </c>
      <c r="K32" s="14" t="str">
        <f aca="false">IF(OR($D32="",$D32=0,$G32=""),"",$G32/$D32)</f>
        <v/>
      </c>
      <c r="L32" s="30"/>
      <c r="N32" s="21" t="str">
        <f aca="false">IF(24&lt;=$B$8,24,"")</f>
        <v/>
      </c>
      <c r="O32" s="21" t="str">
        <f aca="false">IF(N32="","",N32/$B$8)</f>
        <v/>
      </c>
      <c r="P32" s="22" t="str">
        <f aca="false">IF(N32="","",(1-(1-O32^$B$11)^$B$12)*100)</f>
        <v/>
      </c>
      <c r="S32" s="24" t="str">
        <f aca="false">IF($A32=$B$10,MAX($D$17:$G$66)*1.05,"")</f>
        <v/>
      </c>
    </row>
    <row r="33" customFormat="false" ht="15" hidden="false" customHeight="false" outlineLevel="0" collapsed="false">
      <c r="A33" s="26" t="n">
        <v>17</v>
      </c>
      <c r="B33" s="27"/>
      <c r="C33" s="28"/>
      <c r="D33" s="17" t="str">
        <f aca="false">IF(OR($A33="",$A33&gt;$B$8,$C33=""),"",$C33/100*$B$7)</f>
        <v/>
      </c>
      <c r="E33" s="29"/>
      <c r="F33" s="28"/>
      <c r="G33" s="17" t="str">
        <f aca="false">IF(OR($A33="",$A33&gt;$B$8,$F33=""),"",$F33/100*$B$7)</f>
        <v/>
      </c>
      <c r="H33" s="17" t="str">
        <f aca="false">IF(OR($G33="",$E33=""),"",$G33-$E33)</f>
        <v/>
      </c>
      <c r="I33" s="17" t="str">
        <f aca="false">IF(OR($G33="",$D33=""),"",$G33-$D33)</f>
        <v/>
      </c>
      <c r="J33" s="14" t="str">
        <f aca="false">IF(OR($E33="",$E33=0,$G33=""),"",$G33/$E33)</f>
        <v/>
      </c>
      <c r="K33" s="14" t="str">
        <f aca="false">IF(OR($D33="",$D33=0,$G33=""),"",$G33/$D33)</f>
        <v/>
      </c>
      <c r="L33" s="30"/>
      <c r="N33" s="21" t="str">
        <f aca="false">IF(25&lt;=$B$8,25,"")</f>
        <v/>
      </c>
      <c r="O33" s="21" t="str">
        <f aca="false">IF(N33="","",N33/$B$8)</f>
        <v/>
      </c>
      <c r="P33" s="22" t="str">
        <f aca="false">IF(N33="","",(1-(1-O33^$B$11)^$B$12)*100)</f>
        <v/>
      </c>
      <c r="S33" s="24" t="str">
        <f aca="false">IF($A33=$B$10,MAX($D$17:$G$66)*1.05,"")</f>
        <v/>
      </c>
    </row>
    <row r="34" customFormat="false" ht="15" hidden="false" customHeight="false" outlineLevel="0" collapsed="false">
      <c r="A34" s="26" t="n">
        <v>18</v>
      </c>
      <c r="B34" s="27"/>
      <c r="C34" s="28"/>
      <c r="D34" s="17" t="str">
        <f aca="false">IF(OR($A34="",$A34&gt;$B$8,$C34=""),"",$C34/100*$B$7)</f>
        <v/>
      </c>
      <c r="E34" s="29"/>
      <c r="F34" s="28"/>
      <c r="G34" s="17" t="str">
        <f aca="false">IF(OR($A34="",$A34&gt;$B$8,$F34=""),"",$F34/100*$B$7)</f>
        <v/>
      </c>
      <c r="H34" s="17" t="str">
        <f aca="false">IF(OR($G34="",$E34=""),"",$G34-$E34)</f>
        <v/>
      </c>
      <c r="I34" s="17" t="str">
        <f aca="false">IF(OR($G34="",$D34=""),"",$G34-$D34)</f>
        <v/>
      </c>
      <c r="J34" s="14" t="str">
        <f aca="false">IF(OR($E34="",$E34=0,$G34=""),"",$G34/$E34)</f>
        <v/>
      </c>
      <c r="K34" s="14" t="str">
        <f aca="false">IF(OR($D34="",$D34=0,$G34=""),"",$G34/$D34)</f>
        <v/>
      </c>
      <c r="L34" s="30"/>
      <c r="N34" s="21" t="str">
        <f aca="false">IF(26&lt;=$B$8,26,"")</f>
        <v/>
      </c>
      <c r="O34" s="21" t="str">
        <f aca="false">IF(N34="","",N34/$B$8)</f>
        <v/>
      </c>
      <c r="P34" s="22" t="str">
        <f aca="false">IF(N34="","",(1-(1-O34^$B$11)^$B$12)*100)</f>
        <v/>
      </c>
      <c r="S34" s="24" t="str">
        <f aca="false">IF($A34=$B$10,MAX($D$17:$G$66)*1.05,"")</f>
        <v/>
      </c>
    </row>
    <row r="35" customFormat="false" ht="15" hidden="false" customHeight="false" outlineLevel="0" collapsed="false">
      <c r="A35" s="26" t="n">
        <v>19</v>
      </c>
      <c r="B35" s="27"/>
      <c r="C35" s="28"/>
      <c r="D35" s="17" t="str">
        <f aca="false">IF(OR($A35="",$A35&gt;$B$8,$C35=""),"",$C35/100*$B$7)</f>
        <v/>
      </c>
      <c r="E35" s="29"/>
      <c r="F35" s="28"/>
      <c r="G35" s="17" t="str">
        <f aca="false">IF(OR($A35="",$A35&gt;$B$8,$F35=""),"",$F35/100*$B$7)</f>
        <v/>
      </c>
      <c r="H35" s="17" t="str">
        <f aca="false">IF(OR($G35="",$E35=""),"",$G35-$E35)</f>
        <v/>
      </c>
      <c r="I35" s="17" t="str">
        <f aca="false">IF(OR($G35="",$D35=""),"",$G35-$D35)</f>
        <v/>
      </c>
      <c r="J35" s="14" t="str">
        <f aca="false">IF(OR($E35="",$E35=0,$G35=""),"",$G35/$E35)</f>
        <v/>
      </c>
      <c r="K35" s="14" t="str">
        <f aca="false">IF(OR($D35="",$D35=0,$G35=""),"",$G35/$D35)</f>
        <v/>
      </c>
      <c r="L35" s="30"/>
      <c r="N35" s="21" t="str">
        <f aca="false">IF(27&lt;=$B$8,27,"")</f>
        <v/>
      </c>
      <c r="O35" s="21" t="str">
        <f aca="false">IF(N35="","",N35/$B$8)</f>
        <v/>
      </c>
      <c r="P35" s="22" t="str">
        <f aca="false">IF(N35="","",(1-(1-O35^$B$11)^$B$12)*100)</f>
        <v/>
      </c>
      <c r="S35" s="24" t="str">
        <f aca="false">IF($A35=$B$10,MAX($D$17:$G$66)*1.05,"")</f>
        <v/>
      </c>
    </row>
    <row r="36" customFormat="false" ht="15" hidden="false" customHeight="false" outlineLevel="0" collapsed="false">
      <c r="A36" s="26" t="n">
        <v>20</v>
      </c>
      <c r="B36" s="27"/>
      <c r="C36" s="28"/>
      <c r="D36" s="17" t="str">
        <f aca="false">IF(OR($A36="",$A36&gt;$B$8,$C36=""),"",$C36/100*$B$7)</f>
        <v/>
      </c>
      <c r="E36" s="29"/>
      <c r="F36" s="28"/>
      <c r="G36" s="17" t="str">
        <f aca="false">IF(OR($A36="",$A36&gt;$B$8,$F36=""),"",$F36/100*$B$7)</f>
        <v/>
      </c>
      <c r="H36" s="17" t="str">
        <f aca="false">IF(OR($G36="",$E36=""),"",$G36-$E36)</f>
        <v/>
      </c>
      <c r="I36" s="17" t="str">
        <f aca="false">IF(OR($G36="",$D36=""),"",$G36-$D36)</f>
        <v/>
      </c>
      <c r="J36" s="14" t="str">
        <f aca="false">IF(OR($E36="",$E36=0,$G36=""),"",$G36/$E36)</f>
        <v/>
      </c>
      <c r="K36" s="14" t="str">
        <f aca="false">IF(OR($D36="",$D36=0,$G36=""),"",$G36/$D36)</f>
        <v/>
      </c>
      <c r="L36" s="30"/>
      <c r="N36" s="21" t="str">
        <f aca="false">IF(28&lt;=$B$8,28,"")</f>
        <v/>
      </c>
      <c r="O36" s="21" t="str">
        <f aca="false">IF(N36="","",N36/$B$8)</f>
        <v/>
      </c>
      <c r="P36" s="22" t="str">
        <f aca="false">IF(N36="","",(1-(1-O36^$B$11)^$B$12)*100)</f>
        <v/>
      </c>
      <c r="S36" s="24" t="str">
        <f aca="false">IF($A36=$B$10,MAX($D$17:$G$66)*1.05,"")</f>
        <v/>
      </c>
    </row>
    <row r="37" customFormat="false" ht="15" hidden="false" customHeight="false" outlineLevel="0" collapsed="false">
      <c r="A37" s="26" t="n">
        <v>21</v>
      </c>
      <c r="B37" s="27"/>
      <c r="C37" s="28"/>
      <c r="D37" s="17" t="str">
        <f aca="false">IF(OR($A37="",$A37&gt;$B$8,$C37=""),"",$C37/100*$B$7)</f>
        <v/>
      </c>
      <c r="E37" s="29"/>
      <c r="F37" s="28"/>
      <c r="G37" s="17" t="str">
        <f aca="false">IF(OR($A37="",$A37&gt;$B$8,$F37=""),"",$F37/100*$B$7)</f>
        <v/>
      </c>
      <c r="H37" s="17" t="str">
        <f aca="false">IF(OR($G37="",$E37=""),"",$G37-$E37)</f>
        <v/>
      </c>
      <c r="I37" s="17" t="str">
        <f aca="false">IF(OR($G37="",$D37=""),"",$G37-$D37)</f>
        <v/>
      </c>
      <c r="J37" s="14" t="str">
        <f aca="false">IF(OR($E37="",$E37=0,$G37=""),"",$G37/$E37)</f>
        <v/>
      </c>
      <c r="K37" s="14" t="str">
        <f aca="false">IF(OR($D37="",$D37=0,$G37=""),"",$G37/$D37)</f>
        <v/>
      </c>
      <c r="L37" s="30"/>
      <c r="N37" s="21" t="str">
        <f aca="false">IF(29&lt;=$B$8,29,"")</f>
        <v/>
      </c>
      <c r="O37" s="21" t="str">
        <f aca="false">IF(N37="","",N37/$B$8)</f>
        <v/>
      </c>
      <c r="P37" s="22" t="str">
        <f aca="false">IF(N37="","",(1-(1-O37^$B$11)^$B$12)*100)</f>
        <v/>
      </c>
      <c r="S37" s="24" t="str">
        <f aca="false">IF($A37=$B$10,MAX($D$17:$G$66)*1.05,"")</f>
        <v/>
      </c>
    </row>
    <row r="38" customFormat="false" ht="15" hidden="false" customHeight="false" outlineLevel="0" collapsed="false">
      <c r="A38" s="26" t="n">
        <v>22</v>
      </c>
      <c r="B38" s="27"/>
      <c r="C38" s="28"/>
      <c r="D38" s="17" t="str">
        <f aca="false">IF(OR($A38="",$A38&gt;$B$8,$C38=""),"",$C38/100*$B$7)</f>
        <v/>
      </c>
      <c r="E38" s="29"/>
      <c r="F38" s="28"/>
      <c r="G38" s="17" t="str">
        <f aca="false">IF(OR($A38="",$A38&gt;$B$8,$F38=""),"",$F38/100*$B$7)</f>
        <v/>
      </c>
      <c r="H38" s="17" t="str">
        <f aca="false">IF(OR($G38="",$E38=""),"",$G38-$E38)</f>
        <v/>
      </c>
      <c r="I38" s="17" t="str">
        <f aca="false">IF(OR($G38="",$D38=""),"",$G38-$D38)</f>
        <v/>
      </c>
      <c r="J38" s="14" t="str">
        <f aca="false">IF(OR($E38="",$E38=0,$G38=""),"",$G38/$E38)</f>
        <v/>
      </c>
      <c r="K38" s="14" t="str">
        <f aca="false">IF(OR($D38="",$D38=0,$G38=""),"",$G38/$D38)</f>
        <v/>
      </c>
      <c r="L38" s="30"/>
      <c r="N38" s="21" t="str">
        <f aca="false">IF(30&lt;=$B$8,30,"")</f>
        <v/>
      </c>
      <c r="O38" s="21" t="str">
        <f aca="false">IF(N38="","",N38/$B$8)</f>
        <v/>
      </c>
      <c r="P38" s="22" t="str">
        <f aca="false">IF(N38="","",(1-(1-O38^$B$11)^$B$12)*100)</f>
        <v/>
      </c>
      <c r="S38" s="24" t="str">
        <f aca="false">IF($A38=$B$10,MAX($D$17:$G$66)*1.05,"")</f>
        <v/>
      </c>
    </row>
    <row r="39" customFormat="false" ht="15" hidden="false" customHeight="false" outlineLevel="0" collapsed="false">
      <c r="A39" s="26" t="n">
        <v>23</v>
      </c>
      <c r="B39" s="27"/>
      <c r="C39" s="28"/>
      <c r="D39" s="17" t="str">
        <f aca="false">IF(OR($A39="",$A39&gt;$B$8,$C39=""),"",$C39/100*$B$7)</f>
        <v/>
      </c>
      <c r="E39" s="29"/>
      <c r="F39" s="28"/>
      <c r="G39" s="17" t="str">
        <f aca="false">IF(OR($A39="",$A39&gt;$B$8,$F39=""),"",$F39/100*$B$7)</f>
        <v/>
      </c>
      <c r="H39" s="17" t="str">
        <f aca="false">IF(OR($G39="",$E39=""),"",$G39-$E39)</f>
        <v/>
      </c>
      <c r="I39" s="17" t="str">
        <f aca="false">IF(OR($G39="",$D39=""),"",$G39-$D39)</f>
        <v/>
      </c>
      <c r="J39" s="14" t="str">
        <f aca="false">IF(OR($E39="",$E39=0,$G39=""),"",$G39/$E39)</f>
        <v/>
      </c>
      <c r="K39" s="14" t="str">
        <f aca="false">IF(OR($D39="",$D39=0,$G39=""),"",$G39/$D39)</f>
        <v/>
      </c>
      <c r="L39" s="30"/>
      <c r="N39" s="21" t="str">
        <f aca="false">IF(31&lt;=$B$8,31,"")</f>
        <v/>
      </c>
      <c r="O39" s="21" t="str">
        <f aca="false">IF(N39="","",N39/$B$8)</f>
        <v/>
      </c>
      <c r="P39" s="22" t="str">
        <f aca="false">IF(N39="","",(1-(1-O39^$B$11)^$B$12)*100)</f>
        <v/>
      </c>
      <c r="S39" s="24" t="str">
        <f aca="false">IF($A39=$B$10,MAX($D$17:$G$66)*1.05,"")</f>
        <v/>
      </c>
    </row>
    <row r="40" customFormat="false" ht="15" hidden="false" customHeight="false" outlineLevel="0" collapsed="false">
      <c r="A40" s="26" t="n">
        <v>24</v>
      </c>
      <c r="B40" s="27"/>
      <c r="C40" s="28"/>
      <c r="D40" s="17" t="str">
        <f aca="false">IF(OR($A40="",$A40&gt;$B$8,$C40=""),"",$C40/100*$B$7)</f>
        <v/>
      </c>
      <c r="E40" s="29"/>
      <c r="F40" s="28"/>
      <c r="G40" s="17" t="str">
        <f aca="false">IF(OR($A40="",$A40&gt;$B$8,$F40=""),"",$F40/100*$B$7)</f>
        <v/>
      </c>
      <c r="H40" s="17" t="str">
        <f aca="false">IF(OR($G40="",$E40=""),"",$G40-$E40)</f>
        <v/>
      </c>
      <c r="I40" s="17" t="str">
        <f aca="false">IF(OR($G40="",$D40=""),"",$G40-$D40)</f>
        <v/>
      </c>
      <c r="J40" s="14" t="str">
        <f aca="false">IF(OR($E40="",$E40=0,$G40=""),"",$G40/$E40)</f>
        <v/>
      </c>
      <c r="K40" s="14" t="str">
        <f aca="false">IF(OR($D40="",$D40=0,$G40=""),"",$G40/$D40)</f>
        <v/>
      </c>
      <c r="L40" s="30"/>
      <c r="N40" s="21" t="str">
        <f aca="false">IF(32&lt;=$B$8,32,"")</f>
        <v/>
      </c>
      <c r="O40" s="21" t="str">
        <f aca="false">IF(N40="","",N40/$B$8)</f>
        <v/>
      </c>
      <c r="P40" s="22" t="str">
        <f aca="false">IF(N40="","",(1-(1-O40^$B$11)^$B$12)*100)</f>
        <v/>
      </c>
      <c r="S40" s="24" t="str">
        <f aca="false">IF($A40=$B$10,MAX($D$17:$G$66)*1.05,"")</f>
        <v/>
      </c>
    </row>
    <row r="41" customFormat="false" ht="15" hidden="false" customHeight="false" outlineLevel="0" collapsed="false">
      <c r="A41" s="26" t="n">
        <v>25</v>
      </c>
      <c r="B41" s="27"/>
      <c r="C41" s="28"/>
      <c r="D41" s="17" t="str">
        <f aca="false">IF(OR($A41="",$A41&gt;$B$8,$C41=""),"",$C41/100*$B$7)</f>
        <v/>
      </c>
      <c r="E41" s="29"/>
      <c r="F41" s="28"/>
      <c r="G41" s="17" t="str">
        <f aca="false">IF(OR($A41="",$A41&gt;$B$8,$F41=""),"",$F41/100*$B$7)</f>
        <v/>
      </c>
      <c r="H41" s="17" t="str">
        <f aca="false">IF(OR($G41="",$E41=""),"",$G41-$E41)</f>
        <v/>
      </c>
      <c r="I41" s="17" t="str">
        <f aca="false">IF(OR($G41="",$D41=""),"",$G41-$D41)</f>
        <v/>
      </c>
      <c r="J41" s="14" t="str">
        <f aca="false">IF(OR($E41="",$E41=0,$G41=""),"",$G41/$E41)</f>
        <v/>
      </c>
      <c r="K41" s="14" t="str">
        <f aca="false">IF(OR($D41="",$D41=0,$G41=""),"",$G41/$D41)</f>
        <v/>
      </c>
      <c r="L41" s="30"/>
      <c r="N41" s="21" t="str">
        <f aca="false">IF(33&lt;=$B$8,33,"")</f>
        <v/>
      </c>
      <c r="O41" s="21" t="str">
        <f aca="false">IF(N41="","",N41/$B$8)</f>
        <v/>
      </c>
      <c r="P41" s="22" t="str">
        <f aca="false">IF(N41="","",(1-(1-O41^$B$11)^$B$12)*100)</f>
        <v/>
      </c>
      <c r="S41" s="24" t="str">
        <f aca="false">IF($A41=$B$10,MAX($D$17:$G$66)*1.05,"")</f>
        <v/>
      </c>
    </row>
    <row r="42" customFormat="false" ht="15" hidden="false" customHeight="false" outlineLevel="0" collapsed="false">
      <c r="A42" s="26" t="n">
        <v>26</v>
      </c>
      <c r="B42" s="27"/>
      <c r="C42" s="28"/>
      <c r="D42" s="17" t="str">
        <f aca="false">IF(OR($A42="",$A42&gt;$B$8,$C42=""),"",$C42/100*$B$7)</f>
        <v/>
      </c>
      <c r="E42" s="29"/>
      <c r="F42" s="28"/>
      <c r="G42" s="17" t="str">
        <f aca="false">IF(OR($A42="",$A42&gt;$B$8,$F42=""),"",$F42/100*$B$7)</f>
        <v/>
      </c>
      <c r="H42" s="17" t="str">
        <f aca="false">IF(OR($G42="",$E42=""),"",$G42-$E42)</f>
        <v/>
      </c>
      <c r="I42" s="17" t="str">
        <f aca="false">IF(OR($G42="",$D42=""),"",$G42-$D42)</f>
        <v/>
      </c>
      <c r="J42" s="14" t="str">
        <f aca="false">IF(OR($E42="",$E42=0,$G42=""),"",$G42/$E42)</f>
        <v/>
      </c>
      <c r="K42" s="14" t="str">
        <f aca="false">IF(OR($D42="",$D42=0,$G42=""),"",$G42/$D42)</f>
        <v/>
      </c>
      <c r="L42" s="30"/>
      <c r="N42" s="21" t="str">
        <f aca="false">IF(34&lt;=$B$8,34,"")</f>
        <v/>
      </c>
      <c r="O42" s="21" t="str">
        <f aca="false">IF(N42="","",N42/$B$8)</f>
        <v/>
      </c>
      <c r="P42" s="22" t="str">
        <f aca="false">IF(N42="","",(1-(1-O42^$B$11)^$B$12)*100)</f>
        <v/>
      </c>
      <c r="S42" s="24" t="str">
        <f aca="false">IF($A42=$B$10,MAX($D$17:$G$66)*1.05,"")</f>
        <v/>
      </c>
    </row>
    <row r="43" customFormat="false" ht="15" hidden="false" customHeight="true" outlineLevel="0" collapsed="false">
      <c r="A43" s="26" t="n">
        <v>27</v>
      </c>
      <c r="B43" s="27"/>
      <c r="C43" s="28"/>
      <c r="D43" s="17" t="str">
        <f aca="false">IF(OR($A43="",$A43&gt;$B$8,$C43=""),"",$C43/100*$B$7)</f>
        <v/>
      </c>
      <c r="E43" s="29"/>
      <c r="F43" s="28"/>
      <c r="G43" s="17" t="str">
        <f aca="false">IF(OR($A43="",$A43&gt;$B$8,$F43=""),"",$F43/100*$B$7)</f>
        <v/>
      </c>
      <c r="H43" s="17" t="str">
        <f aca="false">IF(OR($G43="",$E43=""),"",$G43-$E43)</f>
        <v/>
      </c>
      <c r="I43" s="17" t="str">
        <f aca="false">IF(OR($G43="",$D43=""),"",$G43-$D43)</f>
        <v/>
      </c>
      <c r="J43" s="14" t="str">
        <f aca="false">IF(OR($E43="",$E43=0,$G43=""),"",$G43/$E43)</f>
        <v/>
      </c>
      <c r="K43" s="14" t="str">
        <f aca="false">IF(OR($D43="",$D43=0,$G43=""),"",$G43/$D43)</f>
        <v/>
      </c>
      <c r="L43" s="30"/>
      <c r="N43" s="31" t="s">
        <v>62</v>
      </c>
      <c r="O43" s="31"/>
      <c r="P43" s="31"/>
      <c r="Q43" s="31"/>
      <c r="R43" s="31"/>
      <c r="S43" s="31"/>
      <c r="T43" s="31"/>
    </row>
    <row r="44" customFormat="false" ht="15" hidden="false" customHeight="false" outlineLevel="0" collapsed="false">
      <c r="A44" s="26" t="n">
        <v>28</v>
      </c>
      <c r="B44" s="27"/>
      <c r="C44" s="28"/>
      <c r="D44" s="17" t="str">
        <f aca="false">IF(OR($A44="",$A44&gt;$B$8,$C44=""),"",$C44/100*$B$7)</f>
        <v/>
      </c>
      <c r="E44" s="29"/>
      <c r="F44" s="28"/>
      <c r="G44" s="17" t="str">
        <f aca="false">IF(OR($A44="",$A44&gt;$B$8,$F44=""),"",$F44/100*$B$7)</f>
        <v/>
      </c>
      <c r="H44" s="17" t="str">
        <f aca="false">IF(OR($G44="",$E44=""),"",$G44-$E44)</f>
        <v/>
      </c>
      <c r="I44" s="17" t="str">
        <f aca="false">IF(OR($G44="",$D44=""),"",$G44-$D44)</f>
        <v/>
      </c>
      <c r="J44" s="14" t="str">
        <f aca="false">IF(OR($E44="",$E44=0,$G44=""),"",$G44/$E44)</f>
        <v/>
      </c>
      <c r="K44" s="14" t="str">
        <f aca="false">IF(OR($D44="",$D44=0,$G44=""),"",$G44/$D44)</f>
        <v/>
      </c>
      <c r="L44" s="30"/>
      <c r="N44" s="31"/>
      <c r="O44" s="31"/>
      <c r="P44" s="31"/>
      <c r="Q44" s="31"/>
      <c r="R44" s="31"/>
      <c r="S44" s="31"/>
      <c r="T44" s="31"/>
    </row>
    <row r="45" customFormat="false" ht="15" hidden="false" customHeight="false" outlineLevel="0" collapsed="false">
      <c r="A45" s="26" t="n">
        <v>29</v>
      </c>
      <c r="B45" s="27"/>
      <c r="C45" s="28"/>
      <c r="D45" s="17" t="str">
        <f aca="false">IF(OR($A45="",$A45&gt;$B$8,$C45=""),"",$C45/100*$B$7)</f>
        <v/>
      </c>
      <c r="E45" s="29"/>
      <c r="F45" s="28"/>
      <c r="G45" s="17" t="str">
        <f aca="false">IF(OR($A45="",$A45&gt;$B$8,$F45=""),"",$F45/100*$B$7)</f>
        <v/>
      </c>
      <c r="H45" s="17" t="str">
        <f aca="false">IF(OR($G45="",$E45=""),"",$G45-$E45)</f>
        <v/>
      </c>
      <c r="I45" s="17" t="str">
        <f aca="false">IF(OR($G45="",$D45=""),"",$G45-$D45)</f>
        <v/>
      </c>
      <c r="J45" s="14" t="str">
        <f aca="false">IF(OR($E45="",$E45=0,$G45=""),"",$G45/$E45)</f>
        <v/>
      </c>
      <c r="K45" s="14" t="str">
        <f aca="false">IF(OR($D45="",$D45=0,$G45=""),"",$G45/$D45)</f>
        <v/>
      </c>
      <c r="L45" s="30"/>
      <c r="N45" s="21" t="str">
        <f aca="false">IF(37&lt;=$B$8,37,"")</f>
        <v/>
      </c>
      <c r="O45" s="21" t="str">
        <f aca="false">IF(N45="","",N45/$B$8)</f>
        <v/>
      </c>
      <c r="P45" s="22" t="str">
        <f aca="false">IF(N45="","",(1-(1-O45^$B$11)^$B$12)*100)</f>
        <v/>
      </c>
      <c r="S45" s="24" t="str">
        <f aca="false">IF($A45=$B$10,MAX($D$17:$G$66)*1.05,"")</f>
        <v/>
      </c>
    </row>
    <row r="46" customFormat="false" ht="15" hidden="false" customHeight="false" outlineLevel="0" collapsed="false">
      <c r="A46" s="26" t="n">
        <v>30</v>
      </c>
      <c r="B46" s="27"/>
      <c r="C46" s="28"/>
      <c r="D46" s="17" t="str">
        <f aca="false">IF(OR($A46="",$A46&gt;$B$8,$C46=""),"",$C46/100*$B$7)</f>
        <v/>
      </c>
      <c r="E46" s="29"/>
      <c r="F46" s="28"/>
      <c r="G46" s="17" t="str">
        <f aca="false">IF(OR($A46="",$A46&gt;$B$8,$F46=""),"",$F46/100*$B$7)</f>
        <v/>
      </c>
      <c r="H46" s="17" t="str">
        <f aca="false">IF(OR($G46="",$E46=""),"",$G46-$E46)</f>
        <v/>
      </c>
      <c r="I46" s="17" t="str">
        <f aca="false">IF(OR($G46="",$D46=""),"",$G46-$D46)</f>
        <v/>
      </c>
      <c r="J46" s="14" t="str">
        <f aca="false">IF(OR($E46="",$E46=0,$G46=""),"",$G46/$E46)</f>
        <v/>
      </c>
      <c r="K46" s="14" t="str">
        <f aca="false">IF(OR($D46="",$D46=0,$G46=""),"",$G46/$D46)</f>
        <v/>
      </c>
      <c r="L46" s="30"/>
      <c r="N46" s="21" t="str">
        <f aca="false">IF(38&lt;=$B$8,38,"")</f>
        <v/>
      </c>
      <c r="O46" s="21" t="str">
        <f aca="false">IF(N46="","",N46/$B$8)</f>
        <v/>
      </c>
      <c r="P46" s="22" t="str">
        <f aca="false">IF(N46="","",(1-(1-O46^$B$11)^$B$12)*100)</f>
        <v/>
      </c>
      <c r="S46" s="24" t="str">
        <f aca="false">IF($A46=$B$10,MAX($D$17:$G$66)*1.05,"")</f>
        <v/>
      </c>
    </row>
    <row r="47" customFormat="false" ht="15" hidden="false" customHeight="false" outlineLevel="0" collapsed="false">
      <c r="A47" s="26" t="n">
        <v>31</v>
      </c>
      <c r="B47" s="27"/>
      <c r="C47" s="28"/>
      <c r="D47" s="17" t="str">
        <f aca="false">IF(OR($A47="",$A47&gt;$B$8,$C47=""),"",$C47/100*$B$7)</f>
        <v/>
      </c>
      <c r="E47" s="29"/>
      <c r="F47" s="28"/>
      <c r="G47" s="17" t="str">
        <f aca="false">IF(OR($A47="",$A47&gt;$B$8,$F47=""),"",$F47/100*$B$7)</f>
        <v/>
      </c>
      <c r="H47" s="17" t="str">
        <f aca="false">IF(OR($G47="",$E47=""),"",$G47-$E47)</f>
        <v/>
      </c>
      <c r="I47" s="17" t="str">
        <f aca="false">IF(OR($G47="",$D47=""),"",$G47-$D47)</f>
        <v/>
      </c>
      <c r="J47" s="14" t="str">
        <f aca="false">IF(OR($E47="",$E47=0,$G47=""),"",$G47/$E47)</f>
        <v/>
      </c>
      <c r="K47" s="14" t="str">
        <f aca="false">IF(OR($D47="",$D47=0,$G47=""),"",$G47/$D47)</f>
        <v/>
      </c>
      <c r="L47" s="30"/>
      <c r="N47" s="21" t="str">
        <f aca="false">IF(39&lt;=$B$8,39,"")</f>
        <v/>
      </c>
      <c r="O47" s="21" t="str">
        <f aca="false">IF(N47="","",N47/$B$8)</f>
        <v/>
      </c>
      <c r="P47" s="22" t="str">
        <f aca="false">IF(N47="","",(1-(1-O47^$B$11)^$B$12)*100)</f>
        <v/>
      </c>
      <c r="S47" s="24" t="str">
        <f aca="false">IF($A47=$B$10,MAX($D$17:$G$66)*1.05,"")</f>
        <v/>
      </c>
    </row>
    <row r="48" customFormat="false" ht="15" hidden="false" customHeight="false" outlineLevel="0" collapsed="false">
      <c r="A48" s="26" t="n">
        <v>32</v>
      </c>
      <c r="B48" s="27"/>
      <c r="C48" s="28"/>
      <c r="D48" s="17" t="str">
        <f aca="false">IF(OR($A48="",$A48&gt;$B$8,$C48=""),"",$C48/100*$B$7)</f>
        <v/>
      </c>
      <c r="E48" s="29"/>
      <c r="F48" s="28"/>
      <c r="G48" s="17" t="str">
        <f aca="false">IF(OR($A48="",$A48&gt;$B$8,$F48=""),"",$F48/100*$B$7)</f>
        <v/>
      </c>
      <c r="H48" s="17" t="str">
        <f aca="false">IF(OR($G48="",$E48=""),"",$G48-$E48)</f>
        <v/>
      </c>
      <c r="I48" s="17" t="str">
        <f aca="false">IF(OR($G48="",$D48=""),"",$G48-$D48)</f>
        <v/>
      </c>
      <c r="J48" s="14" t="str">
        <f aca="false">IF(OR($E48="",$E48=0,$G48=""),"",$G48/$E48)</f>
        <v/>
      </c>
      <c r="K48" s="14" t="str">
        <f aca="false">IF(OR($D48="",$D48=0,$G48=""),"",$G48/$D48)</f>
        <v/>
      </c>
      <c r="L48" s="30"/>
      <c r="N48" s="21" t="str">
        <f aca="false">IF(40&lt;=$B$8,40,"")</f>
        <v/>
      </c>
      <c r="O48" s="21" t="str">
        <f aca="false">IF(N48="","",N48/$B$8)</f>
        <v/>
      </c>
      <c r="P48" s="22" t="str">
        <f aca="false">IF(N48="","",(1-(1-O48^$B$11)^$B$12)*100)</f>
        <v/>
      </c>
      <c r="S48" s="24" t="str">
        <f aca="false">IF($A48=$B$10,MAX($D$17:$G$66)*1.05,"")</f>
        <v/>
      </c>
    </row>
    <row r="49" customFormat="false" ht="15" hidden="false" customHeight="false" outlineLevel="0" collapsed="false">
      <c r="A49" s="26" t="n">
        <v>33</v>
      </c>
      <c r="B49" s="27"/>
      <c r="C49" s="28"/>
      <c r="D49" s="17" t="str">
        <f aca="false">IF(OR($A49="",$A49&gt;$B$8,$C49=""),"",$C49/100*$B$7)</f>
        <v/>
      </c>
      <c r="E49" s="29"/>
      <c r="F49" s="28"/>
      <c r="G49" s="17" t="str">
        <f aca="false">IF(OR($A49="",$A49&gt;$B$8,$F49=""),"",$F49/100*$B$7)</f>
        <v/>
      </c>
      <c r="H49" s="17" t="str">
        <f aca="false">IF(OR($G49="",$E49=""),"",$G49-$E49)</f>
        <v/>
      </c>
      <c r="I49" s="17" t="str">
        <f aca="false">IF(OR($G49="",$D49=""),"",$G49-$D49)</f>
        <v/>
      </c>
      <c r="J49" s="14" t="str">
        <f aca="false">IF(OR($E49="",$E49=0,$G49=""),"",$G49/$E49)</f>
        <v/>
      </c>
      <c r="K49" s="14" t="str">
        <f aca="false">IF(OR($D49="",$D49=0,$G49=""),"",$G49/$D49)</f>
        <v/>
      </c>
      <c r="L49" s="30"/>
      <c r="N49" s="21" t="str">
        <f aca="false">IF(41&lt;=$B$8,41,"")</f>
        <v/>
      </c>
      <c r="O49" s="21" t="str">
        <f aca="false">IF(N49="","",N49/$B$8)</f>
        <v/>
      </c>
      <c r="P49" s="22" t="str">
        <f aca="false">IF(N49="","",(1-(1-O49^$B$11)^$B$12)*100)</f>
        <v/>
      </c>
      <c r="S49" s="24" t="str">
        <f aca="false">IF($A49=$B$10,MAX($D$17:$G$66)*1.05,"")</f>
        <v/>
      </c>
    </row>
    <row r="50" customFormat="false" ht="15" hidden="false" customHeight="false" outlineLevel="0" collapsed="false">
      <c r="A50" s="26" t="n">
        <v>34</v>
      </c>
      <c r="B50" s="27"/>
      <c r="C50" s="28"/>
      <c r="D50" s="17" t="str">
        <f aca="false">IF(OR($A50="",$A50&gt;$B$8,$C50=""),"",$C50/100*$B$7)</f>
        <v/>
      </c>
      <c r="E50" s="29"/>
      <c r="F50" s="28"/>
      <c r="G50" s="17" t="str">
        <f aca="false">IF(OR($A50="",$A50&gt;$B$8,$F50=""),"",$F50/100*$B$7)</f>
        <v/>
      </c>
      <c r="H50" s="17" t="str">
        <f aca="false">IF(OR($G50="",$E50=""),"",$G50-$E50)</f>
        <v/>
      </c>
      <c r="I50" s="17" t="str">
        <f aca="false">IF(OR($G50="",$D50=""),"",$G50-$D50)</f>
        <v/>
      </c>
      <c r="J50" s="14" t="str">
        <f aca="false">IF(OR($E50="",$E50=0,$G50=""),"",$G50/$E50)</f>
        <v/>
      </c>
      <c r="K50" s="14" t="str">
        <f aca="false">IF(OR($D50="",$D50=0,$G50=""),"",$G50/$D50)</f>
        <v/>
      </c>
      <c r="L50" s="30"/>
      <c r="N50" s="21" t="str">
        <f aca="false">IF(42&lt;=$B$8,42,"")</f>
        <v/>
      </c>
      <c r="O50" s="21" t="str">
        <f aca="false">IF(N50="","",N50/$B$8)</f>
        <v/>
      </c>
      <c r="P50" s="22" t="str">
        <f aca="false">IF(N50="","",(1-(1-O50^$B$11)^$B$12)*100)</f>
        <v/>
      </c>
      <c r="S50" s="24" t="str">
        <f aca="false">IF($A50=$B$10,MAX($D$17:$G$66)*1.05,"")</f>
        <v/>
      </c>
    </row>
    <row r="51" customFormat="false" ht="15" hidden="false" customHeight="false" outlineLevel="0" collapsed="false">
      <c r="A51" s="26" t="n">
        <v>35</v>
      </c>
      <c r="B51" s="27"/>
      <c r="C51" s="28"/>
      <c r="D51" s="17" t="str">
        <f aca="false">IF(OR($A51="",$A51&gt;$B$8,$C51=""),"",$C51/100*$B$7)</f>
        <v/>
      </c>
      <c r="E51" s="29"/>
      <c r="F51" s="28"/>
      <c r="G51" s="17" t="str">
        <f aca="false">IF(OR($A51="",$A51&gt;$B$8,$F51=""),"",$F51/100*$B$7)</f>
        <v/>
      </c>
      <c r="H51" s="17" t="str">
        <f aca="false">IF(OR($G51="",$E51=""),"",$G51-$E51)</f>
        <v/>
      </c>
      <c r="I51" s="17" t="str">
        <f aca="false">IF(OR($G51="",$D51=""),"",$G51-$D51)</f>
        <v/>
      </c>
      <c r="J51" s="14" t="str">
        <f aca="false">IF(OR($E51="",$E51=0,$G51=""),"",$G51/$E51)</f>
        <v/>
      </c>
      <c r="K51" s="14" t="str">
        <f aca="false">IF(OR($D51="",$D51=0,$G51=""),"",$G51/$D51)</f>
        <v/>
      </c>
      <c r="L51" s="30"/>
      <c r="N51" s="21" t="str">
        <f aca="false">IF(43&lt;=$B$8,43,"")</f>
        <v/>
      </c>
      <c r="O51" s="21" t="str">
        <f aca="false">IF(N51="","",N51/$B$8)</f>
        <v/>
      </c>
      <c r="P51" s="22" t="str">
        <f aca="false">IF(N51="","",(1-(1-O51^$B$11)^$B$12)*100)</f>
        <v/>
      </c>
      <c r="S51" s="24" t="str">
        <f aca="false">IF($A51=$B$10,MAX($D$17:$G$66)*1.05,"")</f>
        <v/>
      </c>
    </row>
    <row r="52" customFormat="false" ht="15" hidden="false" customHeight="false" outlineLevel="0" collapsed="false">
      <c r="A52" s="26" t="n">
        <v>36</v>
      </c>
      <c r="B52" s="27"/>
      <c r="C52" s="28"/>
      <c r="D52" s="17" t="str">
        <f aca="false">IF(OR($A52="",$A52&gt;$B$8,$C52=""),"",$C52/100*$B$7)</f>
        <v/>
      </c>
      <c r="E52" s="29"/>
      <c r="F52" s="28"/>
      <c r="G52" s="17" t="str">
        <f aca="false">IF(OR($A52="",$A52&gt;$B$8,$F52=""),"",$F52/100*$B$7)</f>
        <v/>
      </c>
      <c r="H52" s="17" t="str">
        <f aca="false">IF(OR($G52="",$E52=""),"",$G52-$E52)</f>
        <v/>
      </c>
      <c r="I52" s="17" t="str">
        <f aca="false">IF(OR($G52="",$D52=""),"",$G52-$D52)</f>
        <v/>
      </c>
      <c r="J52" s="14" t="str">
        <f aca="false">IF(OR($E52="",$E52=0,$G52=""),"",$G52/$E52)</f>
        <v/>
      </c>
      <c r="K52" s="14" t="str">
        <f aca="false">IF(OR($D52="",$D52=0,$G52=""),"",$G52/$D52)</f>
        <v/>
      </c>
      <c r="L52" s="30"/>
      <c r="N52" s="21" t="str">
        <f aca="false">IF(44&lt;=$B$8,44,"")</f>
        <v/>
      </c>
      <c r="O52" s="21" t="str">
        <f aca="false">IF(N52="","",N52/$B$8)</f>
        <v/>
      </c>
      <c r="P52" s="22" t="str">
        <f aca="false">IF(N52="","",(1-(1-O52^$B$11)^$B$12)*100)</f>
        <v/>
      </c>
      <c r="S52" s="24" t="str">
        <f aca="false">IF($A52=$B$10,MAX($D$17:$G$66)*1.05,"")</f>
        <v/>
      </c>
    </row>
    <row r="53" customFormat="false" ht="15" hidden="false" customHeight="false" outlineLevel="0" collapsed="false">
      <c r="A53" s="26" t="n">
        <v>37</v>
      </c>
      <c r="B53" s="27"/>
      <c r="C53" s="28"/>
      <c r="D53" s="17" t="str">
        <f aca="false">IF(OR($A53="",$A53&gt;$B$8,$C53=""),"",$C53/100*$B$7)</f>
        <v/>
      </c>
      <c r="E53" s="29"/>
      <c r="F53" s="28"/>
      <c r="G53" s="17" t="str">
        <f aca="false">IF(OR($A53="",$A53&gt;$B$8,$F53=""),"",$F53/100*$B$7)</f>
        <v/>
      </c>
      <c r="H53" s="17" t="str">
        <f aca="false">IF(OR($G53="",$E53=""),"",$G53-$E53)</f>
        <v/>
      </c>
      <c r="I53" s="17" t="str">
        <f aca="false">IF(OR($G53="",$D53=""),"",$G53-$D53)</f>
        <v/>
      </c>
      <c r="J53" s="14" t="str">
        <f aca="false">IF(OR($E53="",$E53=0,$G53=""),"",$G53/$E53)</f>
        <v/>
      </c>
      <c r="K53" s="14" t="str">
        <f aca="false">IF(OR($D53="",$D53=0,$G53=""),"",$G53/$D53)</f>
        <v/>
      </c>
      <c r="L53" s="30"/>
      <c r="N53" s="21" t="str">
        <f aca="false">IF(45&lt;=$B$8,45,"")</f>
        <v/>
      </c>
      <c r="O53" s="21" t="str">
        <f aca="false">IF(N53="","",N53/$B$8)</f>
        <v/>
      </c>
      <c r="P53" s="22" t="str">
        <f aca="false">IF(N53="","",(1-(1-O53^$B$11)^$B$12)*100)</f>
        <v/>
      </c>
      <c r="S53" s="24" t="str">
        <f aca="false">IF($A53=$B$10,MAX($D$17:$G$66)*1.05,"")</f>
        <v/>
      </c>
    </row>
    <row r="54" customFormat="false" ht="15" hidden="false" customHeight="false" outlineLevel="0" collapsed="false">
      <c r="A54" s="26" t="n">
        <v>38</v>
      </c>
      <c r="B54" s="27"/>
      <c r="C54" s="28"/>
      <c r="D54" s="17" t="str">
        <f aca="false">IF(OR($A54="",$A54&gt;$B$8,$C54=""),"",$C54/100*$B$7)</f>
        <v/>
      </c>
      <c r="E54" s="29"/>
      <c r="F54" s="28"/>
      <c r="G54" s="17" t="str">
        <f aca="false">IF(OR($A54="",$A54&gt;$B$8,$F54=""),"",$F54/100*$B$7)</f>
        <v/>
      </c>
      <c r="H54" s="17" t="str">
        <f aca="false">IF(OR($G54="",$E54=""),"",$G54-$E54)</f>
        <v/>
      </c>
      <c r="I54" s="17" t="str">
        <f aca="false">IF(OR($G54="",$D54=""),"",$G54-$D54)</f>
        <v/>
      </c>
      <c r="J54" s="14" t="str">
        <f aca="false">IF(OR($E54="",$E54=0,$G54=""),"",$G54/$E54)</f>
        <v/>
      </c>
      <c r="K54" s="14" t="str">
        <f aca="false">IF(OR($D54="",$D54=0,$G54=""),"",$G54/$D54)</f>
        <v/>
      </c>
      <c r="L54" s="30"/>
      <c r="N54" s="21" t="str">
        <f aca="false">IF(46&lt;=$B$8,46,"")</f>
        <v/>
      </c>
      <c r="O54" s="21" t="str">
        <f aca="false">IF(N54="","",N54/$B$8)</f>
        <v/>
      </c>
      <c r="P54" s="22" t="str">
        <f aca="false">IF(N54="","",(1-(1-O54^$B$11)^$B$12)*100)</f>
        <v/>
      </c>
      <c r="S54" s="24" t="str">
        <f aca="false">IF($A54=$B$10,MAX($D$17:$G$66)*1.05,"")</f>
        <v/>
      </c>
    </row>
    <row r="55" customFormat="false" ht="15" hidden="false" customHeight="false" outlineLevel="0" collapsed="false">
      <c r="A55" s="26" t="n">
        <v>39</v>
      </c>
      <c r="B55" s="27"/>
      <c r="C55" s="28"/>
      <c r="D55" s="17" t="str">
        <f aca="false">IF(OR($A55="",$A55&gt;$B$8,$C55=""),"",$C55/100*$B$7)</f>
        <v/>
      </c>
      <c r="E55" s="29"/>
      <c r="F55" s="28"/>
      <c r="G55" s="17" t="str">
        <f aca="false">IF(OR($A55="",$A55&gt;$B$8,$F55=""),"",$F55/100*$B$7)</f>
        <v/>
      </c>
      <c r="H55" s="17" t="str">
        <f aca="false">IF(OR($G55="",$E55=""),"",$G55-$E55)</f>
        <v/>
      </c>
      <c r="I55" s="17" t="str">
        <f aca="false">IF(OR($G55="",$D55=""),"",$G55-$D55)</f>
        <v/>
      </c>
      <c r="J55" s="14" t="str">
        <f aca="false">IF(OR($E55="",$E55=0,$G55=""),"",$G55/$E55)</f>
        <v/>
      </c>
      <c r="K55" s="14" t="str">
        <f aca="false">IF(OR($D55="",$D55=0,$G55=""),"",$G55/$D55)</f>
        <v/>
      </c>
      <c r="L55" s="30"/>
      <c r="N55" s="21" t="str">
        <f aca="false">IF(47&lt;=$B$8,47,"")</f>
        <v/>
      </c>
      <c r="O55" s="21" t="str">
        <f aca="false">IF(N55="","",N55/$B$8)</f>
        <v/>
      </c>
      <c r="P55" s="22" t="str">
        <f aca="false">IF(N55="","",(1-(1-O55^$B$11)^$B$12)*100)</f>
        <v/>
      </c>
      <c r="S55" s="24" t="str">
        <f aca="false">IF($A55=$B$10,MAX($D$17:$G$66)*1.05,"")</f>
        <v/>
      </c>
    </row>
    <row r="56" customFormat="false" ht="15" hidden="false" customHeight="false" outlineLevel="0" collapsed="false">
      <c r="A56" s="26" t="n">
        <v>40</v>
      </c>
      <c r="B56" s="27"/>
      <c r="C56" s="28"/>
      <c r="D56" s="17" t="str">
        <f aca="false">IF(OR($A56="",$A56&gt;$B$8,$C56=""),"",$C56/100*$B$7)</f>
        <v/>
      </c>
      <c r="E56" s="29"/>
      <c r="F56" s="28"/>
      <c r="G56" s="17" t="str">
        <f aca="false">IF(OR($A56="",$A56&gt;$B$8,$F56=""),"",$F56/100*$B$7)</f>
        <v/>
      </c>
      <c r="H56" s="17" t="str">
        <f aca="false">IF(OR($G56="",$E56=""),"",$G56-$E56)</f>
        <v/>
      </c>
      <c r="I56" s="17" t="str">
        <f aca="false">IF(OR($G56="",$D56=""),"",$G56-$D56)</f>
        <v/>
      </c>
      <c r="J56" s="14" t="str">
        <f aca="false">IF(OR($E56="",$E56=0,$G56=""),"",$G56/$E56)</f>
        <v/>
      </c>
      <c r="K56" s="14" t="str">
        <f aca="false">IF(OR($D56="",$D56=0,$G56=""),"",$G56/$D56)</f>
        <v/>
      </c>
      <c r="L56" s="30"/>
      <c r="N56" s="21" t="str">
        <f aca="false">IF(48&lt;=$B$8,48,"")</f>
        <v/>
      </c>
      <c r="O56" s="21" t="str">
        <f aca="false">IF(N56="","",N56/$B$8)</f>
        <v/>
      </c>
      <c r="P56" s="22" t="str">
        <f aca="false">IF(N56="","",(1-(1-O56^$B$11)^$B$12)*100)</f>
        <v/>
      </c>
      <c r="S56" s="24" t="str">
        <f aca="false">IF($A56=$B$10,MAX($D$17:$G$66)*1.05,"")</f>
        <v/>
      </c>
    </row>
    <row r="57" customFormat="false" ht="15" hidden="false" customHeight="false" outlineLevel="0" collapsed="false">
      <c r="A57" s="26" t="n">
        <v>41</v>
      </c>
      <c r="B57" s="27"/>
      <c r="C57" s="28"/>
      <c r="D57" s="17" t="str">
        <f aca="false">IF(OR($A57="",$A57&gt;$B$8,$C57=""),"",$C57/100*$B$7)</f>
        <v/>
      </c>
      <c r="E57" s="29"/>
      <c r="F57" s="28"/>
      <c r="G57" s="17" t="str">
        <f aca="false">IF(OR($A57="",$A57&gt;$B$8,$F57=""),"",$F57/100*$B$7)</f>
        <v/>
      </c>
      <c r="H57" s="17" t="str">
        <f aca="false">IF(OR($G57="",$E57=""),"",$G57-$E57)</f>
        <v/>
      </c>
      <c r="I57" s="17" t="str">
        <f aca="false">IF(OR($G57="",$D57=""),"",$G57-$D57)</f>
        <v/>
      </c>
      <c r="J57" s="14" t="str">
        <f aca="false">IF(OR($E57="",$E57=0,$G57=""),"",$G57/$E57)</f>
        <v/>
      </c>
      <c r="K57" s="14" t="str">
        <f aca="false">IF(OR($D57="",$D57=0,$G57=""),"",$G57/$D57)</f>
        <v/>
      </c>
      <c r="L57" s="30"/>
      <c r="N57" s="21" t="str">
        <f aca="false">IF(49&lt;=$B$8,49,"")</f>
        <v/>
      </c>
      <c r="O57" s="21" t="str">
        <f aca="false">IF(N57="","",N57/$B$8)</f>
        <v/>
      </c>
      <c r="P57" s="22" t="str">
        <f aca="false">IF(N57="","",(1-(1-O57^$B$11)^$B$12)*100)</f>
        <v/>
      </c>
      <c r="S57" s="24" t="str">
        <f aca="false">IF($A57=$B$10,MAX($D$17:$G$66)*1.05,"")</f>
        <v/>
      </c>
    </row>
    <row r="58" customFormat="false" ht="15" hidden="false" customHeight="false" outlineLevel="0" collapsed="false">
      <c r="A58" s="26" t="n">
        <v>42</v>
      </c>
      <c r="B58" s="27"/>
      <c r="C58" s="28"/>
      <c r="D58" s="17" t="str">
        <f aca="false">IF(OR($A58="",$A58&gt;$B$8,$C58=""),"",$C58/100*$B$7)</f>
        <v/>
      </c>
      <c r="E58" s="29"/>
      <c r="F58" s="28"/>
      <c r="G58" s="17" t="str">
        <f aca="false">IF(OR($A58="",$A58&gt;$B$8,$F58=""),"",$F58/100*$B$7)</f>
        <v/>
      </c>
      <c r="H58" s="17" t="str">
        <f aca="false">IF(OR($G58="",$E58=""),"",$G58-$E58)</f>
        <v/>
      </c>
      <c r="I58" s="17" t="str">
        <f aca="false">IF(OR($G58="",$D58=""),"",$G58-$D58)</f>
        <v/>
      </c>
      <c r="J58" s="14" t="str">
        <f aca="false">IF(OR($E58="",$E58=0,$G58=""),"",$G58/$E58)</f>
        <v/>
      </c>
      <c r="K58" s="14" t="str">
        <f aca="false">IF(OR($D58="",$D58=0,$G58=""),"",$G58/$D58)</f>
        <v/>
      </c>
      <c r="L58" s="30"/>
      <c r="N58" s="21" t="str">
        <f aca="false">IF(50&lt;=$B$8,50,"")</f>
        <v/>
      </c>
      <c r="O58" s="21" t="str">
        <f aca="false">IF(N58="","",N58/$B$8)</f>
        <v/>
      </c>
      <c r="P58" s="22" t="str">
        <f aca="false">IF(N58="","",(1-(1-O58^$B$11)^$B$12)*100)</f>
        <v/>
      </c>
      <c r="S58" s="24" t="str">
        <f aca="false">IF($A58=$B$10,MAX($D$17:$G$66)*1.05,"")</f>
        <v/>
      </c>
    </row>
    <row r="59" customFormat="false" ht="15" hidden="false" customHeight="false" outlineLevel="0" collapsed="false">
      <c r="A59" s="26" t="n">
        <v>43</v>
      </c>
      <c r="B59" s="27"/>
      <c r="C59" s="28"/>
      <c r="D59" s="17" t="str">
        <f aca="false">IF(OR($A59="",$A59&gt;$B$8,$C59=""),"",$C59/100*$B$7)</f>
        <v/>
      </c>
      <c r="E59" s="29"/>
      <c r="F59" s="28"/>
      <c r="G59" s="17" t="str">
        <f aca="false">IF(OR($A59="",$A59&gt;$B$8,$F59=""),"",$F59/100*$B$7)</f>
        <v/>
      </c>
      <c r="H59" s="17" t="str">
        <f aca="false">IF(OR($G59="",$E59=""),"",$G59-$E59)</f>
        <v/>
      </c>
      <c r="I59" s="17" t="str">
        <f aca="false">IF(OR($G59="",$D59=""),"",$G59-$D59)</f>
        <v/>
      </c>
      <c r="J59" s="14" t="str">
        <f aca="false">IF(OR($E59="",$E59=0,$G59=""),"",$G59/$E59)</f>
        <v/>
      </c>
      <c r="K59" s="14" t="str">
        <f aca="false">IF(OR($D59="",$D59=0,$G59=""),"",$G59/$D59)</f>
        <v/>
      </c>
      <c r="L59" s="30"/>
      <c r="S59" s="24" t="str">
        <f aca="false">IF($A59=$B$10,MAX($D$17:$G$66)*1.05,"")</f>
        <v/>
      </c>
    </row>
    <row r="60" customFormat="false" ht="15" hidden="false" customHeight="false" outlineLevel="0" collapsed="false">
      <c r="A60" s="26" t="n">
        <v>44</v>
      </c>
      <c r="B60" s="27"/>
      <c r="C60" s="28"/>
      <c r="D60" s="17" t="str">
        <f aca="false">IF(OR($A60="",$A60&gt;$B$8,$C60=""),"",$C60/100*$B$7)</f>
        <v/>
      </c>
      <c r="E60" s="29"/>
      <c r="F60" s="28"/>
      <c r="G60" s="17" t="str">
        <f aca="false">IF(OR($A60="",$A60&gt;$B$8,$F60=""),"",$F60/100*$B$7)</f>
        <v/>
      </c>
      <c r="H60" s="17" t="str">
        <f aca="false">IF(OR($G60="",$E60=""),"",$G60-$E60)</f>
        <v/>
      </c>
      <c r="I60" s="17" t="str">
        <f aca="false">IF(OR($G60="",$D60=""),"",$G60-$D60)</f>
        <v/>
      </c>
      <c r="J60" s="14" t="str">
        <f aca="false">IF(OR($E60="",$E60=0,$G60=""),"",$G60/$E60)</f>
        <v/>
      </c>
      <c r="K60" s="14" t="str">
        <f aca="false">IF(OR($D60="",$D60=0,$G60=""),"",$G60/$D60)</f>
        <v/>
      </c>
      <c r="L60" s="30"/>
      <c r="S60" s="24" t="str">
        <f aca="false">IF($A60=$B$10,MAX($D$17:$G$66)*1.05,"")</f>
        <v/>
      </c>
    </row>
    <row r="61" customFormat="false" ht="15" hidden="false" customHeight="false" outlineLevel="0" collapsed="false">
      <c r="A61" s="26" t="n">
        <v>45</v>
      </c>
      <c r="B61" s="27"/>
      <c r="C61" s="28"/>
      <c r="D61" s="17" t="str">
        <f aca="false">IF(OR($A61="",$A61&gt;$B$8,$C61=""),"",$C61/100*$B$7)</f>
        <v/>
      </c>
      <c r="E61" s="29"/>
      <c r="F61" s="28"/>
      <c r="G61" s="17" t="str">
        <f aca="false">IF(OR($A61="",$A61&gt;$B$8,$F61=""),"",$F61/100*$B$7)</f>
        <v/>
      </c>
      <c r="H61" s="17" t="str">
        <f aca="false">IF(OR($G61="",$E61=""),"",$G61-$E61)</f>
        <v/>
      </c>
      <c r="I61" s="17" t="str">
        <f aca="false">IF(OR($G61="",$D61=""),"",$G61-$D61)</f>
        <v/>
      </c>
      <c r="J61" s="14" t="str">
        <f aca="false">IF(OR($E61="",$E61=0,$G61=""),"",$G61/$E61)</f>
        <v/>
      </c>
      <c r="K61" s="14" t="str">
        <f aca="false">IF(OR($D61="",$D61=0,$G61=""),"",$G61/$D61)</f>
        <v/>
      </c>
      <c r="L61" s="30"/>
      <c r="S61" s="24" t="str">
        <f aca="false">IF($A61=$B$10,MAX($D$17:$G$66)*1.05,"")</f>
        <v/>
      </c>
    </row>
    <row r="62" customFormat="false" ht="15" hidden="false" customHeight="false" outlineLevel="0" collapsed="false">
      <c r="A62" s="26" t="n">
        <v>46</v>
      </c>
      <c r="B62" s="27"/>
      <c r="C62" s="28"/>
      <c r="D62" s="17" t="str">
        <f aca="false">IF(OR($A62="",$A62&gt;$B$8,$C62=""),"",$C62/100*$B$7)</f>
        <v/>
      </c>
      <c r="E62" s="29"/>
      <c r="F62" s="28"/>
      <c r="G62" s="17" t="str">
        <f aca="false">IF(OR($A62="",$A62&gt;$B$8,$F62=""),"",$F62/100*$B$7)</f>
        <v/>
      </c>
      <c r="H62" s="17" t="str">
        <f aca="false">IF(OR($G62="",$E62=""),"",$G62-$E62)</f>
        <v/>
      </c>
      <c r="I62" s="17" t="str">
        <f aca="false">IF(OR($G62="",$D62=""),"",$G62-$D62)</f>
        <v/>
      </c>
      <c r="J62" s="14" t="str">
        <f aca="false">IF(OR($E62="",$E62=0,$G62=""),"",$G62/$E62)</f>
        <v/>
      </c>
      <c r="K62" s="14" t="str">
        <f aca="false">IF(OR($D62="",$D62=0,$G62=""),"",$G62/$D62)</f>
        <v/>
      </c>
      <c r="L62" s="30"/>
      <c r="S62" s="24" t="str">
        <f aca="false">IF($A62=$B$10,MAX($D$17:$G$66)*1.05,"")</f>
        <v/>
      </c>
    </row>
    <row r="63" customFormat="false" ht="15" hidden="false" customHeight="false" outlineLevel="0" collapsed="false">
      <c r="A63" s="26" t="n">
        <v>47</v>
      </c>
      <c r="B63" s="27"/>
      <c r="C63" s="28"/>
      <c r="D63" s="17" t="str">
        <f aca="false">IF(OR($A63="",$A63&gt;$B$8,$C63=""),"",$C63/100*$B$7)</f>
        <v/>
      </c>
      <c r="E63" s="29"/>
      <c r="F63" s="28"/>
      <c r="G63" s="17" t="str">
        <f aca="false">IF(OR($A63="",$A63&gt;$B$8,$F63=""),"",$F63/100*$B$7)</f>
        <v/>
      </c>
      <c r="H63" s="17" t="str">
        <f aca="false">IF(OR($G63="",$E63=""),"",$G63-$E63)</f>
        <v/>
      </c>
      <c r="I63" s="17" t="str">
        <f aca="false">IF(OR($G63="",$D63=""),"",$G63-$D63)</f>
        <v/>
      </c>
      <c r="J63" s="14" t="str">
        <f aca="false">IF(OR($E63="",$E63=0,$G63=""),"",$G63/$E63)</f>
        <v/>
      </c>
      <c r="K63" s="14" t="str">
        <f aca="false">IF(OR($D63="",$D63=0,$G63=""),"",$G63/$D63)</f>
        <v/>
      </c>
      <c r="L63" s="30"/>
      <c r="S63" s="24" t="str">
        <f aca="false">IF($A63=$B$10,MAX($D$17:$G$66)*1.05,"")</f>
        <v/>
      </c>
    </row>
    <row r="64" customFormat="false" ht="15" hidden="false" customHeight="false" outlineLevel="0" collapsed="false">
      <c r="A64" s="26" t="n">
        <v>48</v>
      </c>
      <c r="B64" s="27"/>
      <c r="C64" s="28"/>
      <c r="D64" s="17" t="str">
        <f aca="false">IF(OR($A64="",$A64&gt;$B$8,$C64=""),"",$C64/100*$B$7)</f>
        <v/>
      </c>
      <c r="E64" s="29"/>
      <c r="F64" s="28"/>
      <c r="G64" s="17" t="str">
        <f aca="false">IF(OR($A64="",$A64&gt;$B$8,$F64=""),"",$F64/100*$B$7)</f>
        <v/>
      </c>
      <c r="H64" s="17" t="str">
        <f aca="false">IF(OR($G64="",$E64=""),"",$G64-$E64)</f>
        <v/>
      </c>
      <c r="I64" s="17" t="str">
        <f aca="false">IF(OR($G64="",$D64=""),"",$G64-$D64)</f>
        <v/>
      </c>
      <c r="J64" s="14" t="str">
        <f aca="false">IF(OR($E64="",$E64=0,$G64=""),"",$G64/$E64)</f>
        <v/>
      </c>
      <c r="K64" s="14" t="str">
        <f aca="false">IF(OR($D64="",$D64=0,$G64=""),"",$G64/$D64)</f>
        <v/>
      </c>
      <c r="L64" s="30"/>
      <c r="S64" s="24" t="str">
        <f aca="false">IF($A64=$B$10,MAX($D$17:$G$66)*1.05,"")</f>
        <v/>
      </c>
    </row>
    <row r="65" customFormat="false" ht="15" hidden="false" customHeight="false" outlineLevel="0" collapsed="false">
      <c r="A65" s="26" t="n">
        <v>49</v>
      </c>
      <c r="B65" s="27"/>
      <c r="C65" s="28"/>
      <c r="D65" s="17" t="str">
        <f aca="false">IF(OR($A65="",$A65&gt;$B$8,$C65=""),"",$C65/100*$B$7)</f>
        <v/>
      </c>
      <c r="E65" s="29"/>
      <c r="F65" s="28"/>
      <c r="G65" s="17" t="str">
        <f aca="false">IF(OR($A65="",$A65&gt;$B$8,$F65=""),"",$F65/100*$B$7)</f>
        <v/>
      </c>
      <c r="H65" s="17" t="str">
        <f aca="false">IF(OR($G65="",$E65=""),"",$G65-$E65)</f>
        <v/>
      </c>
      <c r="I65" s="17" t="str">
        <f aca="false">IF(OR($G65="",$D65=""),"",$G65-$D65)</f>
        <v/>
      </c>
      <c r="J65" s="14" t="str">
        <f aca="false">IF(OR($E65="",$E65=0,$G65=""),"",$G65/$E65)</f>
        <v/>
      </c>
      <c r="K65" s="14" t="str">
        <f aca="false">IF(OR($D65="",$D65=0,$G65=""),"",$G65/$D65)</f>
        <v/>
      </c>
      <c r="L65" s="30"/>
      <c r="S65" s="24" t="str">
        <f aca="false">IF($A65=$B$10,MAX($D$17:$G$66)*1.05,"")</f>
        <v/>
      </c>
    </row>
    <row r="66" customFormat="false" ht="15" hidden="false" customHeight="false" outlineLevel="0" collapsed="false">
      <c r="A66" s="26" t="n">
        <v>50</v>
      </c>
      <c r="B66" s="27"/>
      <c r="C66" s="28"/>
      <c r="D66" s="17" t="str">
        <f aca="false">IF(OR($A66="",$A66&gt;$B$8,$C66=""),"",$C66/100*$B$7)</f>
        <v/>
      </c>
      <c r="E66" s="29"/>
      <c r="F66" s="28"/>
      <c r="G66" s="17" t="str">
        <f aca="false">IF(OR($A66="",$A66&gt;$B$8,$F66=""),"",$F66/100*$B$7)</f>
        <v/>
      </c>
      <c r="H66" s="17" t="str">
        <f aca="false">IF(OR($G66="",$E66=""),"",$G66-$E66)</f>
        <v/>
      </c>
      <c r="I66" s="17" t="str">
        <f aca="false">IF(OR($G66="",$D66=""),"",$G66-$D66)</f>
        <v/>
      </c>
      <c r="J66" s="14" t="str">
        <f aca="false">IF(OR($E66="",$E66=0,$G66=""),"",$G66/$E66)</f>
        <v/>
      </c>
      <c r="K66" s="14" t="str">
        <f aca="false">IF(OR($D66="",$D66=0,$G66=""),"",$G66/$D66)</f>
        <v/>
      </c>
      <c r="L66" s="30"/>
      <c r="S66" s="24" t="str">
        <f aca="false">IF($A66=$B$10,MAX($D$17:$G$66)*1.05,"")</f>
        <v/>
      </c>
    </row>
  </sheetData>
  <sheetProtection sheet="true" selectUnlockedCells="true"/>
  <mergeCells count="5">
    <mergeCell ref="A1:L2"/>
    <mergeCell ref="A3:L3"/>
    <mergeCell ref="A4:L4"/>
    <mergeCell ref="N7:T7"/>
    <mergeCell ref="N43:T44"/>
  </mergeCells>
  <conditionalFormatting sqref="H17:H66">
    <cfRule type="cellIs" priority="2" operator="lessThan" aboveAverage="0" equalAverage="0" bottom="0" percent="0" rank="0" text="" dxfId="0">
      <formula>0</formula>
    </cfRule>
    <cfRule type="cellIs" priority="3" operator="greaterThanOrEqual" aboveAverage="0" equalAverage="0" bottom="0" percent="0" rank="0" text="" dxfId="1">
      <formula>0</formula>
    </cfRule>
  </conditionalFormatting>
  <conditionalFormatting sqref="I17:I66">
    <cfRule type="cellIs" priority="4" operator="lessThan" aboveAverage="0" equalAverage="0" bottom="0" percent="0" rank="0" text="" dxfId="0">
      <formula>0</formula>
    </cfRule>
    <cfRule type="cellIs" priority="5" operator="greaterThanOrEqual" aboveAverage="0" equalAverage="0" bottom="0" percent="0" rank="0" text="" dxfId="1">
      <formula>0</formula>
    </cfRule>
  </conditionalFormatting>
  <conditionalFormatting sqref="E12">
    <cfRule type="cellIs" priority="6" operator="lessThan" aboveAverage="0" equalAverage="0" bottom="0" percent="0" rank="0" text="" dxfId="0">
      <formula>0</formula>
    </cfRule>
    <cfRule type="cellIs" priority="7" operator="greaterThanOrEqual" aboveAverage="0" equalAverage="0" bottom="0" percent="0" rank="0" text="" dxfId="1">
      <formula>0</formula>
    </cfRule>
  </conditionalFormatting>
  <conditionalFormatting sqref="J17:J66">
    <cfRule type="cellIs" priority="8" operator="lessThan" aboveAverage="0" equalAverage="0" bottom="0" percent="0" rank="0" text="" dxfId="0">
      <formula>1</formula>
    </cfRule>
    <cfRule type="cellIs" priority="9" operator="greaterThanOrEqual" aboveAverage="0" equalAverage="0" bottom="0" percent="0" rank="0" text="" dxfId="1">
      <formula>1</formula>
    </cfRule>
  </conditionalFormatting>
  <conditionalFormatting sqref="K17:K66">
    <cfRule type="cellIs" priority="10" operator="lessThan" aboveAverage="0" equalAverage="0" bottom="0" percent="0" rank="0" text="" dxfId="0">
      <formula>1</formula>
    </cfRule>
    <cfRule type="cellIs" priority="11" operator="greaterThanOrEqual" aboveAverage="0" equalAverage="0" bottom="0" percent="0" rank="0" text="" dxfId="1">
      <formula>1</formula>
    </cfRule>
  </conditionalFormatting>
  <conditionalFormatting sqref="E7">
    <cfRule type="cellIs" priority="12" operator="lessThan" aboveAverage="0" equalAverage="0" bottom="0" percent="0" rank="0" text="" dxfId="0">
      <formula>1</formula>
    </cfRule>
    <cfRule type="cellIs" priority="13" operator="greaterThanOrEqual" aboveAverage="0" equalAverage="0" bottom="0" percent="0" rank="0" text="" dxfId="1">
      <formula>1</formula>
    </cfRule>
  </conditionalFormatting>
  <conditionalFormatting sqref="E13">
    <cfRule type="cellIs" priority="14" operator="lessThan" aboveAverage="0" equalAverage="0" bottom="0" percent="0" rank="0" text="" dxfId="0">
      <formula>1</formula>
    </cfRule>
    <cfRule type="cellIs" priority="15" operator="greaterThanOrEqual" aboveAverage="0" equalAverage="0" bottom="0" percent="0" rank="0" text="" dxfId="1">
      <formula>1</formula>
    </cfRule>
  </conditionalFormatting>
  <conditionalFormatting sqref="A17:L66">
    <cfRule type="expression" priority="16" aboveAverage="0" equalAverage="0" bottom="0" percent="0" rank="0" text="" dxfId="2">
      <formula>$A17=$B$10</formula>
    </cfRule>
  </conditionalFormatting>
  <dataValidations count="4">
    <dataValidation allowBlank="false" errorStyle="stop" operator="between" showDropDown="false" showErrorMessage="false" showInputMessage="false" sqref="B9" type="list">
      <formula1>"Month,Week"</formula1>
      <formula2>0</formula2>
    </dataValidation>
    <dataValidation allowBlank="false" errorStyle="stop" operator="between" showDropDown="false" showErrorMessage="false" showInputMessage="false" sqref="B8 B10" type="whole">
      <formula1>1</formula1>
      <formula2>50</formula2>
    </dataValidation>
    <dataValidation allowBlank="true" errorStyle="stop" operator="between" showDropDown="false" showErrorMessage="false" showInputMessage="false" sqref="C17:C66 F17:F66" type="decimal">
      <formula1>0</formula1>
      <formula2>100</formula2>
    </dataValidation>
    <dataValidation allowBlank="true" errorStyle="stop" operator="greaterThanOrEqual" showDropDown="false" showErrorMessage="false" showInputMessage="false" sqref="E17:E66" type="decimal">
      <formula1>0</formula1>
      <formula2>0</formula2>
    </dataValidation>
  </dataValidations>
  <hyperlinks>
    <hyperlink ref="N43" r:id="rId2" display="Free template by Gather — gatherinsights.com | Want these curves drawn automatically from your site diaries and cost data? → Book a demo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2026-06-30T07:15:18Z</dcterms:created>
  <dc:creator>openpyxl</dc:creator>
  <dc:description/>
  <dc:language>en-US</dc:language>
  <cp:lastModifiedBy/>
  <dcterms:modified xsi:type="dcterms:W3CDTF">2026-06-30T07:15:19Z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