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ef76389474d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adro" sheetId="1" r:id="Ra0f970e6ec844c21"/>
    <x:sheet xmlns:r="http://schemas.openxmlformats.org/officeDocument/2006/relationships" name="Datos" sheetId="2" r:id="R32d45dceeac947e7"/>
    <x:sheet xmlns:r="http://schemas.openxmlformats.org/officeDocument/2006/relationships" name="Asientos" sheetId="3" r:id="R6ba144b2a94243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–&quot;"/>
    <x:numFmt numFmtId="201" formatCode="0"/>
    <x:numFmt numFmtId="202" formatCode="0.00%"/>
    <x:numFmt numFmtId="203" formatCode="0.0000%"/>
    <x:numFmt numFmtId="204" formatCode="0.00;(0.00);0.00"/>
  </x:numFmts>
  <x:fonts count="7">
    <x:font>
      <x:sz val="11"/>
      <x:name val="Carlito"/>
    </x:font>
    <x:font>
      <x:sz val="11"/>
      <x:color rgb="FF202B38"/>
      <x:name val="Arial"/>
    </x:font>
    <x:font>
      <x:b/>
      <x:sz val="16"/>
      <x:color rgb="FF182B47"/>
      <x:name val="Arial"/>
    </x:font>
    <x:font>
      <x:sz val="11"/>
      <x:color rgb="FF215BB4"/>
      <x:name val="Arial"/>
    </x:font>
    <x:font>
      <x:b/>
      <x:sz val="11"/>
      <x:color rgb="FFFFFFFF"/>
      <x:name val="Arial"/>
    </x:font>
    <x:font>
      <x:b/>
      <x:sz val="11"/>
      <x:color rgb="FF202B38"/>
      <x:name val="Arial"/>
    </x:font>
    <x:font>
      <x:sz val="11"/>
      <x:color rgb="FF1670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82B47"/>
      </x:patternFill>
    </x:fill>
  </x:fills>
  <x:borders count="2">
    <x:border/>
    <x:border>
      <x:bottom style="thin">
        <x:color rgb="FF182B47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2" fontId="3" fillId="2" borderId="0" xfId="0" applyNumberFormat="1" applyFont="1" applyFill="1" applyBorder="1"/>
    <x:xf numFmtId="0" fontId="5" fillId="0" borderId="0" xfId="0" applyNumberFormat="1" applyFont="1" applyFill="1" applyBorder="1"/>
    <x:xf numFmtId="203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1" fontId="6" fillId="0" borderId="0" xfId="0" applyNumberFormat="1" applyFont="1" applyFill="1" applyBorder="1"/>
    <x:xf numFmtId="200" fontId="6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CE4D6"/>
        </x:patternFill>
      </x:fill>
    </x:dxf>
    <x:dxf>
      <x:font>
        <x:b/>
        <x:color rgb="FFB91C1C"/>
      </x:font>
      <x:fill>
        <x:patternFill patternType="solid">
          <x:bgColor rgb="FFFCE4D6"/>
        </x:patternFill>
      </x:fill>
    </x:dxf>
    <x:dxf>
      <x:font>
        <x:b/>
        <x:color rgb="FFB91C1C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bf461dea04d8d" /><Relationship Type="http://schemas.openxmlformats.org/officeDocument/2006/relationships/theme" Target="/xl/theme/theme1.xml" Id="R6f57e1232c5d4dd8" /><Relationship Type="http://schemas.openxmlformats.org/officeDocument/2006/relationships/sharedStrings" Target="/xl/sharedStrings.xml" Id="R5e512930f21e4b81" /><Relationship Type="http://schemas.openxmlformats.org/officeDocument/2006/relationships/worksheet" Target="/xl/worksheets/sheet1.xml" Id="Ra0f970e6ec844c21" /><Relationship Type="http://schemas.openxmlformats.org/officeDocument/2006/relationships/worksheet" Target="/xl/worksheets/sheet2.xml" Id="R32d45dceeac947e7" /><Relationship Type="http://schemas.openxmlformats.org/officeDocument/2006/relationships/worksheet" Target="/xl/worksheets/sheet3.xml" Id="R6ba144b2a94243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B47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2" customHeight="1">
      <x:c r="A2" s="2" t="str">
        <x:v>Premoney · Amortización y coste contable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</x:row>
    <x:row r="4" ht="22" customHeight="1">
      <x:c r="A4" s="1" t="str">
        <x:v>Simulación anual de 1 a 10 años. Edita principal, plazo, carencia y tipos en Datos.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" t="str">
        <x:v>TIE anual previsto</x:v>
      </x:c>
      <x:c r="B6" s="15" t="n">
        <x:f>IRR(P15:P25)</x:f>
        <x:v>0.037243869158826735</x:v>
      </x:c>
      <x:c r="C6" s="1"/>
      <x:c r="D6" s="1" t="str">
        <x:v>Intereses totales (€)</x:v>
      </x:c>
      <x:c r="E6" s="1"/>
      <x:c r="F6" s="16" t="n">
        <x:f>SUM(C16:D25)</x:f>
        <x:v>17500.000000000004</x:v>
      </x:c>
      <x:c r="G6" s="16"/>
      <x:c r="H6" s="16" t="str">
        <x:v>Coste total (€)</x:v>
      </x:c>
      <x:c r="I6" s="16"/>
      <x:c r="J6" s="16" t="n">
        <x:f>SUM(I16:I25)</x:f>
        <x:v>18499.999997879142</x:v>
      </x:c>
      <x:c r="K6" s="1"/>
      <x:c r="L6" s="1"/>
      <x:c r="M6" s="1"/>
      <x:c r="N6" s="1"/>
      <x:c r="O6" s="1"/>
    </x:row>
    <x:row r="7" ht="22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" t="str">
        <x:v>Principal devuelto (€)</x:v>
      </x:c>
      <x:c r="B8" s="16" t="n">
        <x:f>SUM(E16:E25)</x:f>
        <x:v>100000</x:v>
      </x:c>
      <x:c r="C8" s="16"/>
      <x:c r="D8" s="16" t="str">
        <x:v>Comisión inicial (€)</x:v>
      </x:c>
      <x:c r="E8" s="16"/>
      <x:c r="F8" s="16" t="n">
        <x:f>'Datos'!B7</x:f>
        <x:v>1000</x:v>
      </x:c>
      <x:c r="G8" s="16"/>
      <x:c r="H8" s="16"/>
      <x:c r="I8" s="16"/>
      <x:c r="J8" s="16"/>
      <x:c r="K8" s="1"/>
      <x:c r="L8" s="1"/>
      <x:c r="M8" s="1"/>
      <x:c r="N8" s="1"/>
      <x:c r="O8" s="1"/>
    </x:row>
    <x:row r="9" ht="22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1" t="str">
        <x:v>El principal se devuelve. La comisión se reconoce como gasto a lo largo del préstamo mediante el TIE.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1" t="str">
        <x:v>La carencia aplaza principal; no suspende el pago de intereses. Importes en euros.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46" customHeight="1">
      <x:c r="A14" s="12" t="str">
        <x:v>Año</x:v>
      </x:c>
      <x:c r="B14" s="12" t="str">
        <x:v>Principal inicial</x:v>
      </x:c>
      <x:c r="C14" s="12" t="str">
        <x:v>Interés tramo 1</x:v>
      </x:c>
      <x:c r="D14" s="12" t="str">
        <x:v>Interés tramo 2</x:v>
      </x:c>
      <x:c r="E14" s="12" t="str">
        <x:v>Principal pagado</x:v>
      </x:c>
      <x:c r="F14" s="12" t="str">
        <x:v>Pago total</x:v>
      </x:c>
      <x:c r="G14" s="12" t="str">
        <x:v>Principal final</x:v>
      </x:c>
      <x:c r="H14" s="12" t="str">
        <x:v>Coste inicial</x:v>
      </x:c>
      <x:c r="I14" s="12" t="str">
        <x:v>Gasto por TIE</x:v>
      </x:c>
      <x:c r="J14" s="12" t="str">
        <x:v>Ajuste de coste</x:v>
      </x:c>
      <x:c r="K14" s="12" t="str">
        <x:v>Coste final</x:v>
      </x:c>
      <x:c r="L14" s="12" t="str">
        <x:v>Costes pendientes</x:v>
      </x:c>
      <x:c r="M14" s="12" t="str">
        <x:v>Principal CP</x:v>
      </x:c>
      <x:c r="N14" s="12" t="str">
        <x:v>Costes CP</x:v>
      </x:c>
      <x:c r="O14" s="12" t="str">
        <x:v>Costes LP</x:v>
      </x:c>
      <x:c r="P14" t="str">
        <x:v>Flujos para TIE</x:v>
      </x:c>
    </x:row>
    <x:row r="15" ht="22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t="n">
        <x:f>'Datos'!B6-'Datos'!B7</x:f>
        <x:v>99000</x:v>
      </x:c>
    </x:row>
    <x:row r="16" ht="22" customHeight="1">
      <x:c r="A16" s="18" t="n">
        <x:f>IF(1&lt;='Datos'!$B$9,'Datos'!$B$8+0,"")</x:f>
        <x:v>2026</x:v>
      </x:c>
      <x:c r="B16" s="16" t="n">
        <x:f>IF(A16="",0,'Datos'!$B$6)</x:f>
        <x:v>100000</x:v>
      </x:c>
      <x:c r="C16" s="16" t="n">
        <x:f>IF(A16="",0,B16*'Datos'!B16)</x:f>
        <x:v>3500.0000000000005</x:v>
      </x:c>
      <x:c r="D16" s="16" t="n">
        <x:f>IF(A16="",0,B16*'Datos'!C16)</x:f>
        <x:v>0</x:v>
      </x:c>
      <x:c r="E16" s="16" t="n">
        <x:f>IF(A16="",0,IF(1&lt;='Datos'!$B$10,0,'Datos'!$B$6/('Datos'!$B$9-'Datos'!$B$10)))</x:f>
        <x:v>0</x:v>
      </x:c>
      <x:c r="F16" s="16" t="n">
        <x:f>SUM(C16:E16)</x:f>
        <x:v>3500.0000000000005</x:v>
      </x:c>
      <x:c r="G16" s="16" t="n">
        <x:f>B16-E16</x:f>
        <x:v>100000</x:v>
      </x:c>
      <x:c r="H16" s="16" t="n">
        <x:f>IF(A16="",0,'Datos'!$B$6-'Datos'!$B$7)</x:f>
        <x:v>99000</x:v>
      </x:c>
      <x:c r="I16" s="16" t="n">
        <x:f>IF(A16="",0,H16*$B$6)</x:f>
        <x:v>3687.143046723847</x:v>
      </x:c>
      <x:c r="J16" s="16" t="n">
        <x:f>I16-SUM(C16:D16)</x:f>
        <x:v>187.1430467238465</x:v>
      </x:c>
      <x:c r="K16" s="16" t="n">
        <x:f>IF(A16="",0,H16+I16-F16)</x:f>
        <x:v>99187.14304672385</x:v>
      </x:c>
      <x:c r="L16" s="16" t="n">
        <x:f>G16-K16</x:f>
        <x:v>812.8569532761467</x:v>
      </x:c>
      <x:c r="M16" s="16" t="n">
        <x:f>IF(AND(1&lt;'Datos'!$B$9,2&gt;'Datos'!$B$10),'Datos'!$B$6/('Datos'!$B$9-'Datos'!$B$10),0)</x:f>
        <x:v>0</x:v>
      </x:c>
      <x:c r="N16" s="16" t="n">
        <x:f>IF(G16=0,0,L16*M16/G16)</x:f>
        <x:v>0</x:v>
      </x:c>
      <x:c r="O16" s="16" t="n">
        <x:f>L16-N16</x:f>
        <x:v>812.8569532761467</x:v>
      </x:c>
      <x:c r="P16" s="17" t="n">
        <x:f>-F16</x:f>
        <x:v>-3500.0000000000005</x:v>
      </x:c>
    </x:row>
    <x:row r="17" ht="22" customHeight="1">
      <x:c r="A17" s="18" t="n">
        <x:f>IF(2&lt;='Datos'!$B$9,'Datos'!$B$8+1,"")</x:f>
        <x:v>2027</x:v>
      </x:c>
      <x:c r="B17" s="16" t="n">
        <x:f>IF(A17="",0,G16)</x:f>
        <x:v>100000</x:v>
      </x:c>
      <x:c r="C17" s="16" t="n">
        <x:f>IF(A17="",0,B17*'Datos'!B17)</x:f>
        <x:v>3500.0000000000005</x:v>
      </x:c>
      <x:c r="D17" s="16" t="n">
        <x:f>IF(A17="",0,B17*'Datos'!C17)</x:f>
        <x:v>0</x:v>
      </x:c>
      <x:c r="E17" s="16" t="n">
        <x:f>IF(A17="",0,IF(2&lt;='Datos'!$B$10,0,'Datos'!$B$6/('Datos'!$B$9-'Datos'!$B$10)))</x:f>
        <x:v>0</x:v>
      </x:c>
      <x:c r="F17" s="16" t="n">
        <x:f>SUM(C17:E17)</x:f>
        <x:v>3500.0000000000005</x:v>
      </x:c>
      <x:c r="G17" s="16" t="n">
        <x:f>B17-E17</x:f>
        <x:v>100000</x:v>
      </x:c>
      <x:c r="H17" s="16" t="n">
        <x:f>IF(A17="",0,K16)</x:f>
        <x:v>99187.14304672385</x:v>
      </x:c>
      <x:c r="I17" s="16" t="n">
        <x:f>IF(A17="",0,H17*$B$6)</x:f>
        <x:v>3694.112977870014</x:v>
      </x:c>
      <x:c r="J17" s="16" t="n">
        <x:f>I17-SUM(C17:D17)</x:f>
        <x:v>194.11297787001376</x:v>
      </x:c>
      <x:c r="K17" s="16" t="n">
        <x:f>IF(A17="",0,H17+I17-F17)</x:f>
        <x:v>99381.25602459387</x:v>
      </x:c>
      <x:c r="L17" s="16" t="n">
        <x:f>G17-K17</x:f>
        <x:v>618.7439754061343</x:v>
      </x:c>
      <x:c r="M17" s="16" t="n">
        <x:f>IF(AND(2&lt;'Datos'!$B$9,3&gt;'Datos'!$B$10),'Datos'!$B$6/('Datos'!$B$9-'Datos'!$B$10),0)</x:f>
        <x:v>20000</x:v>
      </x:c>
      <x:c r="N17" s="16" t="n">
        <x:f>IF(G17=0,0,L17*M17/G17)</x:f>
        <x:v>123.74879508122686</x:v>
      </x:c>
      <x:c r="O17" s="16" t="n">
        <x:f>L17-N17</x:f>
        <x:v>494.99518032490744</x:v>
      </x:c>
      <x:c r="P17" s="17" t="n">
        <x:f>-F17</x:f>
        <x:v>-3500.0000000000005</x:v>
      </x:c>
    </x:row>
    <x:row r="18" ht="22" customHeight="1">
      <x:c r="A18" s="18" t="n">
        <x:f>IF(3&lt;='Datos'!$B$9,'Datos'!$B$8+2,"")</x:f>
        <x:v>2028</x:v>
      </x:c>
      <x:c r="B18" s="16" t="n">
        <x:f>IF(A18="",0,G17)</x:f>
        <x:v>100000</x:v>
      </x:c>
      <x:c r="C18" s="16" t="n">
        <x:f>IF(A18="",0,B18*'Datos'!B18)</x:f>
        <x:v>3500.0000000000005</x:v>
      </x:c>
      <x:c r="D18" s="16" t="n">
        <x:f>IF(A18="",0,B18*'Datos'!C18)</x:f>
        <x:v>0</x:v>
      </x:c>
      <x:c r="E18" s="16" t="n">
        <x:f>IF(A18="",0,IF(3&lt;='Datos'!$B$10,0,'Datos'!$B$6/('Datos'!$B$9-'Datos'!$B$10)))</x:f>
        <x:v>20000</x:v>
      </x:c>
      <x:c r="F18" s="16" t="n">
        <x:f>SUM(C18:E18)</x:f>
        <x:v>23500</x:v>
      </x:c>
      <x:c r="G18" s="16" t="n">
        <x:f>B18-E18</x:f>
        <x:v>80000</x:v>
      </x:c>
      <x:c r="H18" s="16" t="n">
        <x:f>IF(A18="",0,K17)</x:f>
        <x:v>99381.25602459387</x:v>
      </x:c>
      <x:c r="I18" s="16" t="n">
        <x:f>IF(A18="",0,H18*$B$6)</x:f>
        <x:v>3701.342496219835</x:v>
      </x:c>
      <x:c r="J18" s="16" t="n">
        <x:f>I18-SUM(C18:D18)</x:f>
        <x:v>201.34249621983463</x:v>
      </x:c>
      <x:c r="K18" s="16" t="n">
        <x:f>IF(A18="",0,H18+I18-F18)</x:f>
        <x:v>79582.5985208137</x:v>
      </x:c>
      <x:c r="L18" s="16" t="n">
        <x:f>G18-K18</x:f>
        <x:v>417.401479186301</x:v>
      </x:c>
      <x:c r="M18" s="16" t="n">
        <x:f>IF(AND(3&lt;'Datos'!$B$9,4&gt;'Datos'!$B$10),'Datos'!$B$6/('Datos'!$B$9-'Datos'!$B$10),0)</x:f>
        <x:v>20000</x:v>
      </x:c>
      <x:c r="N18" s="16" t="n">
        <x:f>IF(G18=0,0,L18*M18/G18)</x:f>
        <x:v>104.35036979657525</x:v>
      </x:c>
      <x:c r="O18" s="16" t="n">
        <x:f>L18-N18</x:f>
        <x:v>313.05110938972575</x:v>
      </x:c>
      <x:c r="P18" s="17" t="n">
        <x:f>-F18</x:f>
        <x:v>-23500</x:v>
      </x:c>
    </x:row>
    <x:row r="19" ht="22" customHeight="1">
      <x:c r="A19" s="18" t="n">
        <x:f>IF(4&lt;='Datos'!$B$9,'Datos'!$B$8+3,"")</x:f>
        <x:v>2029</x:v>
      </x:c>
      <x:c r="B19" s="16" t="n">
        <x:f>IF(A19="",0,G18)</x:f>
        <x:v>80000</x:v>
      </x:c>
      <x:c r="C19" s="16" t="n">
        <x:f>IF(A19="",0,B19*'Datos'!B19)</x:f>
        <x:v>2800.0000000000005</x:v>
      </x:c>
      <x:c r="D19" s="16" t="n">
        <x:f>IF(A19="",0,B19*'Datos'!C19)</x:f>
        <x:v>0</x:v>
      </x:c>
      <x:c r="E19" s="16" t="n">
        <x:f>IF(A19="",0,IF(4&lt;='Datos'!$B$10,0,'Datos'!$B$6/('Datos'!$B$9-'Datos'!$B$10)))</x:f>
        <x:v>20000</x:v>
      </x:c>
      <x:c r="F19" s="16" t="n">
        <x:f>SUM(C19:E19)</x:f>
        <x:v>22800</x:v>
      </x:c>
      <x:c r="G19" s="16" t="n">
        <x:f>B19-E19</x:f>
        <x:v>60000</x:v>
      </x:c>
      <x:c r="H19" s="16" t="n">
        <x:f>IF(A19="",0,K18)</x:f>
        <x:v>79582.5985208137</x:v>
      </x:c>
      <x:c r="I19" s="16" t="n">
        <x:f>IF(A19="",0,H19*$B$6)</x:f>
        <x:v>2963.9638866286236</x:v>
      </x:c>
      <x:c r="J19" s="16" t="n">
        <x:f>I19-SUM(C19:D19)</x:f>
        <x:v>163.9638866286232</x:v>
      </x:c>
      <x:c r="K19" s="16" t="n">
        <x:f>IF(A19="",0,H19+I19-F19)</x:f>
        <x:v>59746.562407442325</x:v>
      </x:c>
      <x:c r="L19" s="16" t="n">
        <x:f>G19-K19</x:f>
        <x:v>253.4375925576751</x:v>
      </x:c>
      <x:c r="M19" s="16" t="n">
        <x:f>IF(AND(4&lt;'Datos'!$B$9,5&gt;'Datos'!$B$10),'Datos'!$B$6/('Datos'!$B$9-'Datos'!$B$10),0)</x:f>
        <x:v>20000</x:v>
      </x:c>
      <x:c r="N19" s="16" t="n">
        <x:f>IF(G19=0,0,L19*M19/G19)</x:f>
        <x:v>84.47919751922504</x:v>
      </x:c>
      <x:c r="O19" s="16" t="n">
        <x:f>L19-N19</x:f>
        <x:v>168.95839503845005</x:v>
      </x:c>
      <x:c r="P19" s="17" t="n">
        <x:f>-F19</x:f>
        <x:v>-22800</x:v>
      </x:c>
    </x:row>
    <x:row r="20" ht="22" customHeight="1">
      <x:c r="A20" s="18" t="n">
        <x:f>IF(5&lt;='Datos'!$B$9,'Datos'!$B$8+4,"")</x:f>
        <x:v>2030</x:v>
      </x:c>
      <x:c r="B20" s="16" t="n">
        <x:f>IF(A20="",0,G19)</x:f>
        <x:v>60000</x:v>
      </x:c>
      <x:c r="C20" s="16" t="n">
        <x:f>IF(A20="",0,B20*'Datos'!B20)</x:f>
        <x:v>2100</x:v>
      </x:c>
      <x:c r="D20" s="16" t="n">
        <x:f>IF(A20="",0,B20*'Datos'!C20)</x:f>
        <x:v>0</x:v>
      </x:c>
      <x:c r="E20" s="16" t="n">
        <x:f>IF(A20="",0,IF(5&lt;='Datos'!$B$10,0,'Datos'!$B$6/('Datos'!$B$9-'Datos'!$B$10)))</x:f>
        <x:v>20000</x:v>
      </x:c>
      <x:c r="F20" s="16" t="n">
        <x:f>SUM(C20:E20)</x:f>
        <x:v>22100</x:v>
      </x:c>
      <x:c r="G20" s="16" t="n">
        <x:f>B20-E20</x:f>
        <x:v>40000</x:v>
      </x:c>
      <x:c r="H20" s="16" t="n">
        <x:f>IF(A20="",0,K19)</x:f>
        <x:v>59746.562407442325</x:v>
      </x:c>
      <x:c r="I20" s="16" t="n">
        <x:f>IF(A20="",0,H20*$B$6)</x:f>
        <x:v>2225.193152992458</x:v>
      </x:c>
      <x:c r="J20" s="16" t="n">
        <x:f>I20-SUM(C20:D20)</x:f>
        <x:v>125.19315299245818</x:v>
      </x:c>
      <x:c r="K20" s="16" t="n">
        <x:f>IF(A20="",0,H20+I20-F20)</x:f>
        <x:v>39871.75556043478</x:v>
      </x:c>
      <x:c r="L20" s="16" t="n">
        <x:f>G20-K20</x:f>
        <x:v>128.2444395652201</x:v>
      </x:c>
      <x:c r="M20" s="16" t="n">
        <x:f>IF(AND(5&lt;'Datos'!$B$9,6&gt;'Datos'!$B$10),'Datos'!$B$6/('Datos'!$B$9-'Datos'!$B$10),0)</x:f>
        <x:v>20000</x:v>
      </x:c>
      <x:c r="N20" s="16" t="n">
        <x:f>IF(G20=0,0,L20*M20/G20)</x:f>
        <x:v>64.12221978261005</x:v>
      </x:c>
      <x:c r="O20" s="16" t="n">
        <x:f>L20-N20</x:f>
        <x:v>64.12221978261005</x:v>
      </x:c>
      <x:c r="P20" s="17" t="n">
        <x:f>-F20</x:f>
        <x:v>-22100</x:v>
      </x:c>
    </x:row>
    <x:row r="21" ht="22" customHeight="1">
      <x:c r="A21" s="18" t="n">
        <x:f>IF(6&lt;='Datos'!$B$9,'Datos'!$B$8+5,"")</x:f>
        <x:v>2031</x:v>
      </x:c>
      <x:c r="B21" s="16" t="n">
        <x:f>IF(A21="",0,G20)</x:f>
        <x:v>40000</x:v>
      </x:c>
      <x:c r="C21" s="16" t="n">
        <x:f>IF(A21="",0,B21*'Datos'!B21)</x:f>
        <x:v>1400.0000000000002</x:v>
      </x:c>
      <x:c r="D21" s="16" t="n">
        <x:f>IF(A21="",0,B21*'Datos'!C21)</x:f>
        <x:v>0</x:v>
      </x:c>
      <x:c r="E21" s="16" t="n">
        <x:f>IF(A21="",0,IF(6&lt;='Datos'!$B$10,0,'Datos'!$B$6/('Datos'!$B$9-'Datos'!$B$10)))</x:f>
        <x:v>20000</x:v>
      </x:c>
      <x:c r="F21" s="16" t="n">
        <x:f>SUM(C21:E21)</x:f>
        <x:v>21400</x:v>
      </x:c>
      <x:c r="G21" s="16" t="n">
        <x:f>B21-E21</x:f>
        <x:v>20000</x:v>
      </x:c>
      <x:c r="H21" s="16" t="n">
        <x:f>IF(A21="",0,K20)</x:f>
        <x:v>39871.75556043478</x:v>
      </x:c>
      <x:c r="I21" s="16" t="n">
        <x:f>IF(A21="",0,H21*$B$6)</x:f>
        <x:v>1484.9784472255553</x:v>
      </x:c>
      <x:c r="J21" s="16" t="n">
        <x:f>I21-SUM(C21:D21)</x:f>
        <x:v>84.9784472255551</x:v>
      </x:c>
      <x:c r="K21" s="16" t="n">
        <x:f>IF(A21="",0,H21+I21-F21)</x:f>
        <x:v>19956.734007660336</x:v>
      </x:c>
      <x:c r="L21" s="16" t="n">
        <x:f>G21-K21</x:f>
        <x:v>43.26599233966408</x:v>
      </x:c>
      <x:c r="M21" s="16" t="n">
        <x:f>IF(AND(6&lt;'Datos'!$B$9,7&gt;'Datos'!$B$10),'Datos'!$B$6/('Datos'!$B$9-'Datos'!$B$10),0)</x:f>
        <x:v>20000</x:v>
      </x:c>
      <x:c r="N21" s="16" t="n">
        <x:f>IF(G21=0,0,L21*M21/G21)</x:f>
        <x:v>43.26599233966408</x:v>
      </x:c>
      <x:c r="O21" s="16" t="n">
        <x:f>L21-N21</x:f>
        <x:v>0</x:v>
      </x:c>
      <x:c r="P21" s="17" t="n">
        <x:f>-F21</x:f>
        <x:v>-21400</x:v>
      </x:c>
    </x:row>
    <x:row r="22" ht="22" customHeight="1">
      <x:c r="A22" s="18" t="n">
        <x:f>IF(7&lt;='Datos'!$B$9,'Datos'!$B$8+6,"")</x:f>
        <x:v>2032</x:v>
      </x:c>
      <x:c r="B22" s="16" t="n">
        <x:f>IF(A22="",0,G21)</x:f>
        <x:v>20000</x:v>
      </x:c>
      <x:c r="C22" s="16" t="n">
        <x:f>IF(A22="",0,B22*'Datos'!B22)</x:f>
        <x:v>700.0000000000001</x:v>
      </x:c>
      <x:c r="D22" s="16" t="n">
        <x:f>IF(A22="",0,B22*'Datos'!C22)</x:f>
        <x:v>0</x:v>
      </x:c>
      <x:c r="E22" s="16" t="n">
        <x:f>IF(A22="",0,IF(7&lt;='Datos'!$B$10,0,'Datos'!$B$6/('Datos'!$B$9-'Datos'!$B$10)))</x:f>
        <x:v>20000</x:v>
      </x:c>
      <x:c r="F22" s="16" t="n">
        <x:f>SUM(C22:E22)</x:f>
        <x:v>20700</x:v>
      </x:c>
      <x:c r="G22" s="16" t="n">
        <x:f>B22-E22</x:f>
        <x:v>0</x:v>
      </x:c>
      <x:c r="H22" s="16" t="n">
        <x:f>IF(A22="",0,K21)</x:f>
        <x:v>19956.734007660336</x:v>
      </x:c>
      <x:c r="I22" s="16" t="n">
        <x:f>IF(A22="",0,H22*$B$6)</x:f>
        <x:v>743.2659902188094</x:v>
      </x:c>
      <x:c r="J22" s="16" t="n">
        <x:f>I22-SUM(C22:D22)</x:f>
        <x:v>43.26599021880929</x:v>
      </x:c>
      <x:c r="K22" s="16" t="n">
        <x:f>IF(A22="",0,H22+I22-F22)</x:f>
        <x:v>-0.0000021208543330430984</x:v>
      </x:c>
      <x:c r="L22" s="16" t="n">
        <x:f>G22-K22</x:f>
        <x:v>0.0000021208543330430984</x:v>
      </x:c>
      <x:c r="M22" s="16" t="n">
        <x:f>IF(AND(7&lt;'Datos'!$B$9,8&gt;'Datos'!$B$10),'Datos'!$B$6/('Datos'!$B$9-'Datos'!$B$10),0)</x:f>
        <x:v>0</x:v>
      </x:c>
      <x:c r="N22" s="16" t="n">
        <x:f>IF(G22=0,0,L22*M22/G22)</x:f>
        <x:v>0</x:v>
      </x:c>
      <x:c r="O22" s="16" t="n">
        <x:f>L22-N22</x:f>
        <x:v>0.0000021208543330430984</x:v>
      </x:c>
      <x:c r="P22" s="17" t="n">
        <x:f>-F22</x:f>
        <x:v>-20700</x:v>
      </x:c>
    </x:row>
    <x:row r="23" ht="22" customHeight="1">
      <x:c r="A23" s="18" t="str">
        <x:f>IF(8&lt;='Datos'!$B$9,'Datos'!$B$8+7,"")</x:f>
      </x:c>
      <x:c r="B23" s="16" t="n">
        <x:f>IF(A23="",0,G22)</x:f>
        <x:v>0</x:v>
      </x:c>
      <x:c r="C23" s="16" t="n">
        <x:f>IF(A23="",0,B23*'Datos'!B23)</x:f>
        <x:v>0</x:v>
      </x:c>
      <x:c r="D23" s="16" t="n">
        <x:f>IF(A23="",0,B23*'Datos'!C23)</x:f>
        <x:v>0</x:v>
      </x:c>
      <x:c r="E23" s="16" t="n">
        <x:f>IF(A23="",0,IF(8&lt;='Datos'!$B$10,0,'Datos'!$B$6/('Datos'!$B$9-'Datos'!$B$10)))</x:f>
        <x:v>0</x:v>
      </x:c>
      <x:c r="F23" s="16" t="n">
        <x:f>SUM(C23:E23)</x:f>
        <x:v>0</x:v>
      </x:c>
      <x:c r="G23" s="16" t="n">
        <x:f>B23-E23</x:f>
        <x:v>0</x:v>
      </x:c>
      <x:c r="H23" s="16" t="n">
        <x:f>IF(A23="",0,K22)</x:f>
        <x:v>0</x:v>
      </x:c>
      <x:c r="I23" s="16" t="n">
        <x:f>IF(A23="",0,H23*$B$6)</x:f>
        <x:v>0</x:v>
      </x:c>
      <x:c r="J23" s="16" t="n">
        <x:f>I23-SUM(C23:D23)</x:f>
        <x:v>0</x:v>
      </x:c>
      <x:c r="K23" s="16" t="n">
        <x:f>IF(A23="",0,H23+I23-F23)</x:f>
        <x:v>0</x:v>
      </x:c>
      <x:c r="L23" s="16" t="n">
        <x:f>G23-K23</x:f>
        <x:v>0</x:v>
      </x:c>
      <x:c r="M23" s="16" t="n">
        <x:f>IF(AND(8&lt;'Datos'!$B$9,9&gt;'Datos'!$B$10),'Datos'!$B$6/('Datos'!$B$9-'Datos'!$B$10),0)</x:f>
        <x:v>0</x:v>
      </x:c>
      <x:c r="N23" s="16" t="n">
        <x:f>IF(G23=0,0,L23*M23/G23)</x:f>
        <x:v>0</x:v>
      </x:c>
      <x:c r="O23" s="16" t="n">
        <x:f>L23-N23</x:f>
        <x:v>0</x:v>
      </x:c>
      <x:c r="P23" s="17" t="n">
        <x:f>-F23</x:f>
        <x:v>0</x:v>
      </x:c>
    </x:row>
    <x:row r="24" ht="22" customHeight="1">
      <x:c r="A24" s="18" t="str">
        <x:f>IF(9&lt;='Datos'!$B$9,'Datos'!$B$8+8,"")</x:f>
      </x:c>
      <x:c r="B24" s="16" t="n">
        <x:f>IF(A24="",0,G23)</x:f>
        <x:v>0</x:v>
      </x:c>
      <x:c r="C24" s="16" t="n">
        <x:f>IF(A24="",0,B24*'Datos'!B24)</x:f>
        <x:v>0</x:v>
      </x:c>
      <x:c r="D24" s="16" t="n">
        <x:f>IF(A24="",0,B24*'Datos'!C24)</x:f>
        <x:v>0</x:v>
      </x:c>
      <x:c r="E24" s="16" t="n">
        <x:f>IF(A24="",0,IF(9&lt;='Datos'!$B$10,0,'Datos'!$B$6/('Datos'!$B$9-'Datos'!$B$10)))</x:f>
        <x:v>0</x:v>
      </x:c>
      <x:c r="F24" s="16" t="n">
        <x:f>SUM(C24:E24)</x:f>
        <x:v>0</x:v>
      </x:c>
      <x:c r="G24" s="16" t="n">
        <x:f>B24-E24</x:f>
        <x:v>0</x:v>
      </x:c>
      <x:c r="H24" s="16" t="n">
        <x:f>IF(A24="",0,K23)</x:f>
        <x:v>0</x:v>
      </x:c>
      <x:c r="I24" s="16" t="n">
        <x:f>IF(A24="",0,H24*$B$6)</x:f>
        <x:v>0</x:v>
      </x:c>
      <x:c r="J24" s="16" t="n">
        <x:f>I24-SUM(C24:D24)</x:f>
        <x:v>0</x:v>
      </x:c>
      <x:c r="K24" s="16" t="n">
        <x:f>IF(A24="",0,H24+I24-F24)</x:f>
        <x:v>0</x:v>
      </x:c>
      <x:c r="L24" s="16" t="n">
        <x:f>G24-K24</x:f>
        <x:v>0</x:v>
      </x:c>
      <x:c r="M24" s="16" t="n">
        <x:f>IF(AND(9&lt;'Datos'!$B$9,10&gt;'Datos'!$B$10),'Datos'!$B$6/('Datos'!$B$9-'Datos'!$B$10),0)</x:f>
        <x:v>0</x:v>
      </x:c>
      <x:c r="N24" s="16" t="n">
        <x:f>IF(G24=0,0,L24*M24/G24)</x:f>
        <x:v>0</x:v>
      </x:c>
      <x:c r="O24" s="16" t="n">
        <x:f>L24-N24</x:f>
        <x:v>0</x:v>
      </x:c>
      <x:c r="P24" s="17" t="n">
        <x:f>-F24</x:f>
        <x:v>0</x:v>
      </x:c>
    </x:row>
    <x:row r="25" ht="22" customHeight="1">
      <x:c r="A25" s="18" t="str">
        <x:f>IF(10&lt;='Datos'!$B$9,'Datos'!$B$8+9,"")</x:f>
      </x:c>
      <x:c r="B25" s="16" t="n">
        <x:f>IF(A25="",0,G24)</x:f>
        <x:v>0</x:v>
      </x:c>
      <x:c r="C25" s="16" t="n">
        <x:f>IF(A25="",0,B25*'Datos'!B25)</x:f>
        <x:v>0</x:v>
      </x:c>
      <x:c r="D25" s="16" t="n">
        <x:f>IF(A25="",0,B25*'Datos'!C25)</x:f>
        <x:v>0</x:v>
      </x:c>
      <x:c r="E25" s="16" t="n">
        <x:f>IF(A25="",0,IF(10&lt;='Datos'!$B$10,0,'Datos'!$B$6/('Datos'!$B$9-'Datos'!$B$10)))</x:f>
        <x:v>0</x:v>
      </x:c>
      <x:c r="F25" s="16" t="n">
        <x:f>SUM(C25:E25)</x:f>
        <x:v>0</x:v>
      </x:c>
      <x:c r="G25" s="16" t="n">
        <x:f>B25-E25</x:f>
        <x:v>0</x:v>
      </x:c>
      <x:c r="H25" s="16" t="n">
        <x:f>IF(A25="",0,K24)</x:f>
        <x:v>0</x:v>
      </x:c>
      <x:c r="I25" s="16" t="n">
        <x:f>IF(A25="",0,H25*$B$6)</x:f>
        <x:v>0</x:v>
      </x:c>
      <x:c r="J25" s="16" t="n">
        <x:f>I25-SUM(C25:D25)</x:f>
        <x:v>0</x:v>
      </x:c>
      <x:c r="K25" s="16" t="n">
        <x:f>IF(A25="",0,H25+I25-F25)</x:f>
        <x:v>0</x:v>
      </x:c>
      <x:c r="L25" s="16" t="n">
        <x:f>G25-K25</x:f>
        <x:v>0</x:v>
      </x:c>
      <x:c r="M25" s="16" t="n">
        <x:f>IF(AND(10&lt;'Datos'!$B$9,11&gt;'Datos'!$B$10),'Datos'!$B$6/('Datos'!$B$9-'Datos'!$B$10),0)</x:f>
        <x:v>0</x:v>
      </x:c>
      <x:c r="N25" s="16" t="n">
        <x:f>IF(G25=0,0,L25*M25/G25)</x:f>
        <x:v>0</x:v>
      </x:c>
      <x:c r="O25" s="16" t="n">
        <x:f>L25-N25</x:f>
        <x:v>0</x:v>
      </x:c>
      <x:c r="P25" s="17" t="n">
        <x:f>-F25</x:f>
        <x:v>0</x:v>
      </x:c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1" t="str">
        <x:v>Comprobaciones (diferencia en euros)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1" t="str">
        <x:v>Principal</x:v>
      </x:c>
      <x:c r="B29" s="19" t="n">
        <x:f>SUM(E16:E25)-'Datos'!B6</x:f>
        <x:v>0</x:v>
      </x:c>
      <x:c r="C29" s="19"/>
      <x:c r="D29" s="19" t="str">
        <x:v>Coste final</x:v>
      </x:c>
      <x:c r="E29" s="19"/>
      <x:c r="F29" s="19" t="n">
        <x:f>INDEX(K16:K25,'Datos'!B9)</x:f>
        <x:v>-0.0000021208543330430984</x:v>
      </x:c>
      <x:c r="G29" s="19"/>
      <x:c r="H29" s="19" t="str">
        <x:v>Gasto menos intereses y comisión</x:v>
      </x:c>
      <x:c r="I29" s="19"/>
      <x:c r="J29" s="19"/>
      <x:c r="K29" s="19" t="n">
        <x:f>SUM(I16:I25)-SUM(C16:D25)-'Datos'!B7</x:f>
        <x:v>-0.0000021208616090007126</x:v>
      </x:c>
      <x:c r="L29" s="1"/>
      <x:c r="M29" s="1"/>
      <x:c r="N29" s="1"/>
      <x:c r="O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1" t="str">
        <x:v>Coste final = principal pendiente menos costes no imputados. CP = vencimientos del año siguiente.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</x:row>
  </x:sheetData>
  <x:conditionalFormatting sqref="B29:B29">
    <x:cfRule type="expression" dxfId="0" priority="1">
      <x:formula>ABS(B29)&gt;0.01</x:formula>
    </x:cfRule>
  </x:conditionalFormatting>
  <x:conditionalFormatting sqref="F29:F29">
    <x:cfRule type="expression" dxfId="1" priority="2">
      <x:formula>ABS(F29)&gt;0.01</x:formula>
    </x:cfRule>
  </x:conditionalFormatting>
  <x:conditionalFormatting sqref="K29:K29">
    <x:cfRule type="expression" dxfId="2" priority="3">
      <x:formula>ABS(K29)&gt;0.01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0789A"/>
  </x:sheetPr>
  <x:sheetViews>
    <x:sheetView showGridLines="0" workbookViewId="0"/>
  </x:sheetViews>
  <x:sheetFormatPr defaultRowHeight="15"/>
  <x:cols>
    <x:col min="1" max="1" width="38" hidden="0" customWidth="1"/>
    <x:col min="2" max="2" width="17" hidden="0" customWidth="1"/>
    <x:col min="3" max="3" width="20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2" customHeight="1">
      <x:c r="A2" s="2" t="str">
        <x:v>Premoney · Datos del préstamo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</x:row>
    <x:row r="4" ht="22" customHeight="1">
      <x:c r="A4" s="1" t="str">
        <x:v>Ejemplo didáctico. Cambia las celdas amarillas y adapta los supuestos a tu póliza.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" t="str">
        <x:v>Principal nominal (€)</x:v>
      </x:c>
      <x:c r="B6" s="6" t="n">
        <x:v>100000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2" customHeight="1">
      <x:c r="A7" s="1" t="str">
        <x:v>Comisión y costes iniciales (€)</x:v>
      </x:c>
      <x:c r="B7" s="6" t="n">
        <x:v>1000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1" t="str">
        <x:v>Año de desembolso (1 de enero)</x:v>
      </x:c>
      <x:c r="B8" s="7" t="n">
        <x:v>2026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1" t="str">
        <x:v>Plazo total (años)</x:v>
      </x:c>
      <x:c r="B9" s="7" t="n">
        <x:v>7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1" t="str">
        <x:v>Carencia de principal (años)</x:v>
      </x:c>
      <x:c r="B10" s="7" t="n">
        <x:v>2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1" t="str">
        <x:v>Validación de entradas</x:v>
      </x:c>
      <x:c r="B12" s="1" t="str">
        <x:f>IF(OR(COUNT(B6:B10)&lt;5,B6&lt;=0,B7&lt;0,B7&gt;=B6,B9&lt;1,B9&gt;10,B10&lt;0,B10&gt;=B9),"Revisar importe, plazo y carencia","Datos básicos completos")</x:f>
        <x:v>Datos básicos completos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46" customHeight="1">
      <x:c r="A15" s="12" t="str">
        <x:v>Año del préstamo</x:v>
      </x:c>
      <x:c r="B15" s="12" t="str">
        <x:v>Tipo anual tramo 1</x:v>
      </x:c>
      <x:c r="C15" s="12" t="str">
        <x:v>Tipo anual tramo 2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2" customHeight="1">
      <x:c r="A16" s="1" t="n">
        <x:v>1</x:v>
      </x:c>
      <x:c r="B16" s="13" t="n">
        <x:v>0.035</x:v>
      </x:c>
      <x:c r="C16" s="13" t="n">
        <x:v>0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2" customHeight="1">
      <x:c r="A17" s="1" t="n">
        <x:v>2</x:v>
      </x:c>
      <x:c r="B17" s="13" t="n">
        <x:v>0.035</x:v>
      </x:c>
      <x:c r="C17" s="13" t="n">
        <x:v>0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2" customHeight="1">
      <x:c r="A18" s="1" t="n">
        <x:v>3</x:v>
      </x:c>
      <x:c r="B18" s="13" t="n">
        <x:v>0.035</x:v>
      </x:c>
      <x:c r="C18" s="13" t="n">
        <x:v>0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2" customHeight="1">
      <x:c r="A19" s="1" t="n">
        <x:v>4</x:v>
      </x:c>
      <x:c r="B19" s="13" t="n">
        <x:v>0.035</x:v>
      </x:c>
      <x:c r="C19" s="13" t="n">
        <x:v>0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</x:row>
    <x:row r="20" ht="22" customHeight="1">
      <x:c r="A20" s="1" t="n">
        <x:v>5</x:v>
      </x:c>
      <x:c r="B20" s="13" t="n">
        <x:v>0.035</x:v>
      </x:c>
      <x:c r="C20" s="13" t="n">
        <x:v>0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</x:row>
    <x:row r="21" ht="22" customHeight="1">
      <x:c r="A21" s="1" t="n">
        <x:v>6</x:v>
      </x:c>
      <x:c r="B21" s="13" t="n">
        <x:v>0.035</x:v>
      </x:c>
      <x:c r="C21" s="13" t="n">
        <x:v>0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</x:row>
    <x:row r="22" ht="22" customHeight="1">
      <x:c r="A22" s="1" t="n">
        <x:v>7</x:v>
      </x:c>
      <x:c r="B22" s="13" t="n">
        <x:v>0.035</x:v>
      </x:c>
      <x:c r="C22" s="13" t="n">
        <x:v>0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</x:row>
    <x:row r="23" ht="22" customHeight="1">
      <x:c r="A23" s="1" t="n">
        <x:v>8</x:v>
      </x:c>
      <x:c r="B23" s="13" t="n">
        <x:v>0.035</x:v>
      </x:c>
      <x:c r="C23" s="13" t="n">
        <x:v>0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</x:row>
    <x:row r="24" ht="22" customHeight="1">
      <x:c r="A24" s="1" t="n">
        <x:v>9</x:v>
      </x:c>
      <x:c r="B24" s="13" t="n">
        <x:v>0.035</x:v>
      </x:c>
      <x:c r="C24" s="13" t="n">
        <x:v>0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</x:row>
    <x:row r="25" ht="22" customHeight="1">
      <x:c r="A25" s="1" t="n">
        <x:v>10</x:v>
      </x:c>
      <x:c r="B25" s="13" t="n">
        <x:v>0.035</x:v>
      </x:c>
      <x:c r="C25" s="13" t="n">
        <x:v>0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</x:row>
    <x:row r="26" ht="22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14" t="str">
        <x:v>Supuestos de la plantilla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1" t="str">
        <x:v>Desembolso el 1 de enero. Cuotas de principal constantes al final de cada año tras la carencia.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2" customHeight="1">
      <x:c r="A30" s="1" t="str">
        <x:v>Modelo anual simplificado: ambos tramos se pagan al cierre. No reproduce las liquidaciones trimestrales de ENISA.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1" t="str">
        <x:v>Introduce el tipo del segundo tramo obtenido de la póliza. No es un porcentaje directo del beneficio.</x:v>
      </x:c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1" t="str">
        <x:v>Los tipos de ejemplo no son una oferta de ENISA. El tipo total se aplica al principal inicial de cada año.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1" t="str">
        <x:v>Coste amortizado por TIE a partir de los flujos previstos al inicio; sin modificaciones, impagos ni revisiones posteriores.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1" t="str">
        <x:v>Cambiar tipos recalcula toda la simulación. No uses ese recálculo para alterar ejercicios ya contabilizados.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1" t="str">
        <x:v>PGC general: costes directamente atribuibles descontados del pasivo. No aplica la opción de gasto inicial del PGC de Pymes.</x:v>
      </x:c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1" t="str">
        <x:v>El reparto CP/LP de costes pendientes se realiza proporcionalmente al nominal. Validar este criterio con el asesor.</x:v>
      </x:c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1" t="str">
        <x:v>1710/5210: nominal; 1719/5219: ajustes de coste amortizado. Son desarrollos internos propuestos, no cuentas oficiales.</x:v>
      </x:c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1" t="str">
        <x:v>Los asientos son resúmenes anuales. Registra cada liquidación y vencimiento en su fecha contractual.</x:v>
      </x:c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1" t="str">
        <x:v>Antes de aplicar o publicar: revisión contable del contrato y del criterio de valoración con tu asesor o auditor.</x:v>
      </x:c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14" t="str">
        <x:v>Fuentes consultadas el 25/09/2026</x:v>
      </x:c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1" t="str">
        <x:v>PGC, NRV 9: https://www.boe.es/buscar/act.php?id=BOE-A-2007-19884</x:v>
      </x:c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1" t="str">
        <x:v>PGC Pymes, NRV 9: https://www.boe.es/buscar/act.php?id=BOE-A-2007-19966</x:v>
      </x:c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1" t="str">
        <x:v>ICAC, BOICAC 78/2009, consulta 1: https://www.icac.gob.es/sites/default/files/2020-11/BOICAC_78_0609_1.PDF</x:v>
      </x:c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1" t="str">
        <x:v>ENISA: https://www.enisa.es/servicios/financiacion/agroInnpulso/</x:v>
      </x:c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</x:row>
  </x:sheetData>
  <x:dataValidations count="2">
    <x:dataValidation type="whole" operator="between" sqref="B9">
      <x:formula1>1</x:formula1>
      <x:formula2>10</x:formula2>
    </x:dataValidation>
    <x:dataValidation type="whole" operator="between" sqref="B10">
      <x:formula1>0</x:formula1>
      <x:formula2>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2B47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31" hidden="0" customWidth="1"/>
    <x:col min="3" max="3" width="24" hidden="0" customWidth="1"/>
    <x:col min="4" max="4" width="24" hidden="0" customWidth="1"/>
    <x:col min="5" max="5" width="19" hidden="0" customWidth="1"/>
    <x:col min="6" max="6" width="3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2" customHeight="1">
      <x:c r="A2" s="2" t="str">
        <x:v>Premoney · Asientos anuales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2" customHeight="1">
      <x:c r="A3" s="3"/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</x:row>
    <x:row r="4" ht="22" customHeight="1">
      <x:c r="A4" s="1" t="str">
        <x:v>Resumen ilustrativo. Los importes se calculan desde Cuadro. Adapta fechas, subcuentas y liquidaciones a la póliza.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2" customHeight="1">
      <x:c r="A5" s="1" t="str">
        <x:v>El reparto de costes entre 1719 y 5219 sigue el criterio proporcional explicado en Datos.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2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46" customHeight="1">
      <x:c r="A7" s="12" t="str">
        <x:v>Ejercicio</x:v>
      </x:c>
      <x:c r="B7" s="12" t="str">
        <x:v>Operación</x:v>
      </x:c>
      <x:c r="C7" s="12" t="str">
        <x:v>Cuenta Debe</x:v>
      </x:c>
      <x:c r="D7" s="12" t="str">
        <x:v>Cuenta Haber</x:v>
      </x:c>
      <x:c r="E7" s="12" t="str">
        <x:v>Importe (€)</x:v>
      </x:c>
      <x:c r="F7" s="12" t="str">
        <x:v>Alcance</x:v>
      </x:c>
      <x:c r="G7" s="1"/>
      <x:c r="H7" s="1"/>
      <x:c r="I7" s="1"/>
      <x:c r="J7" s="1"/>
      <x:c r="K7" s="1"/>
      <x:c r="L7" s="1"/>
      <x:c r="M7" s="1"/>
      <x:c r="N7" s="1"/>
      <x:c r="O7" s="1"/>
    </x:row>
    <x:row r="8" ht="22" customHeight="1">
      <x:c r="A8" s="20" t="n">
        <x:f>'Datos'!B8</x:f>
        <x:v>2026</x:v>
      </x:c>
      <x:c r="B8" s="1" t="str">
        <x:v>Desembolso nominal</x:v>
      </x:c>
      <x:c r="C8" s="1" t="str">
        <x:v>572 Bancos</x:v>
      </x:c>
      <x:c r="D8" s="1" t="str">
        <x:v>1710 Deuda LP</x:v>
      </x:c>
      <x:c r="E8" s="21" t="n">
        <x:f>'Datos'!B6</x:f>
        <x:v>100000</x:v>
      </x:c>
      <x:c r="F8" s="1" t="str"/>
      <x:c r="G8" s="1"/>
      <x:c r="H8" s="1"/>
      <x:c r="I8" s="1"/>
      <x:c r="J8" s="1"/>
      <x:c r="K8" s="1"/>
      <x:c r="L8" s="1"/>
      <x:c r="M8" s="1"/>
      <x:c r="N8" s="1"/>
      <x:c r="O8" s="1"/>
    </x:row>
    <x:row r="9" ht="22" customHeight="1">
      <x:c r="A9" s="20" t="n">
        <x:f>'Datos'!B8</x:f>
        <x:v>2026</x:v>
      </x:c>
      <x:c r="B9" s="1" t="str">
        <x:v>Costes de transacción</x:v>
      </x:c>
      <x:c r="C9" s="1" t="str">
        <x:v>1719 Ajustes coste LP</x:v>
      </x:c>
      <x:c r="D9" s="1" t="str">
        <x:v>572 Bancos</x:v>
      </x:c>
      <x:c r="E9" s="21" t="n">
        <x:f>'Datos'!B7</x:f>
        <x:v>1000</x:v>
      </x:c>
      <x:c r="F9" s="1" t="str">
        <x:v>Saldo inicial neto de costes</x:v>
      </x:c>
      <x:c r="G9" s="1"/>
      <x:c r="H9" s="1"/>
      <x:c r="I9" s="1"/>
      <x:c r="J9" s="1"/>
      <x:c r="K9" s="1"/>
      <x:c r="L9" s="1"/>
      <x:c r="M9" s="1"/>
      <x:c r="N9" s="1"/>
      <x:c r="O9" s="1"/>
    </x:row>
    <x:row r="10" ht="22" customHeight="1">
      <x:c r="A10" s="20" t="n">
        <x:f>'Datos'!B8</x:f>
        <x:v>2026</x:v>
      </x:c>
      <x:c r="B10" s="1" t="str">
        <x:v>Vencimiento primer año</x:v>
      </x:c>
      <x:c r="C10" s="1" t="str">
        <x:v>1710 Deuda LP</x:v>
      </x:c>
      <x:c r="D10" s="1" t="str">
        <x:v>5210 Deuda CP</x:v>
      </x:c>
      <x:c r="E10" s="21" t="n">
        <x:f>IF('Datos'!B10=0,'Datos'!B6/'Datos'!B9,0)</x:f>
        <x:v>0</x:v>
      </x:c>
      <x:c r="F10" s="1" t="str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2" customHeight="1">
      <x:c r="A11" s="20" t="n">
        <x:f>'Datos'!B8</x:f>
        <x:v>2026</x:v>
      </x:c>
      <x:c r="B11" s="1" t="str">
        <x:v>Costes del primer año a CP</x:v>
      </x:c>
      <x:c r="C11" s="1" t="str">
        <x:v>5219 Ajustes coste CP</x:v>
      </x:c>
      <x:c r="D11" s="1" t="str">
        <x:v>1719 Ajustes coste LP</x:v>
      </x:c>
      <x:c r="E11" s="21" t="n">
        <x:f>IF('Datos'!B10=0,'Datos'!B7/'Datos'!B9,0)</x:f>
        <x:v>0</x:v>
      </x:c>
      <x:c r="F11" s="1" t="str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2" customHeight="1">
      <x:c r="A12" s="20" t="n">
        <x:f>IF('Cuadro'!A16="","",'Cuadro'!A16)</x:f>
        <x:v>2026</x:v>
      </x:c>
      <x:c r="B12" s="1" t="str">
        <x:v>Devengo de intereses</x:v>
      </x:c>
      <x:c r="C12" s="1" t="str">
        <x:v>6624 Intereses otras emp.</x:v>
      </x:c>
      <x:c r="D12" s="1" t="str">
        <x:v>528 Intereses CP</x:v>
      </x:c>
      <x:c r="E12" s="21" t="n">
        <x:f>SUM('Cuadro'!C16:D16)</x:f>
        <x:v>3500.0000000000005</x:v>
      </x:c>
      <x:c r="F12" s="1" t="str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2" customHeight="1">
      <x:c r="A13" s="20" t="n">
        <x:f>IF('Cuadro'!A16="","",'Cuadro'!A16)</x:f>
        <x:v>2026</x:v>
      </x:c>
      <x:c r="B13" s="1" t="str">
        <x:v>Pago de intereses</x:v>
      </x:c>
      <x:c r="C13" s="1" t="str">
        <x:v>528 Intereses CP</x:v>
      </x:c>
      <x:c r="D13" s="1" t="str">
        <x:v>572 Bancos</x:v>
      </x:c>
      <x:c r="E13" s="21" t="n">
        <x:f>SUM('Cuadro'!C16:D16)</x:f>
        <x:v>3500.0000000000005</x:v>
      </x:c>
      <x:c r="F13" s="1" t="str">
        <x:v>Pago en el mismo año: supuesto</x:v>
      </x:c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2" customHeight="1">
      <x:c r="A14" s="20" t="n">
        <x:f>IF('Cuadro'!A16="","",'Cuadro'!A16)</x:f>
        <x:v>2026</x:v>
      </x:c>
      <x:c r="B14" s="1" t="str">
        <x:v>Reagrupar ajuste coste CP</x:v>
      </x:c>
      <x:c r="C14" s="1" t="str">
        <x:v>1719 Ajustes coste LP</x:v>
      </x:c>
      <x:c r="D14" s="1" t="str">
        <x:v>5219 Ajustes coste CP</x:v>
      </x:c>
      <x:c r="E14" s="21" t="n">
        <x:f>IF('Cuadro'!A16="",0,IF('Datos'!B10=0,'Datos'!B7/'Datos'!B9,0))</x:f>
        <x:v>0</x:v>
      </x:c>
      <x:c r="F14" s="1" t="str">
        <x:v>Antes de distribuir el saldo al cierre</x:v>
      </x:c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2" customHeight="1">
      <x:c r="A15" s="20" t="n">
        <x:f>IF('Cuadro'!A16="","",'Cuadro'!A16)</x:f>
        <x:v>2026</x:v>
      </x:c>
      <x:c r="B15" s="1" t="str">
        <x:v>Imputación coste por TIE</x:v>
      </x:c>
      <x:c r="C15" s="1" t="str">
        <x:v>6624 Intereses otras emp.</x:v>
      </x:c>
      <x:c r="D15" s="1" t="str">
        <x:v>1719 Ajustes coste LP</x:v>
      </x:c>
      <x:c r="E15" s="21" t="n">
        <x:f>MAX(0,'Cuadro'!J16)</x:f>
        <x:v>187.1430467238465</x:v>
      </x:c>
      <x:c r="F15" s="1" t="str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2" customHeight="1">
      <x:c r="A16" s="20" t="n">
        <x:f>IF('Cuadro'!A16="","",'Cuadro'!A16)</x:f>
        <x:v>2026</x:v>
      </x:c>
      <x:c r="B16" s="1" t="str">
        <x:v>Ajuste inverso si procede</x:v>
      </x:c>
      <x:c r="C16" s="1" t="str">
        <x:v>1719 Ajustes coste LP</x:v>
      </x:c>
      <x:c r="D16" s="1" t="str">
        <x:v>6624 Intereses otras emp.</x:v>
      </x:c>
      <x:c r="E16" s="21" t="n">
        <x:f>MAX(0,-'Cuadro'!J16)</x:f>
        <x:v>0</x:v>
      </x:c>
      <x:c r="F16" s="1" t="str">
        <x:v>Solo si el ajuste calculado es negativo</x:v>
      </x:c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2" customHeight="1">
      <x:c r="A17" s="20" t="n">
        <x:f>IF('Cuadro'!A16="","",'Cuadro'!A16)</x:f>
        <x:v>2026</x:v>
      </x:c>
      <x:c r="B17" s="1" t="str">
        <x:v>Devolución de principal</x:v>
      </x:c>
      <x:c r="C17" s="1" t="str">
        <x:v>5210 Deuda CP</x:v>
      </x:c>
      <x:c r="D17" s="1" t="str">
        <x:v>572 Bancos</x:v>
      </x:c>
      <x:c r="E17" s="21" t="n">
        <x:f>'Cuadro'!E16</x:f>
        <x:v>0</x:v>
      </x:c>
      <x:c r="F17" s="1" t="str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2" customHeight="1">
      <x:c r="A18" s="20" t="n">
        <x:f>IF('Cuadro'!A16="","",'Cuadro'!A16)</x:f>
        <x:v>2026</x:v>
      </x:c>
      <x:c r="B18" s="1" t="str">
        <x:v>Principal del próximo año</x:v>
      </x:c>
      <x:c r="C18" s="1" t="str">
        <x:v>1710 Deuda LP</x:v>
      </x:c>
      <x:c r="D18" s="1" t="str">
        <x:v>5210 Deuda CP</x:v>
      </x:c>
      <x:c r="E18" s="21" t="n">
        <x:f>'Cuadro'!M16</x:f>
        <x:v>0</x:v>
      </x:c>
      <x:c r="F18" s="1" t="str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22" customHeight="1">
      <x:c r="A19" s="20" t="n">
        <x:f>IF('Cuadro'!A16="","",'Cuadro'!A16)</x:f>
        <x:v>2026</x:v>
      </x:c>
      <x:c r="B19" s="1" t="str">
        <x:v>Costes pendientes a CP</x:v>
      </x:c>
      <x:c r="C19" s="1" t="str">
        <x:v>5219 Ajustes coste CP</x:v>
      </x:c>
      <x:c r="D19" s="1" t="str">
        <x:v>1719 Ajustes coste LP</x:v>
      </x:c>
      <x:c r="E19" s="21" t="n">
        <x:f>'Cuadro'!N16</x:f>
        <x:v>0</x:v>
      </x:c>
      <x:c r="F19" s="1" t="str"/>
      <x:c r="G19" s="1"/>
      <x:c r="H19" s="1"/>
      <x:c r="I19" s="1"/>
      <x:c r="J19" s="1"/>
      <x:c r="K19" s="1"/>
      <x:c r="L19" s="1"/>
      <x:c r="M19" s="1"/>
      <x:c r="N19" s="1"/>
      <x:c r="O19" s="1"/>
    </x:row>
    <x:row r="20" ht="22" customHeight="1">
      <x:c r="A20" s="20" t="n">
        <x:f>IF('Cuadro'!A17="","",'Cuadro'!A17)</x:f>
        <x:v>2027</x:v>
      </x:c>
      <x:c r="B20" s="1" t="str">
        <x:v>Devengo de intereses</x:v>
      </x:c>
      <x:c r="C20" s="1" t="str">
        <x:v>6624 Intereses otras emp.</x:v>
      </x:c>
      <x:c r="D20" s="1" t="str">
        <x:v>528 Intereses CP</x:v>
      </x:c>
      <x:c r="E20" s="21" t="n">
        <x:f>SUM('Cuadro'!C17:D17)</x:f>
        <x:v>3500.0000000000005</x:v>
      </x:c>
      <x:c r="F20" s="1" t="str"/>
      <x:c r="G20" s="1"/>
      <x:c r="H20" s="1"/>
      <x:c r="I20" s="1"/>
      <x:c r="J20" s="1"/>
      <x:c r="K20" s="1"/>
      <x:c r="L20" s="1"/>
      <x:c r="M20" s="1"/>
      <x:c r="N20" s="1"/>
      <x:c r="O20" s="1"/>
    </x:row>
    <x:row r="21" ht="22" customHeight="1">
      <x:c r="A21" s="20" t="n">
        <x:f>IF('Cuadro'!A17="","",'Cuadro'!A17)</x:f>
        <x:v>2027</x:v>
      </x:c>
      <x:c r="B21" s="1" t="str">
        <x:v>Pago de intereses</x:v>
      </x:c>
      <x:c r="C21" s="1" t="str">
        <x:v>528 Intereses CP</x:v>
      </x:c>
      <x:c r="D21" s="1" t="str">
        <x:v>572 Bancos</x:v>
      </x:c>
      <x:c r="E21" s="21" t="n">
        <x:f>SUM('Cuadro'!C17:D17)</x:f>
        <x:v>3500.0000000000005</x:v>
      </x:c>
      <x:c r="F21" s="1" t="str">
        <x:v>Pago en el mismo año: supuesto</x:v>
      </x:c>
      <x:c r="G21" s="1"/>
      <x:c r="H21" s="1"/>
      <x:c r="I21" s="1"/>
      <x:c r="J21" s="1"/>
      <x:c r="K21" s="1"/>
      <x:c r="L21" s="1"/>
      <x:c r="M21" s="1"/>
      <x:c r="N21" s="1"/>
      <x:c r="O21" s="1"/>
    </x:row>
    <x:row r="22" ht="22" customHeight="1">
      <x:c r="A22" s="20" t="n">
        <x:f>IF('Cuadro'!A17="","",'Cuadro'!A17)</x:f>
        <x:v>2027</x:v>
      </x:c>
      <x:c r="B22" s="1" t="str">
        <x:v>Reagrupar ajuste coste CP</x:v>
      </x:c>
      <x:c r="C22" s="1" t="str">
        <x:v>1719 Ajustes coste LP</x:v>
      </x:c>
      <x:c r="D22" s="1" t="str">
        <x:v>5219 Ajustes coste CP</x:v>
      </x:c>
      <x:c r="E22" s="21" t="n">
        <x:f>IF('Cuadro'!A17="",0,'Cuadro'!N16)</x:f>
        <x:v>0</x:v>
      </x:c>
      <x:c r="F22" s="1" t="str">
        <x:v>Antes de distribuir el saldo al cierre</x:v>
      </x:c>
      <x:c r="G22" s="1"/>
      <x:c r="H22" s="1"/>
      <x:c r="I22" s="1"/>
      <x:c r="J22" s="1"/>
      <x:c r="K22" s="1"/>
      <x:c r="L22" s="1"/>
      <x:c r="M22" s="1"/>
      <x:c r="N22" s="1"/>
      <x:c r="O22" s="1"/>
    </x:row>
    <x:row r="23" ht="22" customHeight="1">
      <x:c r="A23" s="20" t="n">
        <x:f>IF('Cuadro'!A17="","",'Cuadro'!A17)</x:f>
        <x:v>2027</x:v>
      </x:c>
      <x:c r="B23" s="1" t="str">
        <x:v>Imputación coste por TIE</x:v>
      </x:c>
      <x:c r="C23" s="1" t="str">
        <x:v>6624 Intereses otras emp.</x:v>
      </x:c>
      <x:c r="D23" s="1" t="str">
        <x:v>1719 Ajustes coste LP</x:v>
      </x:c>
      <x:c r="E23" s="21" t="n">
        <x:f>MAX(0,'Cuadro'!J17)</x:f>
        <x:v>194.11297787001376</x:v>
      </x:c>
      <x:c r="F23" s="1" t="str"/>
      <x:c r="G23" s="1"/>
      <x:c r="H23" s="1"/>
      <x:c r="I23" s="1"/>
      <x:c r="J23" s="1"/>
      <x:c r="K23" s="1"/>
      <x:c r="L23" s="1"/>
      <x:c r="M23" s="1"/>
      <x:c r="N23" s="1"/>
      <x:c r="O23" s="1"/>
    </x:row>
    <x:row r="24" ht="22" customHeight="1">
      <x:c r="A24" s="20" t="n">
        <x:f>IF('Cuadro'!A17="","",'Cuadro'!A17)</x:f>
        <x:v>2027</x:v>
      </x:c>
      <x:c r="B24" s="1" t="str">
        <x:v>Ajuste inverso si procede</x:v>
      </x:c>
      <x:c r="C24" s="1" t="str">
        <x:v>1719 Ajustes coste LP</x:v>
      </x:c>
      <x:c r="D24" s="1" t="str">
        <x:v>6624 Intereses otras emp.</x:v>
      </x:c>
      <x:c r="E24" s="21" t="n">
        <x:f>MAX(0,-'Cuadro'!J17)</x:f>
        <x:v>0</x:v>
      </x:c>
      <x:c r="F24" s="1" t="str">
        <x:v>Solo si el ajuste calculado es negativo</x:v>
      </x:c>
      <x:c r="G24" s="1"/>
      <x:c r="H24" s="1"/>
      <x:c r="I24" s="1"/>
      <x:c r="J24" s="1"/>
      <x:c r="K24" s="1"/>
      <x:c r="L24" s="1"/>
      <x:c r="M24" s="1"/>
      <x:c r="N24" s="1"/>
      <x:c r="O24" s="1"/>
    </x:row>
    <x:row r="25" ht="22" customHeight="1">
      <x:c r="A25" s="20" t="n">
        <x:f>IF('Cuadro'!A17="","",'Cuadro'!A17)</x:f>
        <x:v>2027</x:v>
      </x:c>
      <x:c r="B25" s="1" t="str">
        <x:v>Devolución de principal</x:v>
      </x:c>
      <x:c r="C25" s="1" t="str">
        <x:v>5210 Deuda CP</x:v>
      </x:c>
      <x:c r="D25" s="1" t="str">
        <x:v>572 Bancos</x:v>
      </x:c>
      <x:c r="E25" s="21" t="n">
        <x:f>'Cuadro'!E17</x:f>
        <x:v>0</x:v>
      </x:c>
      <x:c r="F25" s="1" t="str"/>
      <x:c r="G25" s="1"/>
      <x:c r="H25" s="1"/>
      <x:c r="I25" s="1"/>
      <x:c r="J25" s="1"/>
      <x:c r="K25" s="1"/>
      <x:c r="L25" s="1"/>
      <x:c r="M25" s="1"/>
      <x:c r="N25" s="1"/>
      <x:c r="O25" s="1"/>
    </x:row>
    <x:row r="26" ht="22" customHeight="1">
      <x:c r="A26" s="20" t="n">
        <x:f>IF('Cuadro'!A17="","",'Cuadro'!A17)</x:f>
        <x:v>2027</x:v>
      </x:c>
      <x:c r="B26" s="1" t="str">
        <x:v>Principal del próximo año</x:v>
      </x:c>
      <x:c r="C26" s="1" t="str">
        <x:v>1710 Deuda LP</x:v>
      </x:c>
      <x:c r="D26" s="1" t="str">
        <x:v>5210 Deuda CP</x:v>
      </x:c>
      <x:c r="E26" s="21" t="n">
        <x:f>'Cuadro'!M17</x:f>
        <x:v>20000</x:v>
      </x:c>
      <x:c r="F26" s="1" t="str"/>
      <x:c r="G26" s="1"/>
      <x:c r="H26" s="1"/>
      <x:c r="I26" s="1"/>
      <x:c r="J26" s="1"/>
      <x:c r="K26" s="1"/>
      <x:c r="L26" s="1"/>
      <x:c r="M26" s="1"/>
      <x:c r="N26" s="1"/>
      <x:c r="O26" s="1"/>
    </x:row>
    <x:row r="27" ht="22" customHeight="1">
      <x:c r="A27" s="20" t="n">
        <x:f>IF('Cuadro'!A17="","",'Cuadro'!A17)</x:f>
        <x:v>2027</x:v>
      </x:c>
      <x:c r="B27" s="1" t="str">
        <x:v>Costes pendientes a CP</x:v>
      </x:c>
      <x:c r="C27" s="1" t="str">
        <x:v>5219 Ajustes coste CP</x:v>
      </x:c>
      <x:c r="D27" s="1" t="str">
        <x:v>1719 Ajustes coste LP</x:v>
      </x:c>
      <x:c r="E27" s="21" t="n">
        <x:f>'Cuadro'!N17</x:f>
        <x:v>123.74879508122686</x:v>
      </x:c>
      <x:c r="F27" s="1" t="str"/>
      <x:c r="G27" s="1"/>
      <x:c r="H27" s="1"/>
      <x:c r="I27" s="1"/>
      <x:c r="J27" s="1"/>
      <x:c r="K27" s="1"/>
      <x:c r="L27" s="1"/>
      <x:c r="M27" s="1"/>
      <x:c r="N27" s="1"/>
      <x:c r="O27" s="1"/>
    </x:row>
    <x:row r="28" ht="22" customHeight="1">
      <x:c r="A28" s="20" t="n">
        <x:f>IF('Cuadro'!A18="","",'Cuadro'!A18)</x:f>
        <x:v>2028</x:v>
      </x:c>
      <x:c r="B28" s="1" t="str">
        <x:v>Devengo de intereses</x:v>
      </x:c>
      <x:c r="C28" s="1" t="str">
        <x:v>6624 Intereses otras emp.</x:v>
      </x:c>
      <x:c r="D28" s="1" t="str">
        <x:v>528 Intereses CP</x:v>
      </x:c>
      <x:c r="E28" s="21" t="n">
        <x:f>SUM('Cuadro'!C18:D18)</x:f>
        <x:v>3500.0000000000005</x:v>
      </x:c>
      <x:c r="F28" s="1" t="str"/>
      <x:c r="G28" s="1"/>
      <x:c r="H28" s="1"/>
      <x:c r="I28" s="1"/>
      <x:c r="J28" s="1"/>
      <x:c r="K28" s="1"/>
      <x:c r="L28" s="1"/>
      <x:c r="M28" s="1"/>
      <x:c r="N28" s="1"/>
      <x:c r="O28" s="1"/>
    </x:row>
    <x:row r="29" ht="22" customHeight="1">
      <x:c r="A29" s="20" t="n">
        <x:f>IF('Cuadro'!A18="","",'Cuadro'!A18)</x:f>
        <x:v>2028</x:v>
      </x:c>
      <x:c r="B29" s="1" t="str">
        <x:v>Pago de intereses</x:v>
      </x:c>
      <x:c r="C29" s="1" t="str">
        <x:v>528 Intereses CP</x:v>
      </x:c>
      <x:c r="D29" s="1" t="str">
        <x:v>572 Bancos</x:v>
      </x:c>
      <x:c r="E29" s="21" t="n">
        <x:f>SUM('Cuadro'!C18:D18)</x:f>
        <x:v>3500.0000000000005</x:v>
      </x:c>
      <x:c r="F29" s="1" t="str">
        <x:v>Pago en el mismo año: supuesto</x:v>
      </x:c>
      <x:c r="G29" s="1"/>
      <x:c r="H29" s="1"/>
      <x:c r="I29" s="1"/>
      <x:c r="J29" s="1"/>
      <x:c r="K29" s="1"/>
      <x:c r="L29" s="1"/>
      <x:c r="M29" s="1"/>
      <x:c r="N29" s="1"/>
      <x:c r="O29" s="1"/>
    </x:row>
    <x:row r="30" ht="22" customHeight="1">
      <x:c r="A30" s="20" t="n">
        <x:f>IF('Cuadro'!A18="","",'Cuadro'!A18)</x:f>
        <x:v>2028</x:v>
      </x:c>
      <x:c r="B30" s="1" t="str">
        <x:v>Reagrupar ajuste coste CP</x:v>
      </x:c>
      <x:c r="C30" s="1" t="str">
        <x:v>1719 Ajustes coste LP</x:v>
      </x:c>
      <x:c r="D30" s="1" t="str">
        <x:v>5219 Ajustes coste CP</x:v>
      </x:c>
      <x:c r="E30" s="21" t="n">
        <x:f>IF('Cuadro'!A18="",0,'Cuadro'!N17)</x:f>
        <x:v>123.74879508122686</x:v>
      </x:c>
      <x:c r="F30" s="1" t="str">
        <x:v>Antes de distribuir el saldo al cierre</x:v>
      </x:c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2" customHeight="1">
      <x:c r="A31" s="20" t="n">
        <x:f>IF('Cuadro'!A18="","",'Cuadro'!A18)</x:f>
        <x:v>2028</x:v>
      </x:c>
      <x:c r="B31" s="1" t="str">
        <x:v>Imputación coste por TIE</x:v>
      </x:c>
      <x:c r="C31" s="1" t="str">
        <x:v>6624 Intereses otras emp.</x:v>
      </x:c>
      <x:c r="D31" s="1" t="str">
        <x:v>1719 Ajustes coste LP</x:v>
      </x:c>
      <x:c r="E31" s="21" t="n">
        <x:f>MAX(0,'Cuadro'!J18)</x:f>
        <x:v>201.34249621983463</x:v>
      </x:c>
      <x:c r="F31" s="1" t="str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2" customHeight="1">
      <x:c r="A32" s="20" t="n">
        <x:f>IF('Cuadro'!A18="","",'Cuadro'!A18)</x:f>
        <x:v>2028</x:v>
      </x:c>
      <x:c r="B32" s="1" t="str">
        <x:v>Ajuste inverso si procede</x:v>
      </x:c>
      <x:c r="C32" s="1" t="str">
        <x:v>1719 Ajustes coste LP</x:v>
      </x:c>
      <x:c r="D32" s="1" t="str">
        <x:v>6624 Intereses otras emp.</x:v>
      </x:c>
      <x:c r="E32" s="21" t="n">
        <x:f>MAX(0,-'Cuadro'!J18)</x:f>
        <x:v>0</x:v>
      </x:c>
      <x:c r="F32" s="1" t="str">
        <x:v>Solo si el ajuste calculado es negativo</x:v>
      </x:c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2" customHeight="1">
      <x:c r="A33" s="20" t="n">
        <x:f>IF('Cuadro'!A18="","",'Cuadro'!A18)</x:f>
        <x:v>2028</x:v>
      </x:c>
      <x:c r="B33" s="1" t="str">
        <x:v>Devolución de principal</x:v>
      </x:c>
      <x:c r="C33" s="1" t="str">
        <x:v>5210 Deuda CP</x:v>
      </x:c>
      <x:c r="D33" s="1" t="str">
        <x:v>572 Bancos</x:v>
      </x:c>
      <x:c r="E33" s="21" t="n">
        <x:f>'Cuadro'!E18</x:f>
        <x:v>20000</x:v>
      </x:c>
      <x:c r="F33" s="1" t="str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2" customHeight="1">
      <x:c r="A34" s="20" t="n">
        <x:f>IF('Cuadro'!A18="","",'Cuadro'!A18)</x:f>
        <x:v>2028</x:v>
      </x:c>
      <x:c r="B34" s="1" t="str">
        <x:v>Principal del próximo año</x:v>
      </x:c>
      <x:c r="C34" s="1" t="str">
        <x:v>1710 Deuda LP</x:v>
      </x:c>
      <x:c r="D34" s="1" t="str">
        <x:v>5210 Deuda CP</x:v>
      </x:c>
      <x:c r="E34" s="21" t="n">
        <x:f>'Cuadro'!M18</x:f>
        <x:v>20000</x:v>
      </x:c>
      <x:c r="F34" s="1" t="str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2" customHeight="1">
      <x:c r="A35" s="20" t="n">
        <x:f>IF('Cuadro'!A18="","",'Cuadro'!A18)</x:f>
        <x:v>2028</x:v>
      </x:c>
      <x:c r="B35" s="1" t="str">
        <x:v>Costes pendientes a CP</x:v>
      </x:c>
      <x:c r="C35" s="1" t="str">
        <x:v>5219 Ajustes coste CP</x:v>
      </x:c>
      <x:c r="D35" s="1" t="str">
        <x:v>1719 Ajustes coste LP</x:v>
      </x:c>
      <x:c r="E35" s="21" t="n">
        <x:f>'Cuadro'!N18</x:f>
        <x:v>104.35036979657525</x:v>
      </x:c>
      <x:c r="F35" s="1" t="str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2" customHeight="1">
      <x:c r="A36" s="20" t="n">
        <x:f>IF('Cuadro'!A19="","",'Cuadro'!A19)</x:f>
        <x:v>2029</x:v>
      </x:c>
      <x:c r="B36" s="1" t="str">
        <x:v>Devengo de intereses</x:v>
      </x:c>
      <x:c r="C36" s="1" t="str">
        <x:v>6624 Intereses otras emp.</x:v>
      </x:c>
      <x:c r="D36" s="1" t="str">
        <x:v>528 Intereses CP</x:v>
      </x:c>
      <x:c r="E36" s="21" t="n">
        <x:f>SUM('Cuadro'!C19:D19)</x:f>
        <x:v>2800.0000000000005</x:v>
      </x:c>
      <x:c r="F36" s="1" t="str"/>
      <x:c r="G36" s="1"/>
      <x:c r="H36" s="1"/>
      <x:c r="I36" s="1"/>
      <x:c r="J36" s="1"/>
      <x:c r="K36" s="1"/>
      <x:c r="L36" s="1"/>
      <x:c r="M36" s="1"/>
      <x:c r="N36" s="1"/>
      <x:c r="O36" s="1"/>
    </x:row>
    <x:row r="37" ht="22" customHeight="1">
      <x:c r="A37" s="20" t="n">
        <x:f>IF('Cuadro'!A19="","",'Cuadro'!A19)</x:f>
        <x:v>2029</x:v>
      </x:c>
      <x:c r="B37" s="1" t="str">
        <x:v>Pago de intereses</x:v>
      </x:c>
      <x:c r="C37" s="1" t="str">
        <x:v>528 Intereses CP</x:v>
      </x:c>
      <x:c r="D37" s="1" t="str">
        <x:v>572 Bancos</x:v>
      </x:c>
      <x:c r="E37" s="21" t="n">
        <x:f>SUM('Cuadro'!C19:D19)</x:f>
        <x:v>2800.0000000000005</x:v>
      </x:c>
      <x:c r="F37" s="1" t="str">
        <x:v>Pago en el mismo año: supuesto</x:v>
      </x:c>
      <x:c r="G37" s="1"/>
      <x:c r="H37" s="1"/>
      <x:c r="I37" s="1"/>
      <x:c r="J37" s="1"/>
      <x:c r="K37" s="1"/>
      <x:c r="L37" s="1"/>
      <x:c r="M37" s="1"/>
      <x:c r="N37" s="1"/>
      <x:c r="O37" s="1"/>
    </x:row>
    <x:row r="38" ht="22" customHeight="1">
      <x:c r="A38" s="20" t="n">
        <x:f>IF('Cuadro'!A19="","",'Cuadro'!A19)</x:f>
        <x:v>2029</x:v>
      </x:c>
      <x:c r="B38" s="1" t="str">
        <x:v>Reagrupar ajuste coste CP</x:v>
      </x:c>
      <x:c r="C38" s="1" t="str">
        <x:v>1719 Ajustes coste LP</x:v>
      </x:c>
      <x:c r="D38" s="1" t="str">
        <x:v>5219 Ajustes coste CP</x:v>
      </x:c>
      <x:c r="E38" s="21" t="n">
        <x:f>IF('Cuadro'!A19="",0,'Cuadro'!N18)</x:f>
        <x:v>104.35036979657525</x:v>
      </x:c>
      <x:c r="F38" s="1" t="str">
        <x:v>Antes de distribuir el saldo al cierre</x:v>
      </x:c>
      <x:c r="G38" s="1"/>
      <x:c r="H38" s="1"/>
      <x:c r="I38" s="1"/>
      <x:c r="J38" s="1"/>
      <x:c r="K38" s="1"/>
      <x:c r="L38" s="1"/>
      <x:c r="M38" s="1"/>
      <x:c r="N38" s="1"/>
      <x:c r="O38" s="1"/>
    </x:row>
    <x:row r="39" ht="22" customHeight="1">
      <x:c r="A39" s="20" t="n">
        <x:f>IF('Cuadro'!A19="","",'Cuadro'!A19)</x:f>
        <x:v>2029</x:v>
      </x:c>
      <x:c r="B39" s="1" t="str">
        <x:v>Imputación coste por TIE</x:v>
      </x:c>
      <x:c r="C39" s="1" t="str">
        <x:v>6624 Intereses otras emp.</x:v>
      </x:c>
      <x:c r="D39" s="1" t="str">
        <x:v>1719 Ajustes coste LP</x:v>
      </x:c>
      <x:c r="E39" s="21" t="n">
        <x:f>MAX(0,'Cuadro'!J19)</x:f>
        <x:v>163.9638866286232</x:v>
      </x:c>
      <x:c r="F39" s="1" t="str"/>
      <x:c r="G39" s="1"/>
      <x:c r="H39" s="1"/>
      <x:c r="I39" s="1"/>
      <x:c r="J39" s="1"/>
      <x:c r="K39" s="1"/>
      <x:c r="L39" s="1"/>
      <x:c r="M39" s="1"/>
      <x:c r="N39" s="1"/>
      <x:c r="O39" s="1"/>
    </x:row>
    <x:row r="40" ht="22" customHeight="1">
      <x:c r="A40" s="20" t="n">
        <x:f>IF('Cuadro'!A19="","",'Cuadro'!A19)</x:f>
        <x:v>2029</x:v>
      </x:c>
      <x:c r="B40" s="1" t="str">
        <x:v>Ajuste inverso si procede</x:v>
      </x:c>
      <x:c r="C40" s="1" t="str">
        <x:v>1719 Ajustes coste LP</x:v>
      </x:c>
      <x:c r="D40" s="1" t="str">
        <x:v>6624 Intereses otras emp.</x:v>
      </x:c>
      <x:c r="E40" s="21" t="n">
        <x:f>MAX(0,-'Cuadro'!J19)</x:f>
        <x:v>0</x:v>
      </x:c>
      <x:c r="F40" s="1" t="str">
        <x:v>Solo si el ajuste calculado es negativo</x:v>
      </x:c>
      <x:c r="G40" s="1"/>
      <x:c r="H40" s="1"/>
      <x:c r="I40" s="1"/>
      <x:c r="J40" s="1"/>
      <x:c r="K40" s="1"/>
      <x:c r="L40" s="1"/>
      <x:c r="M40" s="1"/>
      <x:c r="N40" s="1"/>
      <x:c r="O40" s="1"/>
    </x:row>
    <x:row r="41" ht="22" customHeight="1">
      <x:c r="A41" s="20" t="n">
        <x:f>IF('Cuadro'!A19="","",'Cuadro'!A19)</x:f>
        <x:v>2029</x:v>
      </x:c>
      <x:c r="B41" s="1" t="str">
        <x:v>Devolución de principal</x:v>
      </x:c>
      <x:c r="C41" s="1" t="str">
        <x:v>5210 Deuda CP</x:v>
      </x:c>
      <x:c r="D41" s="1" t="str">
        <x:v>572 Bancos</x:v>
      </x:c>
      <x:c r="E41" s="21" t="n">
        <x:f>'Cuadro'!E19</x:f>
        <x:v>20000</x:v>
      </x:c>
      <x:c r="F41" s="1" t="str"/>
      <x:c r="G41" s="1"/>
      <x:c r="H41" s="1"/>
      <x:c r="I41" s="1"/>
      <x:c r="J41" s="1"/>
      <x:c r="K41" s="1"/>
      <x:c r="L41" s="1"/>
      <x:c r="M41" s="1"/>
      <x:c r="N41" s="1"/>
      <x:c r="O41" s="1"/>
    </x:row>
    <x:row r="42" ht="22" customHeight="1">
      <x:c r="A42" s="20" t="n">
        <x:f>IF('Cuadro'!A19="","",'Cuadro'!A19)</x:f>
        <x:v>2029</x:v>
      </x:c>
      <x:c r="B42" s="1" t="str">
        <x:v>Principal del próximo año</x:v>
      </x:c>
      <x:c r="C42" s="1" t="str">
        <x:v>1710 Deuda LP</x:v>
      </x:c>
      <x:c r="D42" s="1" t="str">
        <x:v>5210 Deuda CP</x:v>
      </x:c>
      <x:c r="E42" s="21" t="n">
        <x:f>'Cuadro'!M19</x:f>
        <x:v>20000</x:v>
      </x:c>
      <x:c r="F42" s="1" t="str"/>
      <x:c r="G42" s="1"/>
      <x:c r="H42" s="1"/>
      <x:c r="I42" s="1"/>
      <x:c r="J42" s="1"/>
      <x:c r="K42" s="1"/>
      <x:c r="L42" s="1"/>
      <x:c r="M42" s="1"/>
      <x:c r="N42" s="1"/>
      <x:c r="O42" s="1"/>
    </x:row>
    <x:row r="43" ht="22" customHeight="1">
      <x:c r="A43" s="20" t="n">
        <x:f>IF('Cuadro'!A19="","",'Cuadro'!A19)</x:f>
        <x:v>2029</x:v>
      </x:c>
      <x:c r="B43" s="1" t="str">
        <x:v>Costes pendientes a CP</x:v>
      </x:c>
      <x:c r="C43" s="1" t="str">
        <x:v>5219 Ajustes coste CP</x:v>
      </x:c>
      <x:c r="D43" s="1" t="str">
        <x:v>1719 Ajustes coste LP</x:v>
      </x:c>
      <x:c r="E43" s="21" t="n">
        <x:f>'Cuadro'!N19</x:f>
        <x:v>84.47919751922504</x:v>
      </x:c>
      <x:c r="F43" s="1" t="str"/>
      <x:c r="G43" s="1"/>
      <x:c r="H43" s="1"/>
      <x:c r="I43" s="1"/>
      <x:c r="J43" s="1"/>
      <x:c r="K43" s="1"/>
      <x:c r="L43" s="1"/>
      <x:c r="M43" s="1"/>
      <x:c r="N43" s="1"/>
      <x:c r="O43" s="1"/>
    </x:row>
    <x:row r="44" ht="22" customHeight="1">
      <x:c r="A44" s="20" t="n">
        <x:f>IF('Cuadro'!A20="","",'Cuadro'!A20)</x:f>
        <x:v>2030</x:v>
      </x:c>
      <x:c r="B44" s="1" t="str">
        <x:v>Devengo de intereses</x:v>
      </x:c>
      <x:c r="C44" s="1" t="str">
        <x:v>6624 Intereses otras emp.</x:v>
      </x:c>
      <x:c r="D44" s="1" t="str">
        <x:v>528 Intereses CP</x:v>
      </x:c>
      <x:c r="E44" s="21" t="n">
        <x:f>SUM('Cuadro'!C20:D20)</x:f>
        <x:v>2100</x:v>
      </x:c>
      <x:c r="F44" s="1" t="str"/>
      <x:c r="G44" s="1"/>
      <x:c r="H44" s="1"/>
      <x:c r="I44" s="1"/>
      <x:c r="J44" s="1"/>
      <x:c r="K44" s="1"/>
      <x:c r="L44" s="1"/>
      <x:c r="M44" s="1"/>
      <x:c r="N44" s="1"/>
      <x:c r="O44" s="1"/>
    </x:row>
    <x:row r="45" ht="22" customHeight="1">
      <x:c r="A45" s="20" t="n">
        <x:f>IF('Cuadro'!A20="","",'Cuadro'!A20)</x:f>
        <x:v>2030</x:v>
      </x:c>
      <x:c r="B45" s="1" t="str">
        <x:v>Pago de intereses</x:v>
      </x:c>
      <x:c r="C45" s="1" t="str">
        <x:v>528 Intereses CP</x:v>
      </x:c>
      <x:c r="D45" s="1" t="str">
        <x:v>572 Bancos</x:v>
      </x:c>
      <x:c r="E45" s="21" t="n">
        <x:f>SUM('Cuadro'!C20:D20)</x:f>
        <x:v>2100</x:v>
      </x:c>
      <x:c r="F45" s="1" t="str">
        <x:v>Pago en el mismo año: supuesto</x:v>
      </x:c>
      <x:c r="G45" s="1"/>
      <x:c r="H45" s="1"/>
      <x:c r="I45" s="1"/>
      <x:c r="J45" s="1"/>
      <x:c r="K45" s="1"/>
      <x:c r="L45" s="1"/>
      <x:c r="M45" s="1"/>
      <x:c r="N45" s="1"/>
      <x:c r="O45" s="1"/>
    </x:row>
    <x:row r="46" ht="22" customHeight="1">
      <x:c r="A46" s="20" t="n">
        <x:f>IF('Cuadro'!A20="","",'Cuadro'!A20)</x:f>
        <x:v>2030</x:v>
      </x:c>
      <x:c r="B46" s="1" t="str">
        <x:v>Reagrupar ajuste coste CP</x:v>
      </x:c>
      <x:c r="C46" s="1" t="str">
        <x:v>1719 Ajustes coste LP</x:v>
      </x:c>
      <x:c r="D46" s="1" t="str">
        <x:v>5219 Ajustes coste CP</x:v>
      </x:c>
      <x:c r="E46" s="21" t="n">
        <x:f>IF('Cuadro'!A20="",0,'Cuadro'!N19)</x:f>
        <x:v>84.47919751922504</x:v>
      </x:c>
      <x:c r="F46" s="1" t="str">
        <x:v>Antes de distribuir el saldo al cierre</x:v>
      </x:c>
      <x:c r="G46" s="1"/>
      <x:c r="H46" s="1"/>
      <x:c r="I46" s="1"/>
      <x:c r="J46" s="1"/>
      <x:c r="K46" s="1"/>
      <x:c r="L46" s="1"/>
      <x:c r="M46" s="1"/>
      <x:c r="N46" s="1"/>
      <x:c r="O46" s="1"/>
    </x:row>
    <x:row r="47" ht="22" customHeight="1">
      <x:c r="A47" s="20" t="n">
        <x:f>IF('Cuadro'!A20="","",'Cuadro'!A20)</x:f>
        <x:v>2030</x:v>
      </x:c>
      <x:c r="B47" s="1" t="str">
        <x:v>Imputación coste por TIE</x:v>
      </x:c>
      <x:c r="C47" s="1" t="str">
        <x:v>6624 Intereses otras emp.</x:v>
      </x:c>
      <x:c r="D47" s="1" t="str">
        <x:v>1719 Ajustes coste LP</x:v>
      </x:c>
      <x:c r="E47" s="21" t="n">
        <x:f>MAX(0,'Cuadro'!J20)</x:f>
        <x:v>125.19315299245818</x:v>
      </x:c>
      <x:c r="F47" s="1" t="str"/>
      <x:c r="G47" s="1"/>
      <x:c r="H47" s="1"/>
      <x:c r="I47" s="1"/>
      <x:c r="J47" s="1"/>
      <x:c r="K47" s="1"/>
      <x:c r="L47" s="1"/>
      <x:c r="M47" s="1"/>
      <x:c r="N47" s="1"/>
      <x:c r="O47" s="1"/>
    </x:row>
    <x:row r="48" ht="22" customHeight="1">
      <x:c r="A48" s="20" t="n">
        <x:f>IF('Cuadro'!A20="","",'Cuadro'!A20)</x:f>
        <x:v>2030</x:v>
      </x:c>
      <x:c r="B48" s="1" t="str">
        <x:v>Ajuste inverso si procede</x:v>
      </x:c>
      <x:c r="C48" s="1" t="str">
        <x:v>1719 Ajustes coste LP</x:v>
      </x:c>
      <x:c r="D48" s="1" t="str">
        <x:v>6624 Intereses otras emp.</x:v>
      </x:c>
      <x:c r="E48" s="21" t="n">
        <x:f>MAX(0,-'Cuadro'!J20)</x:f>
        <x:v>0</x:v>
      </x:c>
      <x:c r="F48" s="1" t="str">
        <x:v>Solo si el ajuste calculado es negativo</x:v>
      </x:c>
      <x:c r="G48" s="1"/>
      <x:c r="H48" s="1"/>
      <x:c r="I48" s="1"/>
      <x:c r="J48" s="1"/>
      <x:c r="K48" s="1"/>
      <x:c r="L48" s="1"/>
      <x:c r="M48" s="1"/>
      <x:c r="N48" s="1"/>
      <x:c r="O48" s="1"/>
    </x:row>
    <x:row r="49" ht="22" customHeight="1">
      <x:c r="A49" s="20" t="n">
        <x:f>IF('Cuadro'!A20="","",'Cuadro'!A20)</x:f>
        <x:v>2030</x:v>
      </x:c>
      <x:c r="B49" s="1" t="str">
        <x:v>Devolución de principal</x:v>
      </x:c>
      <x:c r="C49" s="1" t="str">
        <x:v>5210 Deuda CP</x:v>
      </x:c>
      <x:c r="D49" s="1" t="str">
        <x:v>572 Bancos</x:v>
      </x:c>
      <x:c r="E49" s="21" t="n">
        <x:f>'Cuadro'!E20</x:f>
        <x:v>20000</x:v>
      </x:c>
      <x:c r="F49" s="1" t="str"/>
      <x:c r="G49" s="1"/>
      <x:c r="H49" s="1"/>
      <x:c r="I49" s="1"/>
      <x:c r="J49" s="1"/>
      <x:c r="K49" s="1"/>
      <x:c r="L49" s="1"/>
      <x:c r="M49" s="1"/>
      <x:c r="N49" s="1"/>
      <x:c r="O49" s="1"/>
    </x:row>
    <x:row r="50" ht="22" customHeight="1">
      <x:c r="A50" s="20" t="n">
        <x:f>IF('Cuadro'!A20="","",'Cuadro'!A20)</x:f>
        <x:v>2030</x:v>
      </x:c>
      <x:c r="B50" s="1" t="str">
        <x:v>Principal del próximo año</x:v>
      </x:c>
      <x:c r="C50" s="1" t="str">
        <x:v>1710 Deuda LP</x:v>
      </x:c>
      <x:c r="D50" s="1" t="str">
        <x:v>5210 Deuda CP</x:v>
      </x:c>
      <x:c r="E50" s="21" t="n">
        <x:f>'Cuadro'!M20</x:f>
        <x:v>20000</x:v>
      </x:c>
      <x:c r="F50" s="1" t="str"/>
      <x:c r="G50" s="1"/>
      <x:c r="H50" s="1"/>
      <x:c r="I50" s="1"/>
      <x:c r="J50" s="1"/>
      <x:c r="K50" s="1"/>
      <x:c r="L50" s="1"/>
      <x:c r="M50" s="1"/>
      <x:c r="N50" s="1"/>
      <x:c r="O50" s="1"/>
    </x:row>
    <x:row r="51" ht="22" customHeight="1">
      <x:c r="A51" s="20" t="n">
        <x:f>IF('Cuadro'!A20="","",'Cuadro'!A20)</x:f>
        <x:v>2030</x:v>
      </x:c>
      <x:c r="B51" s="1" t="str">
        <x:v>Costes pendientes a CP</x:v>
      </x:c>
      <x:c r="C51" s="1" t="str">
        <x:v>5219 Ajustes coste CP</x:v>
      </x:c>
      <x:c r="D51" s="1" t="str">
        <x:v>1719 Ajustes coste LP</x:v>
      </x:c>
      <x:c r="E51" s="21" t="n">
        <x:f>'Cuadro'!N20</x:f>
        <x:v>64.12221978261005</x:v>
      </x:c>
      <x:c r="F51" s="1" t="str"/>
      <x:c r="G51" s="1"/>
      <x:c r="H51" s="1"/>
      <x:c r="I51" s="1"/>
      <x:c r="J51" s="1"/>
      <x:c r="K51" s="1"/>
      <x:c r="L51" s="1"/>
      <x:c r="M51" s="1"/>
      <x:c r="N51" s="1"/>
      <x:c r="O51" s="1"/>
    </x:row>
    <x:row r="52" ht="22" customHeight="1">
      <x:c r="A52" s="20" t="n">
        <x:f>IF('Cuadro'!A21="","",'Cuadro'!A21)</x:f>
        <x:v>2031</x:v>
      </x:c>
      <x:c r="B52" s="1" t="str">
        <x:v>Devengo de intereses</x:v>
      </x:c>
      <x:c r="C52" s="1" t="str">
        <x:v>6624 Intereses otras emp.</x:v>
      </x:c>
      <x:c r="D52" s="1" t="str">
        <x:v>528 Intereses CP</x:v>
      </x:c>
      <x:c r="E52" s="21" t="n">
        <x:f>SUM('Cuadro'!C21:D21)</x:f>
        <x:v>1400.0000000000002</x:v>
      </x:c>
      <x:c r="F52" s="1" t="str"/>
      <x:c r="G52" s="1"/>
      <x:c r="H52" s="1"/>
      <x:c r="I52" s="1"/>
      <x:c r="J52" s="1"/>
      <x:c r="K52" s="1"/>
      <x:c r="L52" s="1"/>
      <x:c r="M52" s="1"/>
      <x:c r="N52" s="1"/>
      <x:c r="O52" s="1"/>
    </x:row>
    <x:row r="53" ht="22" customHeight="1">
      <x:c r="A53" s="20" t="n">
        <x:f>IF('Cuadro'!A21="","",'Cuadro'!A21)</x:f>
        <x:v>2031</x:v>
      </x:c>
      <x:c r="B53" s="1" t="str">
        <x:v>Pago de intereses</x:v>
      </x:c>
      <x:c r="C53" s="1" t="str">
        <x:v>528 Intereses CP</x:v>
      </x:c>
      <x:c r="D53" s="1" t="str">
        <x:v>572 Bancos</x:v>
      </x:c>
      <x:c r="E53" s="21" t="n">
        <x:f>SUM('Cuadro'!C21:D21)</x:f>
        <x:v>1400.0000000000002</x:v>
      </x:c>
      <x:c r="F53" s="1" t="str">
        <x:v>Pago en el mismo año: supuesto</x:v>
      </x:c>
      <x:c r="G53" s="1"/>
      <x:c r="H53" s="1"/>
      <x:c r="I53" s="1"/>
      <x:c r="J53" s="1"/>
      <x:c r="K53" s="1"/>
      <x:c r="L53" s="1"/>
      <x:c r="M53" s="1"/>
      <x:c r="N53" s="1"/>
      <x:c r="O53" s="1"/>
    </x:row>
    <x:row r="54" ht="22" customHeight="1">
      <x:c r="A54" s="20" t="n">
        <x:f>IF('Cuadro'!A21="","",'Cuadro'!A21)</x:f>
        <x:v>2031</x:v>
      </x:c>
      <x:c r="B54" s="1" t="str">
        <x:v>Reagrupar ajuste coste CP</x:v>
      </x:c>
      <x:c r="C54" s="1" t="str">
        <x:v>1719 Ajustes coste LP</x:v>
      </x:c>
      <x:c r="D54" s="1" t="str">
        <x:v>5219 Ajustes coste CP</x:v>
      </x:c>
      <x:c r="E54" s="21" t="n">
        <x:f>IF('Cuadro'!A21="",0,'Cuadro'!N20)</x:f>
        <x:v>64.12221978261005</x:v>
      </x:c>
      <x:c r="F54" s="1" t="str">
        <x:v>Antes de distribuir el saldo al cierre</x:v>
      </x:c>
      <x:c r="G54" s="1"/>
      <x:c r="H54" s="1"/>
      <x:c r="I54" s="1"/>
      <x:c r="J54" s="1"/>
      <x:c r="K54" s="1"/>
      <x:c r="L54" s="1"/>
      <x:c r="M54" s="1"/>
      <x:c r="N54" s="1"/>
      <x:c r="O54" s="1"/>
    </x:row>
    <x:row r="55" ht="22" customHeight="1">
      <x:c r="A55" s="20" t="n">
        <x:f>IF('Cuadro'!A21="","",'Cuadro'!A21)</x:f>
        <x:v>2031</x:v>
      </x:c>
      <x:c r="B55" s="1" t="str">
        <x:v>Imputación coste por TIE</x:v>
      </x:c>
      <x:c r="C55" s="1" t="str">
        <x:v>6624 Intereses otras emp.</x:v>
      </x:c>
      <x:c r="D55" s="1" t="str">
        <x:v>1719 Ajustes coste LP</x:v>
      </x:c>
      <x:c r="E55" s="21" t="n">
        <x:f>MAX(0,'Cuadro'!J21)</x:f>
        <x:v>84.9784472255551</x:v>
      </x:c>
      <x:c r="F55" s="1" t="str"/>
      <x:c r="G55" s="1"/>
      <x:c r="H55" s="1"/>
      <x:c r="I55" s="1"/>
      <x:c r="J55" s="1"/>
      <x:c r="K55" s="1"/>
      <x:c r="L55" s="1"/>
      <x:c r="M55" s="1"/>
      <x:c r="N55" s="1"/>
      <x:c r="O55" s="1"/>
    </x:row>
    <x:row r="56" ht="22" customHeight="1">
      <x:c r="A56" s="20" t="n">
        <x:f>IF('Cuadro'!A21="","",'Cuadro'!A21)</x:f>
        <x:v>2031</x:v>
      </x:c>
      <x:c r="B56" s="1" t="str">
        <x:v>Ajuste inverso si procede</x:v>
      </x:c>
      <x:c r="C56" s="1" t="str">
        <x:v>1719 Ajustes coste LP</x:v>
      </x:c>
      <x:c r="D56" s="1" t="str">
        <x:v>6624 Intereses otras emp.</x:v>
      </x:c>
      <x:c r="E56" s="21" t="n">
        <x:f>MAX(0,-'Cuadro'!J21)</x:f>
        <x:v>0</x:v>
      </x:c>
      <x:c r="F56" s="1" t="str">
        <x:v>Solo si el ajuste calculado es negativo</x:v>
      </x:c>
      <x:c r="G56" s="1"/>
      <x:c r="H56" s="1"/>
      <x:c r="I56" s="1"/>
      <x:c r="J56" s="1"/>
      <x:c r="K56" s="1"/>
      <x:c r="L56" s="1"/>
      <x:c r="M56" s="1"/>
      <x:c r="N56" s="1"/>
      <x:c r="O56" s="1"/>
    </x:row>
    <x:row r="57" ht="22" customHeight="1">
      <x:c r="A57" s="20" t="n">
        <x:f>IF('Cuadro'!A21="","",'Cuadro'!A21)</x:f>
        <x:v>2031</x:v>
      </x:c>
      <x:c r="B57" s="1" t="str">
        <x:v>Devolución de principal</x:v>
      </x:c>
      <x:c r="C57" s="1" t="str">
        <x:v>5210 Deuda CP</x:v>
      </x:c>
      <x:c r="D57" s="1" t="str">
        <x:v>572 Bancos</x:v>
      </x:c>
      <x:c r="E57" s="21" t="n">
        <x:f>'Cuadro'!E21</x:f>
        <x:v>20000</x:v>
      </x:c>
      <x:c r="F57" s="1" t="str"/>
      <x:c r="G57" s="1"/>
      <x:c r="H57" s="1"/>
      <x:c r="I57" s="1"/>
      <x:c r="J57" s="1"/>
      <x:c r="K57" s="1"/>
      <x:c r="L57" s="1"/>
      <x:c r="M57" s="1"/>
      <x:c r="N57" s="1"/>
      <x:c r="O57" s="1"/>
    </x:row>
    <x:row r="58" ht="22" customHeight="1">
      <x:c r="A58" s="20" t="n">
        <x:f>IF('Cuadro'!A21="","",'Cuadro'!A21)</x:f>
        <x:v>2031</x:v>
      </x:c>
      <x:c r="B58" s="1" t="str">
        <x:v>Principal del próximo año</x:v>
      </x:c>
      <x:c r="C58" s="1" t="str">
        <x:v>1710 Deuda LP</x:v>
      </x:c>
      <x:c r="D58" s="1" t="str">
        <x:v>5210 Deuda CP</x:v>
      </x:c>
      <x:c r="E58" s="21" t="n">
        <x:f>'Cuadro'!M21</x:f>
        <x:v>20000</x:v>
      </x:c>
      <x:c r="F58" s="1" t="str"/>
      <x:c r="G58" s="1"/>
      <x:c r="H58" s="1"/>
      <x:c r="I58" s="1"/>
      <x:c r="J58" s="1"/>
      <x:c r="K58" s="1"/>
      <x:c r="L58" s="1"/>
      <x:c r="M58" s="1"/>
      <x:c r="N58" s="1"/>
      <x:c r="O58" s="1"/>
    </x:row>
    <x:row r="59" ht="22" customHeight="1">
      <x:c r="A59" s="20" t="n">
        <x:f>IF('Cuadro'!A21="","",'Cuadro'!A21)</x:f>
        <x:v>2031</x:v>
      </x:c>
      <x:c r="B59" s="1" t="str">
        <x:v>Costes pendientes a CP</x:v>
      </x:c>
      <x:c r="C59" s="1" t="str">
        <x:v>5219 Ajustes coste CP</x:v>
      </x:c>
      <x:c r="D59" s="1" t="str">
        <x:v>1719 Ajustes coste LP</x:v>
      </x:c>
      <x:c r="E59" s="21" t="n">
        <x:f>'Cuadro'!N21</x:f>
        <x:v>43.26599233966408</x:v>
      </x:c>
      <x:c r="F59" s="1" t="str"/>
      <x:c r="G59" s="1"/>
      <x:c r="H59" s="1"/>
      <x:c r="I59" s="1"/>
      <x:c r="J59" s="1"/>
      <x:c r="K59" s="1"/>
      <x:c r="L59" s="1"/>
      <x:c r="M59" s="1"/>
      <x:c r="N59" s="1"/>
      <x:c r="O59" s="1"/>
    </x:row>
    <x:row r="60" ht="22" customHeight="1">
      <x:c r="A60" s="20" t="n">
        <x:f>IF('Cuadro'!A22="","",'Cuadro'!A22)</x:f>
        <x:v>2032</x:v>
      </x:c>
      <x:c r="B60" s="1" t="str">
        <x:v>Devengo de intereses</x:v>
      </x:c>
      <x:c r="C60" s="1" t="str">
        <x:v>6624 Intereses otras emp.</x:v>
      </x:c>
      <x:c r="D60" s="1" t="str">
        <x:v>528 Intereses CP</x:v>
      </x:c>
      <x:c r="E60" s="21" t="n">
        <x:f>SUM('Cuadro'!C22:D22)</x:f>
        <x:v>700.0000000000001</x:v>
      </x:c>
      <x:c r="F60" s="1" t="str"/>
      <x:c r="G60" s="1"/>
      <x:c r="H60" s="1"/>
      <x:c r="I60" s="1"/>
      <x:c r="J60" s="1"/>
      <x:c r="K60" s="1"/>
      <x:c r="L60" s="1"/>
      <x:c r="M60" s="1"/>
      <x:c r="N60" s="1"/>
      <x:c r="O60" s="1"/>
    </x:row>
    <x:row r="61" ht="22" customHeight="1">
      <x:c r="A61" s="20" t="n">
        <x:f>IF('Cuadro'!A22="","",'Cuadro'!A22)</x:f>
        <x:v>2032</x:v>
      </x:c>
      <x:c r="B61" s="1" t="str">
        <x:v>Pago de intereses</x:v>
      </x:c>
      <x:c r="C61" s="1" t="str">
        <x:v>528 Intereses CP</x:v>
      </x:c>
      <x:c r="D61" s="1" t="str">
        <x:v>572 Bancos</x:v>
      </x:c>
      <x:c r="E61" s="21" t="n">
        <x:f>SUM('Cuadro'!C22:D22)</x:f>
        <x:v>700.0000000000001</x:v>
      </x:c>
      <x:c r="F61" s="1" t="str">
        <x:v>Pago en el mismo año: supuesto</x:v>
      </x:c>
      <x:c r="G61" s="1"/>
      <x:c r="H61" s="1"/>
      <x:c r="I61" s="1"/>
      <x:c r="J61" s="1"/>
      <x:c r="K61" s="1"/>
      <x:c r="L61" s="1"/>
      <x:c r="M61" s="1"/>
      <x:c r="N61" s="1"/>
      <x:c r="O61" s="1"/>
    </x:row>
    <x:row r="62" ht="22" customHeight="1">
      <x:c r="A62" s="20" t="n">
        <x:f>IF('Cuadro'!A22="","",'Cuadro'!A22)</x:f>
        <x:v>2032</x:v>
      </x:c>
      <x:c r="B62" s="1" t="str">
        <x:v>Reagrupar ajuste coste CP</x:v>
      </x:c>
      <x:c r="C62" s="1" t="str">
        <x:v>1719 Ajustes coste LP</x:v>
      </x:c>
      <x:c r="D62" s="1" t="str">
        <x:v>5219 Ajustes coste CP</x:v>
      </x:c>
      <x:c r="E62" s="21" t="n">
        <x:f>IF('Cuadro'!A22="",0,'Cuadro'!N21)</x:f>
        <x:v>43.26599233966408</x:v>
      </x:c>
      <x:c r="F62" s="1" t="str">
        <x:v>Antes de distribuir el saldo al cierre</x:v>
      </x:c>
      <x:c r="G62" s="1"/>
      <x:c r="H62" s="1"/>
      <x:c r="I62" s="1"/>
      <x:c r="J62" s="1"/>
      <x:c r="K62" s="1"/>
      <x:c r="L62" s="1"/>
      <x:c r="M62" s="1"/>
      <x:c r="N62" s="1"/>
      <x:c r="O62" s="1"/>
    </x:row>
    <x:row r="63" ht="22" customHeight="1">
      <x:c r="A63" s="20" t="n">
        <x:f>IF('Cuadro'!A22="","",'Cuadro'!A22)</x:f>
        <x:v>2032</x:v>
      </x:c>
      <x:c r="B63" s="1" t="str">
        <x:v>Imputación coste por TIE</x:v>
      </x:c>
      <x:c r="C63" s="1" t="str">
        <x:v>6624 Intereses otras emp.</x:v>
      </x:c>
      <x:c r="D63" s="1" t="str">
        <x:v>1719 Ajustes coste LP</x:v>
      </x:c>
      <x:c r="E63" s="21" t="n">
        <x:f>MAX(0,'Cuadro'!J22)</x:f>
        <x:v>43.26599021880929</x:v>
      </x:c>
      <x:c r="F63" s="1" t="str"/>
      <x:c r="G63" s="1"/>
      <x:c r="H63" s="1"/>
      <x:c r="I63" s="1"/>
      <x:c r="J63" s="1"/>
      <x:c r="K63" s="1"/>
      <x:c r="L63" s="1"/>
      <x:c r="M63" s="1"/>
      <x:c r="N63" s="1"/>
      <x:c r="O63" s="1"/>
    </x:row>
    <x:row r="64" ht="22" customHeight="1">
      <x:c r="A64" s="20" t="n">
        <x:f>IF('Cuadro'!A22="","",'Cuadro'!A22)</x:f>
        <x:v>2032</x:v>
      </x:c>
      <x:c r="B64" s="1" t="str">
        <x:v>Ajuste inverso si procede</x:v>
      </x:c>
      <x:c r="C64" s="1" t="str">
        <x:v>1719 Ajustes coste LP</x:v>
      </x:c>
      <x:c r="D64" s="1" t="str">
        <x:v>6624 Intereses otras emp.</x:v>
      </x:c>
      <x:c r="E64" s="21" t="n">
        <x:f>MAX(0,-'Cuadro'!J22)</x:f>
        <x:v>0</x:v>
      </x:c>
      <x:c r="F64" s="1" t="str">
        <x:v>Solo si el ajuste calculado es negativo</x:v>
      </x:c>
      <x:c r="G64" s="1"/>
      <x:c r="H64" s="1"/>
      <x:c r="I64" s="1"/>
      <x:c r="J64" s="1"/>
      <x:c r="K64" s="1"/>
      <x:c r="L64" s="1"/>
      <x:c r="M64" s="1"/>
      <x:c r="N64" s="1"/>
      <x:c r="O64" s="1"/>
    </x:row>
    <x:row r="65" ht="22" customHeight="1">
      <x:c r="A65" s="20" t="n">
        <x:f>IF('Cuadro'!A22="","",'Cuadro'!A22)</x:f>
        <x:v>2032</x:v>
      </x:c>
      <x:c r="B65" s="1" t="str">
        <x:v>Devolución de principal</x:v>
      </x:c>
      <x:c r="C65" s="1" t="str">
        <x:v>5210 Deuda CP</x:v>
      </x:c>
      <x:c r="D65" s="1" t="str">
        <x:v>572 Bancos</x:v>
      </x:c>
      <x:c r="E65" s="21" t="n">
        <x:f>'Cuadro'!E22</x:f>
        <x:v>20000</x:v>
      </x:c>
      <x:c r="F65" s="1" t="str"/>
      <x:c r="G65" s="1"/>
      <x:c r="H65" s="1"/>
      <x:c r="I65" s="1"/>
      <x:c r="J65" s="1"/>
      <x:c r="K65" s="1"/>
      <x:c r="L65" s="1"/>
      <x:c r="M65" s="1"/>
      <x:c r="N65" s="1"/>
      <x:c r="O65" s="1"/>
    </x:row>
    <x:row r="66" ht="22" customHeight="1">
      <x:c r="A66" s="20" t="n">
        <x:f>IF('Cuadro'!A22="","",'Cuadro'!A22)</x:f>
        <x:v>2032</x:v>
      </x:c>
      <x:c r="B66" s="1" t="str">
        <x:v>Principal del próximo año</x:v>
      </x:c>
      <x:c r="C66" s="1" t="str">
        <x:v>1710 Deuda LP</x:v>
      </x:c>
      <x:c r="D66" s="1" t="str">
        <x:v>5210 Deuda CP</x:v>
      </x:c>
      <x:c r="E66" s="21" t="n">
        <x:f>'Cuadro'!M22</x:f>
        <x:v>0</x:v>
      </x:c>
      <x:c r="F66" s="1" t="str"/>
      <x:c r="G66" s="1"/>
      <x:c r="H66" s="1"/>
      <x:c r="I66" s="1"/>
      <x:c r="J66" s="1"/>
      <x:c r="K66" s="1"/>
      <x:c r="L66" s="1"/>
      <x:c r="M66" s="1"/>
      <x:c r="N66" s="1"/>
      <x:c r="O66" s="1"/>
    </x:row>
    <x:row r="67" ht="22" customHeight="1">
      <x:c r="A67" s="20" t="n">
        <x:f>IF('Cuadro'!A22="","",'Cuadro'!A22)</x:f>
        <x:v>2032</x:v>
      </x:c>
      <x:c r="B67" s="1" t="str">
        <x:v>Costes pendientes a CP</x:v>
      </x:c>
      <x:c r="C67" s="1" t="str">
        <x:v>5219 Ajustes coste CP</x:v>
      </x:c>
      <x:c r="D67" s="1" t="str">
        <x:v>1719 Ajustes coste LP</x:v>
      </x:c>
      <x:c r="E67" s="21" t="n">
        <x:f>'Cuadro'!N22</x:f>
        <x:v>0</x:v>
      </x:c>
      <x:c r="F67" s="1" t="str"/>
      <x:c r="G67" s="1"/>
      <x:c r="H67" s="1"/>
      <x:c r="I67" s="1"/>
      <x:c r="J67" s="1"/>
      <x:c r="K67" s="1"/>
      <x:c r="L67" s="1"/>
      <x:c r="M67" s="1"/>
      <x:c r="N67" s="1"/>
      <x:c r="O67" s="1"/>
    </x:row>
    <x:row r="68" ht="22" customHeight="1">
      <x:c r="A68" s="20" t="str">
        <x:f>IF('Cuadro'!A23="","",'Cuadro'!A23)</x:f>
      </x:c>
      <x:c r="B68" s="1" t="str">
        <x:v>Devengo de intereses</x:v>
      </x:c>
      <x:c r="C68" s="1" t="str">
        <x:v>6624 Intereses otras emp.</x:v>
      </x:c>
      <x:c r="D68" s="1" t="str">
        <x:v>528 Intereses CP</x:v>
      </x:c>
      <x:c r="E68" s="21" t="n">
        <x:f>SUM('Cuadro'!C23:D23)</x:f>
        <x:v>0</x:v>
      </x:c>
      <x:c r="F68" s="1" t="str"/>
      <x:c r="G68" s="1"/>
      <x:c r="H68" s="1"/>
      <x:c r="I68" s="1"/>
      <x:c r="J68" s="1"/>
      <x:c r="K68" s="1"/>
      <x:c r="L68" s="1"/>
      <x:c r="M68" s="1"/>
      <x:c r="N68" s="1"/>
      <x:c r="O68" s="1"/>
    </x:row>
    <x:row r="69" ht="22" customHeight="1">
      <x:c r="A69" s="20" t="str">
        <x:f>IF('Cuadro'!A23="","",'Cuadro'!A23)</x:f>
      </x:c>
      <x:c r="B69" s="1" t="str">
        <x:v>Pago de intereses</x:v>
      </x:c>
      <x:c r="C69" s="1" t="str">
        <x:v>528 Intereses CP</x:v>
      </x:c>
      <x:c r="D69" s="1" t="str">
        <x:v>572 Bancos</x:v>
      </x:c>
      <x:c r="E69" s="21" t="n">
        <x:f>SUM('Cuadro'!C23:D23)</x:f>
        <x:v>0</x:v>
      </x:c>
      <x:c r="F69" s="1" t="str">
        <x:v>Pago en el mismo año: supuesto</x:v>
      </x:c>
      <x:c r="G69" s="1"/>
      <x:c r="H69" s="1"/>
      <x:c r="I69" s="1"/>
      <x:c r="J69" s="1"/>
      <x:c r="K69" s="1"/>
      <x:c r="L69" s="1"/>
      <x:c r="M69" s="1"/>
      <x:c r="N69" s="1"/>
      <x:c r="O69" s="1"/>
    </x:row>
    <x:row r="70" ht="22" customHeight="1">
      <x:c r="A70" s="20" t="str">
        <x:f>IF('Cuadro'!A23="","",'Cuadro'!A23)</x:f>
      </x:c>
      <x:c r="B70" s="1" t="str">
        <x:v>Reagrupar ajuste coste CP</x:v>
      </x:c>
      <x:c r="C70" s="1" t="str">
        <x:v>1719 Ajustes coste LP</x:v>
      </x:c>
      <x:c r="D70" s="1" t="str">
        <x:v>5219 Ajustes coste CP</x:v>
      </x:c>
      <x:c r="E70" s="21" t="n">
        <x:f>IF('Cuadro'!A23="",0,'Cuadro'!N22)</x:f>
        <x:v>0</x:v>
      </x:c>
      <x:c r="F70" s="1" t="str">
        <x:v>Antes de distribuir el saldo al cierre</x:v>
      </x:c>
      <x:c r="G70" s="1"/>
      <x:c r="H70" s="1"/>
      <x:c r="I70" s="1"/>
      <x:c r="J70" s="1"/>
      <x:c r="K70" s="1"/>
      <x:c r="L70" s="1"/>
      <x:c r="M70" s="1"/>
      <x:c r="N70" s="1"/>
      <x:c r="O70" s="1"/>
    </x:row>
    <x:row r="71" ht="22" customHeight="1">
      <x:c r="A71" s="20" t="str">
        <x:f>IF('Cuadro'!A23="","",'Cuadro'!A23)</x:f>
      </x:c>
      <x:c r="B71" s="1" t="str">
        <x:v>Imputación coste por TIE</x:v>
      </x:c>
      <x:c r="C71" s="1" t="str">
        <x:v>6624 Intereses otras emp.</x:v>
      </x:c>
      <x:c r="D71" s="1" t="str">
        <x:v>1719 Ajustes coste LP</x:v>
      </x:c>
      <x:c r="E71" s="21" t="n">
        <x:f>MAX(0,'Cuadro'!J23)</x:f>
        <x:v>0</x:v>
      </x:c>
      <x:c r="F71" s="1" t="str"/>
      <x:c r="G71" s="1"/>
      <x:c r="H71" s="1"/>
      <x:c r="I71" s="1"/>
      <x:c r="J71" s="1"/>
      <x:c r="K71" s="1"/>
      <x:c r="L71" s="1"/>
      <x:c r="M71" s="1"/>
      <x:c r="N71" s="1"/>
      <x:c r="O71" s="1"/>
    </x:row>
    <x:row r="72" ht="22" customHeight="1">
      <x:c r="A72" s="20" t="str">
        <x:f>IF('Cuadro'!A23="","",'Cuadro'!A23)</x:f>
      </x:c>
      <x:c r="B72" s="1" t="str">
        <x:v>Ajuste inverso si procede</x:v>
      </x:c>
      <x:c r="C72" s="1" t="str">
        <x:v>1719 Ajustes coste LP</x:v>
      </x:c>
      <x:c r="D72" s="1" t="str">
        <x:v>6624 Intereses otras emp.</x:v>
      </x:c>
      <x:c r="E72" s="21" t="n">
        <x:f>MAX(0,-'Cuadro'!J23)</x:f>
        <x:v>0</x:v>
      </x:c>
      <x:c r="F72" s="1" t="str">
        <x:v>Solo si el ajuste calculado es negativo</x:v>
      </x:c>
      <x:c r="G72" s="1"/>
      <x:c r="H72" s="1"/>
      <x:c r="I72" s="1"/>
      <x:c r="J72" s="1"/>
      <x:c r="K72" s="1"/>
      <x:c r="L72" s="1"/>
      <x:c r="M72" s="1"/>
      <x:c r="N72" s="1"/>
      <x:c r="O72" s="1"/>
    </x:row>
    <x:row r="73" ht="22" customHeight="1">
      <x:c r="A73" s="20" t="str">
        <x:f>IF('Cuadro'!A23="","",'Cuadro'!A23)</x:f>
      </x:c>
      <x:c r="B73" s="1" t="str">
        <x:v>Devolución de principal</x:v>
      </x:c>
      <x:c r="C73" s="1" t="str">
        <x:v>5210 Deuda CP</x:v>
      </x:c>
      <x:c r="D73" s="1" t="str">
        <x:v>572 Bancos</x:v>
      </x:c>
      <x:c r="E73" s="21" t="n">
        <x:f>'Cuadro'!E23</x:f>
        <x:v>0</x:v>
      </x:c>
      <x:c r="F73" s="1" t="str"/>
      <x:c r="G73" s="1"/>
      <x:c r="H73" s="1"/>
      <x:c r="I73" s="1"/>
      <x:c r="J73" s="1"/>
      <x:c r="K73" s="1"/>
      <x:c r="L73" s="1"/>
      <x:c r="M73" s="1"/>
      <x:c r="N73" s="1"/>
      <x:c r="O73" s="1"/>
    </x:row>
    <x:row r="74" ht="22" customHeight="1">
      <x:c r="A74" s="20" t="str">
        <x:f>IF('Cuadro'!A23="","",'Cuadro'!A23)</x:f>
      </x:c>
      <x:c r="B74" s="1" t="str">
        <x:v>Principal del próximo año</x:v>
      </x:c>
      <x:c r="C74" s="1" t="str">
        <x:v>1710 Deuda LP</x:v>
      </x:c>
      <x:c r="D74" s="1" t="str">
        <x:v>5210 Deuda CP</x:v>
      </x:c>
      <x:c r="E74" s="21" t="n">
        <x:f>'Cuadro'!M23</x:f>
        <x:v>0</x:v>
      </x:c>
      <x:c r="F74" s="1" t="str"/>
      <x:c r="G74" s="1"/>
      <x:c r="H74" s="1"/>
      <x:c r="I74" s="1"/>
      <x:c r="J74" s="1"/>
      <x:c r="K74" s="1"/>
      <x:c r="L74" s="1"/>
      <x:c r="M74" s="1"/>
      <x:c r="N74" s="1"/>
      <x:c r="O74" s="1"/>
    </x:row>
    <x:row r="75" ht="22" customHeight="1">
      <x:c r="A75" s="20" t="str">
        <x:f>IF('Cuadro'!A23="","",'Cuadro'!A23)</x:f>
      </x:c>
      <x:c r="B75" s="1" t="str">
        <x:v>Costes pendientes a CP</x:v>
      </x:c>
      <x:c r="C75" s="1" t="str">
        <x:v>5219 Ajustes coste CP</x:v>
      </x:c>
      <x:c r="D75" s="1" t="str">
        <x:v>1719 Ajustes coste LP</x:v>
      </x:c>
      <x:c r="E75" s="21" t="n">
        <x:f>'Cuadro'!N23</x:f>
        <x:v>0</x:v>
      </x:c>
      <x:c r="F75" s="1" t="str"/>
      <x:c r="G75" s="1"/>
      <x:c r="H75" s="1"/>
      <x:c r="I75" s="1"/>
      <x:c r="J75" s="1"/>
      <x:c r="K75" s="1"/>
      <x:c r="L75" s="1"/>
      <x:c r="M75" s="1"/>
      <x:c r="N75" s="1"/>
      <x:c r="O75" s="1"/>
    </x:row>
    <x:row r="76" ht="22" customHeight="1">
      <x:c r="A76" s="20" t="str">
        <x:f>IF('Cuadro'!A24="","",'Cuadro'!A24)</x:f>
      </x:c>
      <x:c r="B76" s="1" t="str">
        <x:v>Devengo de intereses</x:v>
      </x:c>
      <x:c r="C76" s="1" t="str">
        <x:v>6624 Intereses otras emp.</x:v>
      </x:c>
      <x:c r="D76" s="1" t="str">
        <x:v>528 Intereses CP</x:v>
      </x:c>
      <x:c r="E76" s="21" t="n">
        <x:f>SUM('Cuadro'!C24:D24)</x:f>
        <x:v>0</x:v>
      </x:c>
      <x:c r="F76" s="1" t="str"/>
      <x:c r="G76" s="1"/>
      <x:c r="H76" s="1"/>
      <x:c r="I76" s="1"/>
      <x:c r="J76" s="1"/>
      <x:c r="K76" s="1"/>
      <x:c r="L76" s="1"/>
      <x:c r="M76" s="1"/>
      <x:c r="N76" s="1"/>
      <x:c r="O76" s="1"/>
    </x:row>
    <x:row r="77" ht="22" customHeight="1">
      <x:c r="A77" s="20" t="str">
        <x:f>IF('Cuadro'!A24="","",'Cuadro'!A24)</x:f>
      </x:c>
      <x:c r="B77" s="1" t="str">
        <x:v>Pago de intereses</x:v>
      </x:c>
      <x:c r="C77" s="1" t="str">
        <x:v>528 Intereses CP</x:v>
      </x:c>
      <x:c r="D77" s="1" t="str">
        <x:v>572 Bancos</x:v>
      </x:c>
      <x:c r="E77" s="21" t="n">
        <x:f>SUM('Cuadro'!C24:D24)</x:f>
        <x:v>0</x:v>
      </x:c>
      <x:c r="F77" s="1" t="str">
        <x:v>Pago en el mismo año: supuesto</x:v>
      </x:c>
      <x:c r="G77" s="1"/>
      <x:c r="H77" s="1"/>
      <x:c r="I77" s="1"/>
      <x:c r="J77" s="1"/>
      <x:c r="K77" s="1"/>
      <x:c r="L77" s="1"/>
      <x:c r="M77" s="1"/>
      <x:c r="N77" s="1"/>
      <x:c r="O77" s="1"/>
    </x:row>
    <x:row r="78" ht="22" customHeight="1">
      <x:c r="A78" s="20" t="str">
        <x:f>IF('Cuadro'!A24="","",'Cuadro'!A24)</x:f>
      </x:c>
      <x:c r="B78" s="1" t="str">
        <x:v>Reagrupar ajuste coste CP</x:v>
      </x:c>
      <x:c r="C78" s="1" t="str">
        <x:v>1719 Ajustes coste LP</x:v>
      </x:c>
      <x:c r="D78" s="1" t="str">
        <x:v>5219 Ajustes coste CP</x:v>
      </x:c>
      <x:c r="E78" s="21" t="n">
        <x:f>IF('Cuadro'!A24="",0,'Cuadro'!N23)</x:f>
        <x:v>0</x:v>
      </x:c>
      <x:c r="F78" s="1" t="str">
        <x:v>Antes de distribuir el saldo al cierre</x:v>
      </x:c>
      <x:c r="G78" s="1"/>
      <x:c r="H78" s="1"/>
      <x:c r="I78" s="1"/>
      <x:c r="J78" s="1"/>
      <x:c r="K78" s="1"/>
      <x:c r="L78" s="1"/>
      <x:c r="M78" s="1"/>
      <x:c r="N78" s="1"/>
      <x:c r="O78" s="1"/>
    </x:row>
    <x:row r="79" ht="22" customHeight="1">
      <x:c r="A79" s="20" t="str">
        <x:f>IF('Cuadro'!A24="","",'Cuadro'!A24)</x:f>
      </x:c>
      <x:c r="B79" s="1" t="str">
        <x:v>Imputación coste por TIE</x:v>
      </x:c>
      <x:c r="C79" s="1" t="str">
        <x:v>6624 Intereses otras emp.</x:v>
      </x:c>
      <x:c r="D79" s="1" t="str">
        <x:v>1719 Ajustes coste LP</x:v>
      </x:c>
      <x:c r="E79" s="21" t="n">
        <x:f>MAX(0,'Cuadro'!J24)</x:f>
        <x:v>0</x:v>
      </x:c>
      <x:c r="F79" s="1" t="str"/>
      <x:c r="G79" s="1"/>
      <x:c r="H79" s="1"/>
      <x:c r="I79" s="1"/>
      <x:c r="J79" s="1"/>
      <x:c r="K79" s="1"/>
      <x:c r="L79" s="1"/>
      <x:c r="M79" s="1"/>
      <x:c r="N79" s="1"/>
      <x:c r="O79" s="1"/>
    </x:row>
    <x:row r="80" ht="22" customHeight="1">
      <x:c r="A80" s="20" t="str">
        <x:f>IF('Cuadro'!A24="","",'Cuadro'!A24)</x:f>
      </x:c>
      <x:c r="B80" s="1" t="str">
        <x:v>Ajuste inverso si procede</x:v>
      </x:c>
      <x:c r="C80" s="1" t="str">
        <x:v>1719 Ajustes coste LP</x:v>
      </x:c>
      <x:c r="D80" s="1" t="str">
        <x:v>6624 Intereses otras emp.</x:v>
      </x:c>
      <x:c r="E80" s="21" t="n">
        <x:f>MAX(0,-'Cuadro'!J24)</x:f>
        <x:v>0</x:v>
      </x:c>
      <x:c r="F80" s="1" t="str">
        <x:v>Solo si el ajuste calculado es negativo</x:v>
      </x:c>
      <x:c r="G80" s="1"/>
      <x:c r="H80" s="1"/>
      <x:c r="I80" s="1"/>
      <x:c r="J80" s="1"/>
      <x:c r="K80" s="1"/>
      <x:c r="L80" s="1"/>
      <x:c r="M80" s="1"/>
      <x:c r="N80" s="1"/>
      <x:c r="O80" s="1"/>
    </x:row>
    <x:row r="81" ht="22" customHeight="1">
      <x:c r="A81" s="20" t="str">
        <x:f>IF('Cuadro'!A24="","",'Cuadro'!A24)</x:f>
      </x:c>
      <x:c r="B81" s="1" t="str">
        <x:v>Devolución de principal</x:v>
      </x:c>
      <x:c r="C81" s="1" t="str">
        <x:v>5210 Deuda CP</x:v>
      </x:c>
      <x:c r="D81" s="1" t="str">
        <x:v>572 Bancos</x:v>
      </x:c>
      <x:c r="E81" s="21" t="n">
        <x:f>'Cuadro'!E24</x:f>
        <x:v>0</x:v>
      </x:c>
      <x:c r="F81" s="1" t="str"/>
      <x:c r="G81" s="1"/>
      <x:c r="H81" s="1"/>
      <x:c r="I81" s="1"/>
      <x:c r="J81" s="1"/>
      <x:c r="K81" s="1"/>
      <x:c r="L81" s="1"/>
      <x:c r="M81" s="1"/>
      <x:c r="N81" s="1"/>
      <x:c r="O81" s="1"/>
    </x:row>
    <x:row r="82" ht="22" customHeight="1">
      <x:c r="A82" s="20" t="str">
        <x:f>IF('Cuadro'!A24="","",'Cuadro'!A24)</x:f>
      </x:c>
      <x:c r="B82" s="1" t="str">
        <x:v>Principal del próximo año</x:v>
      </x:c>
      <x:c r="C82" s="1" t="str">
        <x:v>1710 Deuda LP</x:v>
      </x:c>
      <x:c r="D82" s="1" t="str">
        <x:v>5210 Deuda CP</x:v>
      </x:c>
      <x:c r="E82" s="21" t="n">
        <x:f>'Cuadro'!M24</x:f>
        <x:v>0</x:v>
      </x:c>
      <x:c r="F82" s="1" t="str"/>
      <x:c r="G82" s="1"/>
      <x:c r="H82" s="1"/>
      <x:c r="I82" s="1"/>
      <x:c r="J82" s="1"/>
      <x:c r="K82" s="1"/>
      <x:c r="L82" s="1"/>
      <x:c r="M82" s="1"/>
      <x:c r="N82" s="1"/>
      <x:c r="O82" s="1"/>
    </x:row>
    <x:row r="83" ht="22" customHeight="1">
      <x:c r="A83" s="20" t="str">
        <x:f>IF('Cuadro'!A24="","",'Cuadro'!A24)</x:f>
      </x:c>
      <x:c r="B83" s="1" t="str">
        <x:v>Costes pendientes a CP</x:v>
      </x:c>
      <x:c r="C83" s="1" t="str">
        <x:v>5219 Ajustes coste CP</x:v>
      </x:c>
      <x:c r="D83" s="1" t="str">
        <x:v>1719 Ajustes coste LP</x:v>
      </x:c>
      <x:c r="E83" s="21" t="n">
        <x:f>'Cuadro'!N24</x:f>
        <x:v>0</x:v>
      </x:c>
      <x:c r="F83" s="1" t="str"/>
      <x:c r="G83" s="1"/>
      <x:c r="H83" s="1"/>
      <x:c r="I83" s="1"/>
      <x:c r="J83" s="1"/>
      <x:c r="K83" s="1"/>
      <x:c r="L83" s="1"/>
      <x:c r="M83" s="1"/>
      <x:c r="N83" s="1"/>
      <x:c r="O83" s="1"/>
    </x:row>
    <x:row r="84" ht="22" customHeight="1">
      <x:c r="A84" s="20" t="str">
        <x:f>IF('Cuadro'!A25="","",'Cuadro'!A25)</x:f>
      </x:c>
      <x:c r="B84" s="1" t="str">
        <x:v>Devengo de intereses</x:v>
      </x:c>
      <x:c r="C84" s="1" t="str">
        <x:v>6624 Intereses otras emp.</x:v>
      </x:c>
      <x:c r="D84" s="1" t="str">
        <x:v>528 Intereses CP</x:v>
      </x:c>
      <x:c r="E84" s="21" t="n">
        <x:f>SUM('Cuadro'!C25:D25)</x:f>
        <x:v>0</x:v>
      </x:c>
      <x:c r="F84" s="1" t="str"/>
      <x:c r="G84" s="1"/>
      <x:c r="H84" s="1"/>
      <x:c r="I84" s="1"/>
      <x:c r="J84" s="1"/>
      <x:c r="K84" s="1"/>
      <x:c r="L84" s="1"/>
      <x:c r="M84" s="1"/>
      <x:c r="N84" s="1"/>
      <x:c r="O84" s="1"/>
    </x:row>
    <x:row r="85" ht="22" customHeight="1">
      <x:c r="A85" s="20" t="str">
        <x:f>IF('Cuadro'!A25="","",'Cuadro'!A25)</x:f>
      </x:c>
      <x:c r="B85" s="1" t="str">
        <x:v>Pago de intereses</x:v>
      </x:c>
      <x:c r="C85" s="1" t="str">
        <x:v>528 Intereses CP</x:v>
      </x:c>
      <x:c r="D85" s="1" t="str">
        <x:v>572 Bancos</x:v>
      </x:c>
      <x:c r="E85" s="21" t="n">
        <x:f>SUM('Cuadro'!C25:D25)</x:f>
        <x:v>0</x:v>
      </x:c>
      <x:c r="F85" s="1" t="str">
        <x:v>Pago en el mismo año: supuesto</x:v>
      </x:c>
      <x:c r="G85" s="1"/>
      <x:c r="H85" s="1"/>
      <x:c r="I85" s="1"/>
      <x:c r="J85" s="1"/>
      <x:c r="K85" s="1"/>
      <x:c r="L85" s="1"/>
      <x:c r="M85" s="1"/>
      <x:c r="N85" s="1"/>
      <x:c r="O85" s="1"/>
    </x:row>
    <x:row r="86" ht="22" customHeight="1">
      <x:c r="A86" s="20" t="str">
        <x:f>IF('Cuadro'!A25="","",'Cuadro'!A25)</x:f>
      </x:c>
      <x:c r="B86" s="1" t="str">
        <x:v>Reagrupar ajuste coste CP</x:v>
      </x:c>
      <x:c r="C86" s="1" t="str">
        <x:v>1719 Ajustes coste LP</x:v>
      </x:c>
      <x:c r="D86" s="1" t="str">
        <x:v>5219 Ajustes coste CP</x:v>
      </x:c>
      <x:c r="E86" s="21" t="n">
        <x:f>IF('Cuadro'!A25="",0,'Cuadro'!N24)</x:f>
        <x:v>0</x:v>
      </x:c>
      <x:c r="F86" s="1" t="str">
        <x:v>Antes de distribuir el saldo al cierre</x:v>
      </x:c>
      <x:c r="G86" s="1"/>
      <x:c r="H86" s="1"/>
      <x:c r="I86" s="1"/>
      <x:c r="J86" s="1"/>
      <x:c r="K86" s="1"/>
      <x:c r="L86" s="1"/>
      <x:c r="M86" s="1"/>
      <x:c r="N86" s="1"/>
      <x:c r="O86" s="1"/>
    </x:row>
    <x:row r="87" ht="22" customHeight="1">
      <x:c r="A87" s="20" t="str">
        <x:f>IF('Cuadro'!A25="","",'Cuadro'!A25)</x:f>
      </x:c>
      <x:c r="B87" s="1" t="str">
        <x:v>Imputación coste por TIE</x:v>
      </x:c>
      <x:c r="C87" s="1" t="str">
        <x:v>6624 Intereses otras emp.</x:v>
      </x:c>
      <x:c r="D87" s="1" t="str">
        <x:v>1719 Ajustes coste LP</x:v>
      </x:c>
      <x:c r="E87" s="21" t="n">
        <x:f>MAX(0,'Cuadro'!J25)</x:f>
        <x:v>0</x:v>
      </x:c>
      <x:c r="F87" s="1" t="str"/>
      <x:c r="G87" s="1"/>
      <x:c r="H87" s="1"/>
      <x:c r="I87" s="1"/>
      <x:c r="J87" s="1"/>
      <x:c r="K87" s="1"/>
      <x:c r="L87" s="1"/>
      <x:c r="M87" s="1"/>
      <x:c r="N87" s="1"/>
      <x:c r="O87" s="1"/>
    </x:row>
    <x:row r="88" ht="22" customHeight="1">
      <x:c r="A88" s="20" t="str">
        <x:f>IF('Cuadro'!A25="","",'Cuadro'!A25)</x:f>
      </x:c>
      <x:c r="B88" s="1" t="str">
        <x:v>Ajuste inverso si procede</x:v>
      </x:c>
      <x:c r="C88" s="1" t="str">
        <x:v>1719 Ajustes coste LP</x:v>
      </x:c>
      <x:c r="D88" s="1" t="str">
        <x:v>6624 Intereses otras emp.</x:v>
      </x:c>
      <x:c r="E88" s="21" t="n">
        <x:f>MAX(0,-'Cuadro'!J25)</x:f>
        <x:v>0</x:v>
      </x:c>
      <x:c r="F88" s="1" t="str">
        <x:v>Solo si el ajuste calculado es negativo</x:v>
      </x:c>
      <x:c r="G88" s="1"/>
      <x:c r="H88" s="1"/>
      <x:c r="I88" s="1"/>
      <x:c r="J88" s="1"/>
      <x:c r="K88" s="1"/>
      <x:c r="L88" s="1"/>
      <x:c r="M88" s="1"/>
      <x:c r="N88" s="1"/>
      <x:c r="O88" s="1"/>
    </x:row>
    <x:row r="89" ht="22" customHeight="1">
      <x:c r="A89" s="20" t="str">
        <x:f>IF('Cuadro'!A25="","",'Cuadro'!A25)</x:f>
      </x:c>
      <x:c r="B89" s="1" t="str">
        <x:v>Devolución de principal</x:v>
      </x:c>
      <x:c r="C89" s="1" t="str">
        <x:v>5210 Deuda CP</x:v>
      </x:c>
      <x:c r="D89" s="1" t="str">
        <x:v>572 Bancos</x:v>
      </x:c>
      <x:c r="E89" s="21" t="n">
        <x:f>'Cuadro'!E25</x:f>
        <x:v>0</x:v>
      </x:c>
      <x:c r="F89" s="1" t="str"/>
      <x:c r="G89" s="1"/>
      <x:c r="H89" s="1"/>
      <x:c r="I89" s="1"/>
      <x:c r="J89" s="1"/>
      <x:c r="K89" s="1"/>
      <x:c r="L89" s="1"/>
      <x:c r="M89" s="1"/>
      <x:c r="N89" s="1"/>
      <x:c r="O89" s="1"/>
    </x:row>
    <x:row r="90" ht="22" customHeight="1">
      <x:c r="A90" s="20" t="str">
        <x:f>IF('Cuadro'!A25="","",'Cuadro'!A25)</x:f>
      </x:c>
      <x:c r="B90" s="1" t="str">
        <x:v>Principal del próximo año</x:v>
      </x:c>
      <x:c r="C90" s="1" t="str">
        <x:v>1710 Deuda LP</x:v>
      </x:c>
      <x:c r="D90" s="1" t="str">
        <x:v>5210 Deuda CP</x:v>
      </x:c>
      <x:c r="E90" s="21" t="n">
        <x:f>'Cuadro'!M25</x:f>
        <x:v>0</x:v>
      </x:c>
      <x:c r="F90" s="1" t="str"/>
      <x:c r="G90" s="1"/>
      <x:c r="H90" s="1"/>
      <x:c r="I90" s="1"/>
      <x:c r="J90" s="1"/>
      <x:c r="K90" s="1"/>
      <x:c r="L90" s="1"/>
      <x:c r="M90" s="1"/>
      <x:c r="N90" s="1"/>
      <x:c r="O90" s="1"/>
    </x:row>
    <x:row r="91" ht="22" customHeight="1">
      <x:c r="A91" s="20" t="str">
        <x:f>IF('Cuadro'!A25="","",'Cuadro'!A25)</x:f>
      </x:c>
      <x:c r="B91" s="1" t="str">
        <x:v>Costes pendientes a CP</x:v>
      </x:c>
      <x:c r="C91" s="1" t="str">
        <x:v>5219 Ajustes coste CP</x:v>
      </x:c>
      <x:c r="D91" s="1" t="str">
        <x:v>1719 Ajustes coste LP</x:v>
      </x:c>
      <x:c r="E91" s="21" t="n">
        <x:f>'Cuadro'!N25</x:f>
        <x:v>0</x:v>
      </x:c>
      <x:c r="F91" s="1" t="str"/>
      <x:c r="G91" s="1"/>
      <x:c r="H91" s="1"/>
      <x:c r="I91" s="1"/>
      <x:c r="J91" s="1"/>
      <x:c r="K91" s="1"/>
      <x:c r="L91" s="1"/>
      <x:c r="M91" s="1"/>
      <x:c r="N91" s="1"/>
      <x:c r="O91" s="1"/>
    </x:row>
    <x:row r="92" ht="22" customHeight="1">
      <x:c r="A92" s="20"/>
      <x:c r="B92" s="1"/>
      <x:c r="C92" s="1"/>
      <x:c r="D92" s="1"/>
      <x:c r="E92" s="21"/>
      <x:c r="F92" s="1"/>
      <x:c r="G92" s="1"/>
      <x:c r="H92" s="1"/>
      <x:c r="I92" s="1"/>
      <x:c r="J92" s="1"/>
      <x:c r="K92" s="1"/>
      <x:c r="L92" s="1"/>
      <x:c r="M92" s="1"/>
      <x:c r="N92" s="1"/>
      <x:c r="O92" s="1"/>
    </x:row>
    <x:row r="93" ht="22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</x:row>
    <x:row r="94" ht="22" customHeight="1">
      <x:c r="A94" s="1" t="str">
        <x:v>Las filas fuera del plazo muestran importe cero. No registrar filas de importe cero.</x:v>
      </x:c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</x:row>
    <x:row r="95" ht="22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</x:row>
    <x:row r="96" ht="22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</x:row>
    <x:row r="97" ht="22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</x:row>
    <x:row r="98" ht="22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</x:row>
    <x:row r="99" ht="22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</x:row>
    <x:row r="100" ht="22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</x:row>
    <x:row r="101" ht="22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</x:row>
    <x:row r="102" ht="22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</x:row>
    <x:row r="103" ht="22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</x:row>
    <x:row r="104" ht="22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</x:row>
    <x:row r="105" ht="22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</x:row>
    <x:row r="106" ht="22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</x:row>
    <x:row r="107" ht="22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</x:row>
    <x:row r="108" ht="22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</x:row>
    <x:row r="109" ht="22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</x:row>
    <x:row r="110" ht="22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</x:row>
    <x:row r="111" ht="22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</x:row>
    <x:row r="112" ht="22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</x:row>
    <x:row r="113" ht="22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</x:row>
    <x:row r="114" ht="22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</x:row>
    <x:row r="115" ht="22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</x:row>
    <x:row r="116" ht="22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</x:row>
    <x:row r="117" ht="22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</x:row>
    <x:row r="118" ht="22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</x:row>
    <x:row r="119" ht="22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</x:row>
    <x:row r="120" ht="22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</x:row>
    <x:row r="121" ht="22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</x:row>
    <x:row r="122" ht="22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</x:row>
    <x:row r="123" ht="22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</x:row>
    <x:row r="124" ht="22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</x:row>
    <x:row r="125" ht="22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</x:row>
    <x:row r="126" ht="22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</x:row>
    <x:row r="127" ht="22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</x:row>
    <x:row r="128" ht="22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</x:row>
    <x:row r="129" ht="22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</x:row>
    <x:row r="130" ht="22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</x:row>
    <x:row r="131" ht="22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</x:row>
    <x:row r="132" ht="22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</x:row>
    <x:row r="133" ht="22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</x:row>
    <x:row r="134" ht="22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</x:row>
    <x:row r="135" ht="22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</x:row>
    <x:row r="136" ht="22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</x:row>
    <x:row r="137" ht="22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</x:row>
    <x:row r="138" ht="22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</x:row>
    <x:row r="139" ht="22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</x:row>
    <x:row r="140" ht="22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</x:row>
    <x:row r="141" ht="22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</x:row>
    <x:row r="142" ht="22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</x:row>
    <x:row r="143" ht="22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</x:row>
    <x:row r="144" ht="22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</x:row>
    <x:row r="145" ht="22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</x:row>
    <x:row r="146" ht="22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</x:row>
    <x:row r="147" ht="22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</x:row>
    <x:row r="148" ht="22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</x:row>
    <x:row r="149" ht="22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</x:row>
    <x:row r="150" ht="22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</x:row>
  </x:sheetData>
  <x:pageMargins left="0.7" right="0.7" top="0.75" bottom="0.75" header="0.3" footer="0.3"/>
</x:worksheet>
</file>