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emf" ContentType="image/x-emf"/>
  <Default Extension="jpeg" ContentType="image/jpeg"/>
  <Default Extension="wmf" ContentType="image/x-wmf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Override PartName="/xl/drawings/drawing5.xml" ContentType="application/vnd.openxmlformats-officedocument.drawing+xml"/>
  <Default Extension="vml" ContentType="application/vnd.openxmlformats-officedocument.vmlDrawing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ctrProps/ctrProp1.xml" ContentType="application/vnd.ms-excel.controlproperties+xml"/>
  <Override PartName="/xl/ctrProps/ctrProp2.xml" ContentType="application/vnd.ms-excel.controlproperties+xml"/>
  <Override PartName="/xl/ctrProps/ctrProp3.xml" ContentType="application/vnd.ms-excel.controlproperties+xml"/>
  <Override PartName="/xl/ctrProps/ctrProp4.xml" ContentType="application/vnd.ms-excel.controlproperti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Default Extension="wdp" ContentType="image/vnd.ms-photo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76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Титов Сергей\ТИТОВ СЕРГЕЙ\КЛИЕНТ\АНТАРИОН ГУПП КЛИЕНТЫ\АНТАРИОН\ОБУЧЕНИЕ\ИЗУЧЕНИЕ\AVENTOS top\Презентации\"/>
    </mc:Choice>
  </mc:AlternateContent>
  <bookViews>
    <workbookView xWindow="-120" yWindow="-120" windowWidth="29040" windowHeight="15840" tabRatio="921" activeTab="0"/>
  </bookViews>
  <sheets>
    <sheet name="Содержание" sheetId="19" r:id="rId2"/>
    <sheet name="HF top" sheetId="34" r:id="rId3"/>
    <sheet name="HS top" sheetId="35" r:id="rId4"/>
    <sheet name="HL top" sheetId="36" r:id="rId5"/>
    <sheet name="HK top" sheetId="30" r:id="rId6"/>
    <sheet name="HK-S" sheetId="10" r:id="rId7"/>
    <sheet name="HK-XS" sheetId="12" r:id="rId8"/>
    <sheet name="TIP-ON BLUMOTION LEGRABOX" sheetId="14" r:id="rId9"/>
    <sheet name="TIP-ON BUMOTION MOVENTO" sheetId="15" r:id="rId10"/>
    <sheet name="TIP-ON BLUMOTION TANDEMBOX" sheetId="23" r:id="rId11"/>
    <sheet name="TANDEMBOX боковые вставки" sheetId="16" r:id="rId12"/>
    <sheet name="Раскрой дна и з.с для TANDEMBOX" sheetId="26" r:id="rId13"/>
    <sheet name="Раскрой дна и з.с. для LEGRABOX" sheetId="27" r:id="rId14"/>
    <sheet name="Раскрой валов синхронизации" sheetId="33" r:id="rId15"/>
  </sheets>
  <definedNames>
    <definedName name="Z_A25B6F15_9B48_4230_9C30_183637D1319E_.wvu.Cols" localSheetId="1" hidden="1">'HF top'!#REF!</definedName>
    <definedName name="Z_A25B6F15_9B48_4230_9C30_183637D1319E_.wvu.Cols" localSheetId="7" hidden="1">'TIP-ON BLUMOTION LEGRABOX'!$AO:$BE</definedName>
    <definedName name="Z_A25B6F15_9B48_4230_9C30_183637D1319E_.wvu.Cols" localSheetId="9" hidden="1">'TIP-ON BLUMOTION TANDEMBOX'!$AO:$BE</definedName>
    <definedName name="Z_A25B6F15_9B48_4230_9C30_183637D1319E_.wvu.Cols" localSheetId="8" hidden="1">'TIP-ON BUMOTION MOVENTO'!$AP:$AZ</definedName>
    <definedName name="Z_A25B6F15_9B48_4230_9C30_183637D1319E_.wvu.Rows" localSheetId="1" hidden="1">'HF top'!$2:$2</definedName>
    <definedName name="Z_A25B6F15_9B48_4230_9C30_183637D1319E_.wvu.Rows" localSheetId="5" hidden="1">'HK-S'!$4:$4</definedName>
    <definedName name="Z_A25B6F15_9B48_4230_9C30_183637D1319E_.wvu.Rows" localSheetId="7" hidden="1">'TIP-ON BLUMOTION LEGRABOX'!$29:$29</definedName>
    <definedName name="Z_A25B6F15_9B48_4230_9C30_183637D1319E_.wvu.Rows" localSheetId="9" hidden="1">'TIP-ON BLUMOTION TANDEMBOX'!$29:$29</definedName>
    <definedName name="внутр" localSheetId="9">'TIP-ON BLUMOTION TANDEMBOX'!$AO$3,'TIP-ON BLUMOTION TANDEMBOX'!$AO$5</definedName>
    <definedName name="внутр">'TIP-ON BLUMOTION LEGRABOX'!$AO$3,'TIP-ON BLUMOTION LEGRABOX'!$AO$5</definedName>
    <definedName name="Номинальная_длина__NL__мм" localSheetId="1">#REF!</definedName>
    <definedName name="Номинальная_длина__NL__мм" localSheetId="4">#REF!</definedName>
    <definedName name="Номинальная_длина__NL__мм" localSheetId="2">#REF!</definedName>
    <definedName name="Номинальная_длина__NL__мм" localSheetId="11">#REF!</definedName>
    <definedName name="Номинальная_длина__NL__мм">#REF!</definedName>
    <definedName name="_xlnm.Print_Area" localSheetId="13">'Раскрой валов синхронизации'!$A$2:$E$7</definedName>
    <definedName name="_xlnm.Print_Area" localSheetId="0">Содержание!$A$1:$Y$24</definedName>
  </definedNames>
  <calcPr calcId="181029"/>
  <customWorkbookViews>
    <customWorkbookView name="user - Личное представление" guid="{a25b6f15-9b48-4230-9c30-183637d1319e}" activeSheetId="15" xWindow="18" yWindow="88" windowWidth="628" windowHeight="398" mergeInterval="0" personalView="1" maximized="1" tabRatio="921"/>
  </customWorkbookViews>
  <fileRecoveryPr autoRecover="0"/>
</workbook>
</file>

<file path=xl/calcChain.xml><?xml version="1.0" encoding="utf-8"?>
<calcChain xmlns="http://schemas.openxmlformats.org/spreadsheetml/2006/main">
  <c r="L60" i="34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4" authorId="0" shapeId="0" xr:uid="{00000000-0006-0000-0F00-000001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B22" authorId="0" shapeId="0" xr:uid="{00000000-0006-0000-0F00-000002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B23" authorId="0" shapeId="0" xr:uid="{00000000-0006-0000-0F00-000003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B24" authorId="0" shapeId="0" xr:uid="{00000000-0006-0000-0F00-000004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A44" authorId="0" shapeId="0" xr:uid="{00000000-0006-0000-0F00-000005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B52" authorId="0" shapeId="0" xr:uid="{00000000-0006-0000-0F00-000006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A88" authorId="0" shapeId="0" xr:uid="{00000000-0006-0000-0F00-000007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  <comment ref="B95" authorId="0" shapeId="0" xr:uid="{00000000-0006-0000-0F00-000008000000}">
      <text>
        <r>
          <rPr>
            <sz val="9"/>
            <rFont val="Tahoma"/>
            <family val="2"/>
            <charset val="204"/>
          </rPr>
          <t xml:space="preserve">Введите значение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1" authorId="0" shapeId="0" xr:uid="{00000000-0006-0000-1000-000001000000}">
      <text>
        <r>
          <rPr>
            <b/>
            <sz val="9"/>
            <rFont val="Tahoma"/>
            <family val="2"/>
            <charset val="204"/>
          </rPr>
          <t>Заполните оранженые ячейки</t>
        </r>
      </text>
    </comment>
    <comment ref="C1" authorId="0" shapeId="0" xr:uid="{00000000-0006-0000-1000-000002000000}">
      <text>
        <r>
          <rPr>
            <b/>
            <sz val="9"/>
            <rFont val="Tahoma"/>
            <family val="2"/>
            <charset val="204"/>
          </rPr>
          <t>Заполните оранженые ячейки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B1" authorId="0" shapeId="0" xr:uid="{00000000-0006-0000-1100-000001000000}">
      <text>
        <r>
          <rPr>
            <b/>
            <sz val="9"/>
            <rFont val="Tahoma"/>
            <family val="2"/>
            <charset val="204"/>
          </rPr>
          <t>Заполните оранженые ячейки</t>
        </r>
      </text>
    </comment>
    <comment ref="C1" authorId="0" shapeId="0" xr:uid="{00000000-0006-0000-1100-000002000000}">
      <text>
        <r>
          <rPr>
            <b/>
            <sz val="9"/>
            <rFont val="Tahoma"/>
            <family val="2"/>
            <charset val="204"/>
          </rPr>
          <t>Заполните оранженые ячейки</t>
        </r>
      </text>
    </comment>
    <comment ref="G1" authorId="0" shapeId="0" xr:uid="{00000000-0006-0000-1100-000003000000}">
      <text>
        <r>
          <rPr>
            <b/>
            <sz val="9"/>
            <rFont val="Tahoma"/>
            <family val="2"/>
            <charset val="204"/>
          </rPr>
          <t>фрезеровка по краям с двух сторон на глубину 8 мм и ширину 38 мм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9" authorId="0" shapeId="0" xr:uid="{00000000-0006-0000-0A00-000001000000}">
      <text>
        <r>
          <rPr>
            <b/>
            <sz val="9"/>
            <rFont val="Tahoma"/>
            <family val="2"/>
            <charset val="204"/>
          </rPr>
          <t>мм</t>
        </r>
      </text>
    </comment>
    <comment ref="D9" authorId="0" shapeId="0" xr:uid="{00000000-0006-0000-0A00-000002000000}">
      <text>
        <r>
          <rPr>
            <b/>
            <sz val="9"/>
            <rFont val="Tahoma"/>
            <family val="2"/>
            <charset val="204"/>
          </rPr>
          <t>мм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12" authorId="0" shapeId="0" xr:uid="{00000000-0006-0000-0B00-000001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механизма.</t>
        </r>
      </text>
    </comment>
    <comment ref="F13" authorId="0" shapeId="0" xr:uid="{00000000-0006-0000-0B00-000002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</t>
        </r>
        <r>
          <rPr>
            <b/>
            <sz val="9"/>
            <rFont val="Tahoma"/>
            <family val="2"/>
            <charset val="204"/>
          </rPr>
          <t>.</t>
        </r>
      </text>
    </comment>
    <comment ref="F14" authorId="0" shapeId="0" xr:uid="{00000000-0006-0000-0B00-000003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механизма.</t>
        </r>
      </text>
    </comment>
    <comment ref="F15" authorId="0" shapeId="0" xr:uid="{00000000-0006-0000-0B00-000004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механизма.</t>
        </r>
      </text>
    </comment>
    <comment ref="F16" authorId="0" shapeId="0" xr:uid="{00000000-0006-0000-0B00-000005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механизма.</t>
        </r>
      </text>
    </comment>
    <comment ref="F17" authorId="0" shapeId="0" xr:uid="{00000000-0006-0000-0B00-000006000000}">
      <text>
        <r>
          <rPr>
            <sz val="14"/>
            <rFont val="Tahoma"/>
            <family val="2"/>
            <charset val="204"/>
          </rPr>
          <t>При ширине фасада более 600 мм,
рекомендуется установка второго силового механизма.</t>
        </r>
      </text>
    </comment>
  </commentList>
</comments>
</file>

<file path=xl/sharedStrings.xml><?xml version="1.0" encoding="utf-8"?>
<sst xmlns="http://schemas.openxmlformats.org/spreadsheetml/2006/main" count="967" uniqueCount="523">
  <si>
    <t>Ответная планка CLIP, прямая</t>
  </si>
  <si>
    <t>Петля Clip Top 120* без пружины</t>
  </si>
  <si>
    <t>70T5550.TL</t>
  </si>
  <si>
    <t>Средняя петля Clip Top</t>
  </si>
  <si>
    <t>78Z5500T</t>
  </si>
  <si>
    <t>Петля Clip Top 120* для алюминиевой рамки</t>
  </si>
  <si>
    <t>72T550A</t>
  </si>
  <si>
    <t>78Z550AT</t>
  </si>
  <si>
    <t>Держатель CLIP левый</t>
  </si>
  <si>
    <t>175H5B00</t>
  </si>
  <si>
    <t>Держатель CLIP правый</t>
  </si>
  <si>
    <t>Держатель CLIP симетричный</t>
  </si>
  <si>
    <t>175H5A00</t>
  </si>
  <si>
    <t>Артикул</t>
  </si>
  <si>
    <t>Ширина</t>
  </si>
  <si>
    <t>Высота</t>
  </si>
  <si>
    <t>От</t>
  </si>
  <si>
    <t>До</t>
  </si>
  <si>
    <t>Мощность</t>
  </si>
  <si>
    <t>Телескопический рычаг XX, для h=XXX</t>
  </si>
  <si>
    <t>Вес, кг</t>
  </si>
  <si>
    <t>РАЗНЫЕ ФАСАДЫ:</t>
  </si>
  <si>
    <t>20S4201</t>
  </si>
  <si>
    <t>от</t>
  </si>
  <si>
    <t>до</t>
  </si>
  <si>
    <t>Рычаг</t>
  </si>
  <si>
    <t>20S4201A</t>
  </si>
  <si>
    <t>20K4A01A</t>
  </si>
  <si>
    <t>Высота корпуса</t>
  </si>
  <si>
    <t>мм</t>
  </si>
  <si>
    <t>Если верхний фасад - алюминиевая рамка шириной менее 55 мм (Z4 др.) - то вместо 2 прямых выписываются 2 крестообразные ответные планки (Clip 173L6100)</t>
  </si>
  <si>
    <t>Для фасадов из ДСП, МДФ, Массива и широких алюминиевых рамок</t>
  </si>
  <si>
    <t>Для узких алюминиевых рамок (Z1)</t>
  </si>
  <si>
    <t>Средняя петля CLIP TOP для алюминиевой рамки</t>
  </si>
  <si>
    <t>верхний МДФ/нижний Z1</t>
  </si>
  <si>
    <t>верхний Z1/нижний МДФ</t>
  </si>
  <si>
    <t>Фасад Z1</t>
  </si>
  <si>
    <t>Фасад Z4</t>
  </si>
  <si>
    <t>Крепление фасада для массива</t>
  </si>
  <si>
    <t>-</t>
  </si>
  <si>
    <t>для Z1</t>
  </si>
  <si>
    <t>Диапозон мощности</t>
  </si>
  <si>
    <t>Наименование</t>
  </si>
  <si>
    <t>20K8001 - L</t>
  </si>
  <si>
    <t>20K8001 - R</t>
  </si>
  <si>
    <t>Белая</t>
  </si>
  <si>
    <t>опция</t>
  </si>
  <si>
    <t>955.1008S</t>
  </si>
  <si>
    <t>для TipON</t>
  </si>
  <si>
    <t xml:space="preserve">Фасад Z1 </t>
  </si>
  <si>
    <t xml:space="preserve">Фасад Z4 </t>
  </si>
  <si>
    <t>Высота фасада</t>
  </si>
  <si>
    <r>
      <t>20K2</t>
    </r>
    <r>
      <rPr>
        <b/>
        <sz val="12"/>
        <rFont val="Arial"/>
        <family val="2"/>
        <charset val="204"/>
      </rPr>
      <t>X</t>
    </r>
    <r>
      <rPr>
        <sz val="10"/>
        <rFont val="Arial"/>
        <family val="2"/>
        <charset val="204"/>
      </rPr>
      <t>01</t>
    </r>
  </si>
  <si>
    <t>Для толщины ДСП, мм</t>
  </si>
  <si>
    <t>Ширина корпуса (KB),мм</t>
  </si>
  <si>
    <t>Необходимая длина поперечного релинга(1094), мм</t>
  </si>
  <si>
    <t>Необходимая длина передней панели(1081), мм</t>
  </si>
  <si>
    <t>Необходимая длина поперечного разделителя(1077), мм</t>
  </si>
  <si>
    <t>Необходимая длина поперечного разделителя c OrgaLine для бутылок, мм</t>
  </si>
  <si>
    <t>Необходимая длина передней панели(1036), мм</t>
  </si>
  <si>
    <t>Необходимая длина поперечного релинга(1046), мм</t>
  </si>
  <si>
    <t>Вставки из стекла</t>
  </si>
  <si>
    <t>Боковая (2шт)</t>
  </si>
  <si>
    <t>Передняя (1шт)</t>
  </si>
  <si>
    <t>Длина,мм</t>
  </si>
  <si>
    <t>Толщина,мм</t>
  </si>
  <si>
    <t>Номинальная длина (NL),мм</t>
  </si>
  <si>
    <t>Высота,мм</t>
  </si>
  <si>
    <t>Толщина материала корпуса, мм</t>
  </si>
  <si>
    <t>Необходимая длина поперечного разделителя - релинг (1104), мм</t>
  </si>
  <si>
    <t>Боковая для Antaro D (2шт)</t>
  </si>
  <si>
    <t>Боковая для Antaro C (2шт)</t>
  </si>
  <si>
    <t>59.5</t>
  </si>
  <si>
    <t>91.5</t>
  </si>
  <si>
    <t>Вставки из стекла/мдф</t>
  </si>
  <si>
    <t>Боковая для TandemBox D (2шт)</t>
  </si>
  <si>
    <r>
      <t>20K2</t>
    </r>
    <r>
      <rPr>
        <b/>
        <sz val="12"/>
        <rFont val="Arial"/>
        <family val="2"/>
        <charset val="204"/>
      </rPr>
      <t>X</t>
    </r>
    <r>
      <rPr>
        <sz val="10"/>
        <rFont val="Arial"/>
        <family val="2"/>
        <charset val="204"/>
      </rPr>
      <t>01T</t>
    </r>
  </si>
  <si>
    <t>175H3100</t>
  </si>
  <si>
    <t>ВЕС, кг</t>
  </si>
  <si>
    <t xml:space="preserve">Фасад   Z1 </t>
  </si>
  <si>
    <t xml:space="preserve">Фасад   Z4 </t>
  </si>
  <si>
    <t>1 шт</t>
  </si>
  <si>
    <t>20K1101T</t>
  </si>
  <si>
    <t>2 шт</t>
  </si>
  <si>
    <t xml:space="preserve">20K1301 </t>
  </si>
  <si>
    <t>20K1501</t>
  </si>
  <si>
    <t>20K1501T</t>
  </si>
  <si>
    <t>ВЫПИСКА:</t>
  </si>
  <si>
    <t>1) Силовой механизм - 1 или 2 шт (выбор по коэффициенту мощности)</t>
  </si>
  <si>
    <t xml:space="preserve">20K1101 </t>
  </si>
  <si>
    <t>20K1301T</t>
  </si>
  <si>
    <t>2) Крепление к корпусу (на саморезы) - 1 или 2 шт (от количества силовых механизмов)</t>
  </si>
  <si>
    <t>20K5101</t>
  </si>
  <si>
    <t>3) Крепление фасада -  1 или 2 шт (от количества силовых механизмов)</t>
  </si>
  <si>
    <t xml:space="preserve">3.1) Крепление фасада для массивов </t>
  </si>
  <si>
    <t>20K4A01</t>
  </si>
  <si>
    <t>3.2) Крепление фасада для Z1 (узкие рамки)</t>
  </si>
  <si>
    <r>
      <rPr>
        <i/>
        <sz val="12"/>
        <rFont val="Arial"/>
        <family val="2"/>
        <charset val="204"/>
      </rPr>
      <t xml:space="preserve">4)  Петля - 2 шт </t>
    </r>
    <r>
      <rPr>
        <i/>
        <sz val="10"/>
        <rFont val="Arial"/>
        <family val="2"/>
        <charset val="204"/>
      </rPr>
      <t>(3 шт при ширине корпуса от 900 мм или при коэффициенте мощности от 1800, 4 петли при ширине корпуса 1200 мм или при коэффициенте мощности от 2700)</t>
    </r>
  </si>
  <si>
    <t>4.1) накладная CLIP top BLUMOTION 110°</t>
  </si>
  <si>
    <t>71B3550</t>
  </si>
  <si>
    <r>
      <rPr>
        <i/>
        <sz val="12"/>
        <rFont val="Arial"/>
        <family val="2"/>
        <charset val="204"/>
      </rPr>
      <t xml:space="preserve">4)  Петля - 2 шт </t>
    </r>
    <r>
      <rPr>
        <i/>
        <sz val="10"/>
        <rFont val="Arial"/>
        <family val="2"/>
        <charset val="204"/>
      </rPr>
      <t>(3 петли - при ширине корпуса от 900 мм или при коэффициенте мощности от 1800, 4 петли - при ширине корпуса 1200 мм или при коэффициенте мощности от 2700)</t>
    </r>
  </si>
  <si>
    <t>4.1) накладная CLIP top BLUMOTION 110° (без пружины)</t>
  </si>
  <si>
    <t>70T3550.TL</t>
  </si>
  <si>
    <t>4.2) накладная CLIP top BLUMOTION для aлюминиeвыx рaмoк 95°</t>
  </si>
  <si>
    <t>71B950A</t>
  </si>
  <si>
    <t>4.2) накладная CLIP top BLUMOTION для aлюминиeвыx рaмoк 95° (без пружины)</t>
  </si>
  <si>
    <t>70T950A.TL</t>
  </si>
  <si>
    <t>5)  Ответная планка CLIP, прямая - 2 шт (3-4 шт, в зависимости от количества петель)</t>
  </si>
  <si>
    <t>5)  Ответная планка CLIP, прямая - 2 шт (3-4 шт, в зависимости от количества петель))</t>
  </si>
  <si>
    <t>955.1002 / 955А1002</t>
  </si>
  <si>
    <t>7) Планка с шурупом -1 шт</t>
  </si>
  <si>
    <t>8) Держатель TIP-ON, прямой или крестообразный (на выбор) - 1 шт</t>
  </si>
  <si>
    <t>955.1201 / 955.1501</t>
  </si>
  <si>
    <t>ВЕС</t>
  </si>
  <si>
    <t>кг</t>
  </si>
  <si>
    <t>20K2A01</t>
  </si>
  <si>
    <t>от 0,5 до 1,25</t>
  </si>
  <si>
    <t>от 1,0 до 2,5</t>
  </si>
  <si>
    <t>от 1,7 до 3,8</t>
  </si>
  <si>
    <t>от 2,4 до 5,0</t>
  </si>
  <si>
    <t xml:space="preserve">Cиловой механизм Aventos HK-S "A" </t>
  </si>
  <si>
    <t>Фасады массив (ольха)</t>
  </si>
  <si>
    <t>Фасады МДФ+МДФ (витрины)</t>
  </si>
  <si>
    <t xml:space="preserve">Силовой механизм AVENTOS </t>
  </si>
  <si>
    <t>Силовой механизм AVENTOS</t>
  </si>
  <si>
    <t>Материал фасада</t>
  </si>
  <si>
    <t>Фасады Z1 + Z1</t>
  </si>
  <si>
    <t>Фасады Z4 + Z4</t>
  </si>
  <si>
    <t>Фасады МДФ + Z1</t>
  </si>
  <si>
    <t>Фасады ДСП + Z1</t>
  </si>
  <si>
    <t>Тип AVENTOS</t>
  </si>
  <si>
    <t>Тип телескопического рычага</t>
  </si>
  <si>
    <t>Тип рычага</t>
  </si>
  <si>
    <t>Кол-во сил.мех.</t>
  </si>
  <si>
    <t>Необходимый тип AVENTOS HF</t>
  </si>
  <si>
    <t>Необходимый тип AVENTOS HK</t>
  </si>
  <si>
    <t>Необходимый тип AVENTOS HK-S</t>
  </si>
  <si>
    <t>20K2C01 / 20K2C01T</t>
  </si>
  <si>
    <t>20K2E01 / 20K2E01T</t>
  </si>
  <si>
    <t>Артикул:                                                        BLUMOTION/ TIP-ON</t>
  </si>
  <si>
    <t>Артикул:                                                            BLUMOTION/ TIP-ON</t>
  </si>
  <si>
    <t>Диапозон мощности:</t>
  </si>
  <si>
    <t>Силовой механизм AVENTOS HK-XS 20K1501</t>
  </si>
  <si>
    <t>Силовой механизм AVENTOS HK-XS 20K1301</t>
  </si>
  <si>
    <t>Силовой механизм AVENTOS HK-XS 20K1101</t>
  </si>
  <si>
    <t xml:space="preserve">СИЛОВЫЕ МЕХАНИЗМЫ AVENTOS HK-XS (под TIP-ON): </t>
  </si>
  <si>
    <t>Силовой механизм AVENTOS HK-XS 20K1101T</t>
  </si>
  <si>
    <t>Силовой механизм AVENTOS HK-XS 20K1301T</t>
  </si>
  <si>
    <t>Силовой механизм AVENTOS HK-XS 20K1501T</t>
  </si>
  <si>
    <t xml:space="preserve">СИЛОВЫЕ МЕХАНИЗМЫ AVENTOS HK-XS (под BLUMOTION): </t>
  </si>
  <si>
    <t>Необходимый тип AVENTOS HK-XS под BLUMOTION</t>
  </si>
  <si>
    <t>Необходимый тип AVENTOS HK-XS под TIP-ON</t>
  </si>
  <si>
    <t>Базовый комплект под BLUMOTION</t>
  </si>
  <si>
    <t>Диапазон мощности</t>
  </si>
  <si>
    <t>Кол-во</t>
  </si>
  <si>
    <t>Тип механизма Aventos HS</t>
  </si>
  <si>
    <t>Напротив ячейки с материалом Вашего фасада введите его высоту (от 350 до 800 мм) и ширину (до 1800 мм).</t>
  </si>
  <si>
    <t>Напротив ячейки с материалом Вашего фасада введите его высоту (от 300 до 580 мм) и ширину (до 1800 мм).</t>
  </si>
  <si>
    <t>Напротив ячейки с материалом Вашего фасада введите его высоту (от 205 до 600 мм) и ширину (до 1800 мм).</t>
  </si>
  <si>
    <t>956.1002</t>
  </si>
  <si>
    <t>956A1002</t>
  </si>
  <si>
    <t>Выписка Aventos HK-S</t>
  </si>
  <si>
    <r>
      <t>1. Силовой механизм HK-S "</t>
    </r>
    <r>
      <rPr>
        <b/>
        <sz val="12"/>
        <color indexed="8"/>
        <rFont val="Arial"/>
        <family val="2"/>
        <charset val="204"/>
      </rPr>
      <t>X</t>
    </r>
    <r>
      <rPr>
        <sz val="10"/>
        <color indexed="8"/>
        <rFont val="Arial"/>
        <family val="2"/>
        <charset val="204"/>
      </rPr>
      <t>"</t>
    </r>
  </si>
  <si>
    <t>2. Заглушка основная (Серая), левая</t>
  </si>
  <si>
    <t>3. Заглушка основная (Серая), правая</t>
  </si>
  <si>
    <t>4. Крепление фасада для массива(New)</t>
  </si>
  <si>
    <r>
      <t xml:space="preserve">6.б) TipON усиленный </t>
    </r>
    <r>
      <rPr>
        <sz val="10"/>
        <color rgb="FFFF0000"/>
        <rFont val="Arial"/>
        <family val="2"/>
        <charset val="204"/>
      </rPr>
      <t>(фасад высотой выше 500 мм)</t>
    </r>
  </si>
  <si>
    <t>7. Магнитная планка (под шуруп)</t>
  </si>
  <si>
    <r>
      <t>6.а) TipON стандартный</t>
    </r>
    <r>
      <rPr>
        <sz val="10"/>
        <color rgb="FFFF0000"/>
        <rFont val="Arial"/>
        <family val="2"/>
        <charset val="204"/>
      </rPr>
      <t xml:space="preserve"> (фасад высотой до 500 мм)</t>
    </r>
  </si>
  <si>
    <t>6) TIP-ON стандартный (фасад высотой до 500 мм) или усиленный (фасад высотой выше 500 мм), на выбор - 1 шт</t>
  </si>
  <si>
    <t>Напротив ячейки с материалом Вашего фасада введите его высоту (от 150 до 600 мм) и ширину (до 900 мм).</t>
  </si>
  <si>
    <t>Напротив ячейки с материалом Вашего фасада введите его высоту (от 240 до 600 мм) и ширину.</t>
  </si>
  <si>
    <t>Фасад массив (ольха)</t>
  </si>
  <si>
    <t>4. Круглый вал синхронизации TIP-ON BLUMOTION под раскрой, длина=1125 мм (T60.1125W) - 1 шт.</t>
  </si>
  <si>
    <t>3. Шестерни вала синхронизации TIP-ON BLUMOTION (T60.000D) - 2 шт.</t>
  </si>
  <si>
    <t>2. (2a)-Механизм TIP-ON BLUMOTION и (2b)-триггер TIP-ON BLUMOTION в комплекте - 1 к-т</t>
  </si>
  <si>
    <t>1. Направляющие TIP-ON BLUMOTION для LEGRABOX, левая / правая (к-т) - 1 к-т</t>
  </si>
  <si>
    <t xml:space="preserve">Одного вала синхронизации хватит на </t>
  </si>
  <si>
    <t>L5</t>
  </si>
  <si>
    <t>Максимальный вес планируемого наполнения, кг</t>
  </si>
  <si>
    <t>L3</t>
  </si>
  <si>
    <r>
      <t>Используемые значения при расчете плотности материалов:  ДСП -- 680 кг/м</t>
    </r>
    <r>
      <rPr>
        <sz val="9"/>
        <color rgb="FFFF0000"/>
        <rFont val="Calibri"/>
        <family val="2"/>
      </rPr>
      <t xml:space="preserve">³; Массив Ольхи -- 550 кг/м³;  Массив Ясеня -- 750 кг/м³; Массив Дуба -- 690 кг/м³; МДФ -- 760 кг/м³  </t>
    </r>
  </si>
  <si>
    <t>Вес ручки, гр</t>
  </si>
  <si>
    <t>L1</t>
  </si>
  <si>
    <t>Тип механизма                                                                                 ↙      ↓       ↘</t>
  </si>
  <si>
    <t>Дополнительные параметры</t>
  </si>
  <si>
    <t>50-60 кг</t>
  </si>
  <si>
    <t>40-50 кг</t>
  </si>
  <si>
    <t>30-40 кг</t>
  </si>
  <si>
    <t>20-30 кг</t>
  </si>
  <si>
    <t>10-20 кг</t>
  </si>
  <si>
    <t>0-10 кг</t>
  </si>
  <si>
    <t>Вес ящика →</t>
  </si>
  <si>
    <t>Ширина фасада</t>
  </si>
  <si>
    <t>19 мм</t>
  </si>
  <si>
    <t>МДФ</t>
  </si>
  <si>
    <t>Толщина</t>
  </si>
  <si>
    <t>Материал</t>
  </si>
  <si>
    <t>Параметры фасада</t>
  </si>
  <si>
    <t>Внутренняя ширина корпуса, мм</t>
  </si>
  <si>
    <t>Общий вес ящика, кг</t>
  </si>
  <si>
    <t>Вес наполнения, кг</t>
  </si>
  <si>
    <t>Вес ручки, кг</t>
  </si>
  <si>
    <t>Вес ящика, кг</t>
  </si>
  <si>
    <t>Длина направляющей (NL), мм</t>
  </si>
  <si>
    <t>Высота боковин ящика</t>
  </si>
  <si>
    <t>РЕЗУЛЬТАТ:</t>
  </si>
  <si>
    <t>Размеры ящика</t>
  </si>
  <si>
    <t>В областях окрашеных в желтый -вводите значение вручную</t>
  </si>
  <si>
    <t>В областях окрашеных в зеленый -выбирайте значение из выпадающего списка</t>
  </si>
  <si>
    <t>ВНИМАНИЕ! При расчете веса ящика получаются ориентировочные значения!</t>
  </si>
  <si>
    <t>переменная</t>
  </si>
  <si>
    <t>C вн</t>
  </si>
  <si>
    <r>
      <t>высота</t>
    </r>
    <r>
      <rPr>
        <b/>
        <sz val="11"/>
        <color theme="1"/>
        <rFont val="Calibri"/>
        <family val="2"/>
        <charset val="204"/>
        <scheme val="minor"/>
      </rPr>
      <t xml:space="preserve"> C </t>
    </r>
    <r>
      <rPr>
        <sz val="11"/>
        <color theme="1"/>
        <rFont val="Calibri"/>
        <family val="2"/>
        <charset val="204"/>
        <scheme val="minor"/>
      </rPr>
      <t>внутренний</t>
    </r>
  </si>
  <si>
    <t>M вн</t>
  </si>
  <si>
    <t>ДВП</t>
  </si>
  <si>
    <r>
      <t xml:space="preserve">высота </t>
    </r>
    <r>
      <rPr>
        <b/>
        <sz val="11"/>
        <color theme="1"/>
        <rFont val="Calibri"/>
        <family val="2"/>
        <charset val="204"/>
        <scheme val="minor"/>
      </rPr>
      <t xml:space="preserve">M </t>
    </r>
    <r>
      <rPr>
        <sz val="11"/>
        <color theme="1"/>
        <rFont val="Calibri"/>
        <family val="2"/>
        <charset val="204"/>
        <scheme val="minor"/>
      </rPr>
      <t>внутренний</t>
    </r>
  </si>
  <si>
    <t>F</t>
  </si>
  <si>
    <t>Фасад</t>
  </si>
  <si>
    <t>4 мм</t>
  </si>
  <si>
    <r>
      <t>высота</t>
    </r>
    <r>
      <rPr>
        <b/>
        <sz val="11"/>
        <color theme="1"/>
        <rFont val="Calibri"/>
        <family val="2"/>
        <charset val="204"/>
        <scheme val="minor"/>
      </rPr>
      <t xml:space="preserve"> F</t>
    </r>
  </si>
  <si>
    <t>C</t>
  </si>
  <si>
    <t>Дно</t>
  </si>
  <si>
    <t>Массив Дуба</t>
  </si>
  <si>
    <r>
      <t>высота</t>
    </r>
    <r>
      <rPr>
        <b/>
        <sz val="11"/>
        <color theme="1"/>
        <rFont val="Calibri"/>
        <family val="2"/>
        <charset val="204"/>
        <scheme val="minor"/>
      </rPr>
      <t xml:space="preserve"> C</t>
    </r>
  </si>
  <si>
    <t>K</t>
  </si>
  <si>
    <t>Задн стенка</t>
  </si>
  <si>
    <t>18 мм</t>
  </si>
  <si>
    <t>Массив Ясеня</t>
  </si>
  <si>
    <r>
      <t>высота</t>
    </r>
    <r>
      <rPr>
        <b/>
        <sz val="11"/>
        <color theme="1"/>
        <rFont val="Calibri"/>
        <family val="2"/>
        <charset val="204"/>
        <scheme val="minor"/>
      </rPr>
      <t xml:space="preserve"> K</t>
    </r>
  </si>
  <si>
    <t>N</t>
  </si>
  <si>
    <t>Ящик</t>
  </si>
  <si>
    <t>Только задняя царга</t>
  </si>
  <si>
    <t>16 мм</t>
  </si>
  <si>
    <t>Массив Ольхи</t>
  </si>
  <si>
    <r>
      <t xml:space="preserve">высота </t>
    </r>
    <r>
      <rPr>
        <b/>
        <sz val="11"/>
        <color theme="1"/>
        <rFont val="Calibri"/>
        <family val="2"/>
        <charset val="204"/>
        <scheme val="minor"/>
      </rPr>
      <t>M</t>
    </r>
  </si>
  <si>
    <t>M</t>
  </si>
  <si>
    <t>Вес</t>
  </si>
  <si>
    <t>толщина</t>
  </si>
  <si>
    <t>плотность</t>
  </si>
  <si>
    <t>квадратура</t>
  </si>
  <si>
    <t>Элемент</t>
  </si>
  <si>
    <t>Передняя и задняя царга</t>
  </si>
  <si>
    <t>10 мм</t>
  </si>
  <si>
    <t>ДСП</t>
  </si>
  <si>
    <r>
      <t>высота</t>
    </r>
    <r>
      <rPr>
        <b/>
        <sz val="11"/>
        <color theme="1"/>
        <rFont val="Calibri"/>
        <family val="2"/>
        <charset val="204"/>
        <scheme val="minor"/>
      </rPr>
      <t xml:space="preserve"> N</t>
    </r>
  </si>
  <si>
    <t>задн ст</t>
  </si>
  <si>
    <t>Веса ящика 500</t>
  </si>
  <si>
    <t>Веса ящика 450</t>
  </si>
  <si>
    <t>выс</t>
  </si>
  <si>
    <t>Номер столбца по весу</t>
  </si>
  <si>
    <t>Итоги</t>
  </si>
  <si>
    <t>Пер царга</t>
  </si>
  <si>
    <t>Толщина материала</t>
  </si>
  <si>
    <t>Плотность</t>
  </si>
  <si>
    <t>NL</t>
  </si>
  <si>
    <t>Все высоты</t>
  </si>
  <si>
    <t xml:space="preserve"> МДФ -- 760 кг/м³ </t>
  </si>
  <si>
    <t xml:space="preserve"> Массив Дуба -- 690 кг/м³ </t>
  </si>
  <si>
    <t>Массив Ясеня -- 750 кг/м³</t>
  </si>
  <si>
    <t>Высота фасада, мм</t>
  </si>
  <si>
    <t xml:space="preserve">Массив Ольхи -- 550 кг/м³ </t>
  </si>
  <si>
    <t>Ширина фасада, мм</t>
  </si>
  <si>
    <t xml:space="preserve"> ДСП -- 680 кг/м³ </t>
  </si>
  <si>
    <t>Высота боковин ящика, мм</t>
  </si>
  <si>
    <t xml:space="preserve">Используемые при расчете коэф. плотности материалов:  </t>
  </si>
  <si>
    <t>S1</t>
  </si>
  <si>
    <r>
      <t xml:space="preserve">Тип механизма                                                                                            </t>
    </r>
    <r>
      <rPr>
        <b/>
        <sz val="9"/>
        <color theme="0"/>
        <rFont val="Calibri"/>
        <family val="2"/>
        <charset val="204"/>
      </rPr>
      <t>↙  ↓</t>
    </r>
    <r>
      <rPr>
        <b/>
        <sz val="9"/>
        <color theme="0"/>
        <rFont val="Calibri"/>
        <family val="2"/>
        <charset val="204"/>
        <scheme val="minor"/>
      </rPr>
      <t xml:space="preserve">   </t>
    </r>
    <r>
      <rPr>
        <b/>
        <sz val="9"/>
        <color theme="0"/>
        <rFont val="Calibri"/>
        <family val="2"/>
        <charset val="204"/>
      </rPr>
      <t>↓  ↘</t>
    </r>
  </si>
  <si>
    <r>
      <t xml:space="preserve">Вес ящика </t>
    </r>
    <r>
      <rPr>
        <b/>
        <sz val="9"/>
        <color theme="0"/>
        <rFont val="Calibri"/>
        <family val="2"/>
        <charset val="204"/>
      </rPr>
      <t>→</t>
    </r>
  </si>
  <si>
    <t>Рекомендуемый тип механизма подсвечивается красным согласно заданным вами параметрам</t>
  </si>
  <si>
    <t>Наличие передней царги</t>
  </si>
  <si>
    <t>Тип ящика</t>
  </si>
  <si>
    <t>Материал дна ящика</t>
  </si>
  <si>
    <t>Материал стенок ящика</t>
  </si>
  <si>
    <t>Параметры материала</t>
  </si>
  <si>
    <t>фасад</t>
  </si>
  <si>
    <t>дно</t>
  </si>
  <si>
    <t>царга П</t>
  </si>
  <si>
    <t>царга З</t>
  </si>
  <si>
    <t>боковина П</t>
  </si>
  <si>
    <t>боковина Л</t>
  </si>
  <si>
    <t>высота M</t>
  </si>
  <si>
    <t xml:space="preserve"> ДВП -- 900 кг/м³</t>
  </si>
  <si>
    <t xml:space="preserve">               TIP-ON BLUMOTION  для LEGRABOX</t>
  </si>
  <si>
    <t>С О Д Е Р Ж А Н И Е:</t>
  </si>
  <si>
    <t>В областях окрашеных в зеленый -выберите значение из предложенного списка -</t>
  </si>
  <si>
    <t>В областях окрашеных в желтый -введите значение вручную -</t>
  </si>
  <si>
    <t>РЕЗУЛЬТАТ РАСЧЁТА:</t>
  </si>
  <si>
    <t>Фасады ДСП (16 мм) с наклеенным СТЕКЛОМ (4 мм)+ ДСП (16 мм) с наклеенным СТЕКЛОМ (4 мм)</t>
  </si>
  <si>
    <t>Фасад ДСП (16 мм) с наклеенным СТЕКЛОМ (4 мм)</t>
  </si>
  <si>
    <t>20K2C01 + 20K2E01 /                                    20K2C01T + 20K2E01T</t>
  </si>
  <si>
    <t>Задать вопрос:</t>
  </si>
  <si>
    <t>дополнительная информация об изделии в интернете</t>
  </si>
  <si>
    <t xml:space="preserve">   ВНИМАНИЕ! При расчете веса ящика получаются ориентировочные значения!</t>
  </si>
  <si>
    <t>ВЫПИСКА И СХЕМА МОНТАЖА TIP-ON BLUMOTION ДЛЯ LEGRABOX</t>
  </si>
  <si>
    <t>← СОДЕРЖАНИЕ:</t>
  </si>
  <si>
    <t xml:space="preserve">               TIP-ON BLUMOTION  для TANDEMBOX</t>
  </si>
  <si>
    <t>Высота боковин ящика TANDEMBOX</t>
  </si>
  <si>
    <t>Данный калькулятор предназначен для быстрого расчёта веса фасадов и правильного выбора необходимых механизмов BLUM.</t>
  </si>
  <si>
    <t xml:space="preserve">Выбрав в содержании нужный тип механизма AVENTOS, калькулятор предлагает различные варианты часто используемых материалов фасадов. </t>
  </si>
  <si>
    <t xml:space="preserve">В калькуляторе можно ознакомиться со схемами монтажа механизмов BLUM  и перейдя по ссылкам в содержании получить дополнительную информацию об изделиях. </t>
  </si>
  <si>
    <t>Для оптимального функционирования и увеличения области срабатывания рекомендуется использовать синхронизатор TIP-ON BLUMOTION.</t>
  </si>
  <si>
    <t xml:space="preserve">Для определения нужного типа механизмов AVENTOS или TIP-ON BLUMOTION, необходимо внести в ячейках таблицы требуемые параметры, напротив выбранного материала (например: размеры корпуса и вес ручки). </t>
  </si>
  <si>
    <t>Описание:</t>
  </si>
  <si>
    <t>Наши контакты:</t>
  </si>
  <si>
    <t>+375 17 3 200 100 тел./факс</t>
  </si>
  <si>
    <t>+375 29 3 940 100 Velcom</t>
  </si>
  <si>
    <t>+375 33 3 640 100 MTC</t>
  </si>
  <si>
    <t>blum@antarion.by</t>
  </si>
  <si>
    <t>Минская обл., Минский р-н, Новодворский с/с, 40-8а, район д. Большое Стиклево, 2 этаж.</t>
  </si>
  <si>
    <t>Время работы: Пн-Пт. 09:00-18:00 (без перерыва на обед).</t>
  </si>
  <si>
    <t>Офис и фирменный магазин Blum</t>
  </si>
  <si>
    <t>Офис и склад в одном месте.</t>
  </si>
  <si>
    <t>Номинальная длина (NL), мм</t>
  </si>
  <si>
    <t>Высота задней стенки, мм</t>
  </si>
  <si>
    <t>Ширина задней стенки, мм</t>
  </si>
  <si>
    <t>Ширина дна ящика, мм</t>
  </si>
  <si>
    <t>Длина дна ящика, мм</t>
  </si>
  <si>
    <t>B</t>
  </si>
  <si>
    <t>D</t>
  </si>
  <si>
    <t>ПРИМЕР:</t>
  </si>
  <si>
    <t>Высота LEGRABOX</t>
  </si>
  <si>
    <t>Высота TANDEMBOX</t>
  </si>
  <si>
    <t>написать нам письмо</t>
  </si>
  <si>
    <t>Внутренняя ширина корпуса (LW), мм</t>
  </si>
  <si>
    <t>Размер ширины противоскользящего коврика в TBX, мм</t>
  </si>
  <si>
    <t>Размер глубины противоскользящего коврика в TBX, мм</t>
  </si>
  <si>
    <t>Размер ширины противоскользящего коврика в LBX, мм</t>
  </si>
  <si>
    <t>Размер глубины противоскользящего коврика в LBX, мм</t>
  </si>
  <si>
    <t>Размер глубины для внутреннего ящика LBX с передней вставкой</t>
  </si>
  <si>
    <t xml:space="preserve">Расчёт для стандартного и внутреннего ящика LEGRABOX:
Длина: НД- 27 мм
(Номинальная Длина)
Ширина: ВШК- 43 мм
(Внутреняя Ширина Корпуса)
</t>
  </si>
  <si>
    <t xml:space="preserve">Внутренний ящик с передней вставкой
Расчёт:
Длина: НД - 40 мм
Ширина: ВШК- 43 мм
</t>
  </si>
  <si>
    <t>Расчёт размеров ковриков по длине и ширине: Ширна коврика:  ВШК - 85 мм Длина коврика:  НД -  25 мм.   ВШК: внутреняя ширина корпуса НД: номинальная длина выдвижной системы</t>
  </si>
  <si>
    <r>
      <rPr>
        <b/>
        <sz val="14"/>
        <rFont val="Arial"/>
        <family val="2"/>
        <charset val="204"/>
      </rPr>
      <t>Фасад ДСП</t>
    </r>
    <r>
      <rPr>
        <b/>
        <sz val="10"/>
        <rFont val="Arial"/>
        <family val="2"/>
        <charset val="204"/>
      </rPr>
      <t xml:space="preserve"> (16 мм)</t>
    </r>
    <r>
      <rPr>
        <b/>
        <sz val="12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с наклеенным СТЕКЛОМ</t>
    </r>
    <r>
      <rPr>
        <b/>
        <sz val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(4 мм)</t>
    </r>
  </si>
  <si>
    <t>Толщина фасада, мм</t>
  </si>
  <si>
    <r>
      <t xml:space="preserve">Фасады ДСП + ДСП </t>
    </r>
    <r>
      <rPr>
        <b/>
        <sz val="10"/>
        <rFont val="Arial"/>
        <family val="2"/>
        <charset val="204"/>
      </rPr>
      <t>(плотность 680 кг/м³)</t>
    </r>
  </si>
  <si>
    <r>
      <t xml:space="preserve">Фасады МДФ + МДФ </t>
    </r>
    <r>
      <rPr>
        <b/>
        <sz val="10"/>
        <rFont val="Arial"/>
        <family val="2"/>
        <charset val="204"/>
      </rPr>
      <t>(плотность 760 кг/м³)</t>
    </r>
  </si>
  <si>
    <r>
      <t xml:space="preserve">Фасад ДСП
</t>
    </r>
    <r>
      <rPr>
        <b/>
        <sz val="10"/>
        <rFont val="Arial"/>
        <family val="2"/>
        <charset val="204"/>
      </rPr>
      <t>(плотность 680 кг/м³)</t>
    </r>
  </si>
  <si>
    <r>
      <rPr>
        <b/>
        <sz val="14"/>
        <rFont val="Arial"/>
        <family val="2"/>
        <charset val="204"/>
      </rPr>
      <t>Фасад МДФ</t>
    </r>
    <r>
      <rPr>
        <b/>
        <sz val="16"/>
        <rFont val="Arial"/>
        <family val="2"/>
        <charset val="204"/>
      </rPr>
      <t xml:space="preserve">
</t>
    </r>
    <r>
      <rPr>
        <b/>
        <sz val="10"/>
        <rFont val="Arial"/>
        <family val="2"/>
        <charset val="204"/>
      </rPr>
      <t>(плотность 760 кг/м³)</t>
    </r>
  </si>
  <si>
    <r>
      <rPr>
        <b/>
        <sz val="16"/>
        <rFont val="Arial"/>
        <family val="2"/>
        <charset val="204"/>
      </rPr>
      <t xml:space="preserve">Фасад ДСП </t>
    </r>
    <r>
      <rPr>
        <b/>
        <sz val="10"/>
        <rFont val="Arial"/>
        <family val="2"/>
        <charset val="204"/>
      </rPr>
      <t>(плотность 680 кг/м³)</t>
    </r>
  </si>
  <si>
    <r>
      <t xml:space="preserve">Фасад МДФ </t>
    </r>
    <r>
      <rPr>
        <b/>
        <sz val="10"/>
        <rFont val="Arial"/>
        <family val="2"/>
        <charset val="204"/>
      </rPr>
      <t>(плотность 760 кг/м³)</t>
    </r>
  </si>
  <si>
    <r>
      <rPr>
        <b/>
        <sz val="16"/>
        <rFont val="Arial"/>
        <family val="2"/>
        <charset val="204"/>
      </rPr>
      <t xml:space="preserve">Фасад МДФ </t>
    </r>
    <r>
      <rPr>
        <b/>
        <sz val="10"/>
        <rFont val="Arial"/>
        <family val="2"/>
        <charset val="204"/>
      </rPr>
      <t>(плотность 760 кг/м³)</t>
    </r>
  </si>
  <si>
    <r>
      <t xml:space="preserve">Фасад ДСП </t>
    </r>
    <r>
      <rPr>
        <b/>
        <sz val="10"/>
        <rFont val="Arial"/>
        <family val="2"/>
        <charset val="204"/>
      </rPr>
      <t>(плотность 680 кг/м³)</t>
    </r>
  </si>
  <si>
    <r>
      <t xml:space="preserve">Фасад ДСП </t>
    </r>
    <r>
      <rPr>
        <b/>
        <sz val="12"/>
        <rFont val="Arial"/>
        <family val="2"/>
        <charset val="204"/>
      </rPr>
      <t>(плотность 680 кг/м³)</t>
    </r>
  </si>
  <si>
    <r>
      <t xml:space="preserve">Фасад МДФ </t>
    </r>
    <r>
      <rPr>
        <b/>
        <sz val="12"/>
        <rFont val="Arial"/>
        <family val="2"/>
        <charset val="204"/>
      </rPr>
      <t>(плотность 760 кг/м³)</t>
    </r>
  </si>
  <si>
    <t xml:space="preserve">Н </t>
  </si>
  <si>
    <t xml:space="preserve">
=</t>
  </si>
  <si>
    <t>Позиция крепления силового механизма:</t>
  </si>
  <si>
    <t>Введите высоту корпуса (мм):</t>
  </si>
  <si>
    <t>Наложение фасада на боковину корпуса (мм):</t>
  </si>
  <si>
    <t>Для получения необходимых размеров заполните крассные ячейки:</t>
  </si>
  <si>
    <t>22K23***/ 22K23***T</t>
  </si>
  <si>
    <t>22K25*** / 22K25***T</t>
  </si>
  <si>
    <t>22K27*** / 22K27***T</t>
  </si>
  <si>
    <t>22K29*** / 22K29***T</t>
  </si>
  <si>
    <t>Комплект с TIP-ON</t>
  </si>
  <si>
    <t>Позиция крепления механизма в корпусе:</t>
  </si>
  <si>
    <t>Позиция крепления фасада:</t>
  </si>
  <si>
    <t>Выберите необходимые значения в двух ячейках</t>
  </si>
  <si>
    <t>Накладная петля</t>
  </si>
  <si>
    <t>Полунакладная петля</t>
  </si>
  <si>
    <t>Толщина крышки корпуса в мм, (SOB)</t>
  </si>
  <si>
    <t>14 мм</t>
  </si>
  <si>
    <t>15 мм</t>
  </si>
  <si>
    <t>17 мм</t>
  </si>
  <si>
    <t>20 мм</t>
  </si>
  <si>
    <t>21 мм</t>
  </si>
  <si>
    <t>22 мм</t>
  </si>
  <si>
    <t>23 мм</t>
  </si>
  <si>
    <t>24 мм</t>
  </si>
  <si>
    <t>25 мм</t>
  </si>
  <si>
    <t>26 мм</t>
  </si>
  <si>
    <t>27 мм</t>
  </si>
  <si>
    <t>28 мм</t>
  </si>
  <si>
    <t>29 мм</t>
  </si>
  <si>
    <t>30 мм</t>
  </si>
  <si>
    <t>1 мм</t>
  </si>
  <si>
    <t>2 мм</t>
  </si>
  <si>
    <t>3 мм</t>
  </si>
  <si>
    <t>5 мм</t>
  </si>
  <si>
    <t>6 мм</t>
  </si>
  <si>
    <t>7 мм</t>
  </si>
  <si>
    <t>8 мм</t>
  </si>
  <si>
    <t>9 мм</t>
  </si>
  <si>
    <t>11 мм</t>
  </si>
  <si>
    <t>12 мм</t>
  </si>
  <si>
    <t>13 мм</t>
  </si>
  <si>
    <t>H  =</t>
  </si>
  <si>
    <t>Наложение фасада, при ответной планке 0 мм, (тип петли)</t>
  </si>
  <si>
    <t>Верхнее наложение (Fao), в мм</t>
  </si>
  <si>
    <t>Боковое наложение (SFA), в мм</t>
  </si>
  <si>
    <t>Введите высоту верхнего фасада (FH):</t>
  </si>
  <si>
    <t>Позиция крепления ответной планки телескопического рычага</t>
  </si>
  <si>
    <t>Необходимая длина вала синхронизации, мм</t>
  </si>
  <si>
    <t>Наружная ширина корпуса, мм</t>
  </si>
  <si>
    <t>Колличество ящиков, на которое достаточно одного вала синхронизации, шт</t>
  </si>
  <si>
    <r>
      <t xml:space="preserve">TANDEMBOX 
</t>
    </r>
    <r>
      <rPr>
        <sz val="12"/>
        <color theme="1"/>
        <rFont val="Calibri"/>
        <family val="2"/>
        <charset val="204"/>
        <scheme val="minor"/>
      </rPr>
      <t>(Внутренняя ширина корпуса - 240 мм)</t>
    </r>
  </si>
  <si>
    <r>
      <t xml:space="preserve">LEGRABOX
</t>
    </r>
    <r>
      <rPr>
        <sz val="12"/>
        <color theme="1"/>
        <rFont val="Calibri"/>
        <family val="2"/>
        <charset val="204"/>
        <scheme val="minor"/>
      </rPr>
      <t>(Внутренняя ширина корпуса - 247 мм)</t>
    </r>
  </si>
  <si>
    <r>
      <t xml:space="preserve">LEGRABOX для ящика под мойку
</t>
    </r>
    <r>
      <rPr>
        <sz val="12"/>
        <color theme="1"/>
        <rFont val="Calibri"/>
        <family val="2"/>
        <charset val="204"/>
        <scheme val="minor"/>
      </rPr>
      <t>(Внутренняя ширина корпуса - 247 мм)</t>
    </r>
  </si>
  <si>
    <r>
      <t xml:space="preserve">Внутренняя ширина корпуса, мм 
</t>
    </r>
    <r>
      <rPr>
        <sz val="12"/>
        <color theme="1"/>
        <rFont val="Calibri"/>
        <family val="2"/>
        <charset val="204"/>
        <scheme val="minor"/>
      </rPr>
      <t>(толщина боковин корпуса 18 мм)</t>
    </r>
  </si>
  <si>
    <r>
      <t xml:space="preserve">MOVENTO
</t>
    </r>
    <r>
      <rPr>
        <sz val="12"/>
        <color theme="1"/>
        <rFont val="Calibri"/>
        <family val="2"/>
        <charset val="204"/>
        <scheme val="minor"/>
      </rPr>
      <t>(Внутренняя ширина корпуса - 267 мм)</t>
    </r>
  </si>
  <si>
    <t>Вал синхронизации TIP-ON BLUMOTION (T60.1125W; длина=1125 мм) для:</t>
  </si>
  <si>
    <t>Раскрой валов синхронизации TIP-ON BLUMOTION и TIP-ON</t>
  </si>
  <si>
    <t>Комплект силового механизма (вес в кг)</t>
  </si>
  <si>
    <t>2 силовых механизма AVENTOS HK top 23</t>
  </si>
  <si>
    <t>2 силовых механизма AVENTOS HK top 25</t>
  </si>
  <si>
    <t>2 силовых механизма AVENTOS HK top 27</t>
  </si>
  <si>
    <t>2 силовых механизма AVENTOS HK top 29</t>
  </si>
  <si>
    <t xml:space="preserve">2 силовых механизма AVENTOS HK-S "C" </t>
  </si>
  <si>
    <t>Cиловой механизм AVENTOSs HK-S "C" (1 шт) и силовой механизм AVENTOS HK-S "E" (1 шт)</t>
  </si>
  <si>
    <t xml:space="preserve">2 силовых механизма AVENTOS HK-S "E" </t>
  </si>
  <si>
    <r>
      <rPr>
        <b/>
        <sz val="14"/>
        <color theme="1"/>
        <rFont val="Calibri"/>
        <family val="2"/>
        <charset val="204"/>
        <scheme val="minor"/>
      </rPr>
      <t>TANDEM plus 560F  (полное выдвижение)</t>
    </r>
    <r>
      <rPr>
        <sz val="14"/>
        <color theme="1"/>
        <rFont val="Calibri"/>
        <family val="2"/>
        <scheme val="minor"/>
      </rPr>
      <t xml:space="preserve">. </t>
    </r>
    <r>
      <rPr>
        <sz val="14"/>
        <color theme="1"/>
        <rFont val="Calibri"/>
        <family val="2"/>
        <charset val="204"/>
        <scheme val="minor"/>
      </rPr>
      <t xml:space="preserve">Вал синхронизации TIP-ON  (T55.889W). Длина: 889 мм, для ширины корпуса: 1200 мм.
</t>
    </r>
    <r>
      <rPr>
        <sz val="12"/>
        <color theme="1"/>
        <rFont val="Calibri"/>
        <family val="2"/>
        <charset val="204"/>
        <scheme val="minor"/>
      </rPr>
      <t>(Внутренняя ширина корпуса - 284 мм)</t>
    </r>
  </si>
  <si>
    <r>
      <rPr>
        <b/>
        <sz val="14"/>
        <color theme="1"/>
        <rFont val="Calibri"/>
        <family val="2"/>
        <charset val="204"/>
        <scheme val="minor"/>
      </rPr>
      <t>TANDEM plus 560F  (полное выдвижение)</t>
    </r>
    <r>
      <rPr>
        <sz val="14"/>
        <color theme="1"/>
        <rFont val="Calibri"/>
        <family val="2"/>
        <scheme val="minor"/>
      </rPr>
      <t>.</t>
    </r>
    <r>
      <rPr>
        <sz val="14"/>
        <color theme="1"/>
        <rFont val="Calibri"/>
        <family val="2"/>
        <charset val="204"/>
        <scheme val="minor"/>
      </rPr>
      <t xml:space="preserve"> Вал синхронизации TIP-ON  (T55.1089ZR). Длина: 1089 мм, для ширины корпуса: 1400 мм.
</t>
    </r>
    <r>
      <rPr>
        <sz val="12"/>
        <color theme="1"/>
        <rFont val="Calibri"/>
        <family val="2"/>
        <charset val="204"/>
        <scheme val="minor"/>
      </rPr>
      <t>(Внутренняя ширина корпуса - 284 мм)</t>
    </r>
  </si>
  <si>
    <r>
      <rPr>
        <b/>
        <sz val="14"/>
        <color theme="1"/>
        <rFont val="Calibri"/>
        <family val="2"/>
        <charset val="204"/>
        <scheme val="minor"/>
      </rPr>
      <t>TANDEM 550F/560F  (частичное и полное выдвижение со встроенным TIP-ON)</t>
    </r>
    <r>
      <rPr>
        <sz val="14"/>
        <color theme="1"/>
        <rFont val="Calibri"/>
        <family val="2"/>
        <scheme val="minor"/>
      </rPr>
      <t>.</t>
    </r>
    <r>
      <rPr>
        <sz val="14"/>
        <color theme="1"/>
        <rFont val="Calibri"/>
        <family val="2"/>
        <charset val="204"/>
        <scheme val="minor"/>
      </rPr>
      <t xml:space="preserve"> Вал синхронизации TIP-ON  (T57.1140S). Длина: 1140 мм, для ширины корпуса: 1200 мм.
</t>
    </r>
    <r>
      <rPr>
        <sz val="12"/>
        <color theme="1"/>
        <rFont val="Calibri"/>
        <family val="2"/>
        <charset val="204"/>
        <scheme val="minor"/>
      </rPr>
      <t>(Внутренняя ширина корпуса - 39 мм)</t>
    </r>
  </si>
  <si>
    <t>Напротив ячейки с материалом Вашего фасада введите его высоту (от 480 до 1200 мм) и ширину (до 1800 мм).</t>
  </si>
  <si>
    <t>22F2501</t>
  </si>
  <si>
    <t>ВНИМАНИЕ! 
При расчете веса фасада
получаются ориентировочные значения!</t>
  </si>
  <si>
    <t>Силовой механизм AVENTOS HF top 25</t>
  </si>
  <si>
    <t>Силовой механизм Aventos HF top 28</t>
  </si>
  <si>
    <t>22F2801</t>
  </si>
  <si>
    <t>Телескопический рычаг 32</t>
  </si>
  <si>
    <t>22F3501</t>
  </si>
  <si>
    <t>22F3201</t>
  </si>
  <si>
    <t>Телескопический рычаг 35</t>
  </si>
  <si>
    <t>22F3901</t>
  </si>
  <si>
    <t>Телескопический рычаг 39</t>
  </si>
  <si>
    <t>Силовой механизм AVENTOS HF top 28</t>
  </si>
  <si>
    <t>Выписка AVENTOS HF top</t>
  </si>
  <si>
    <t>22F2X01</t>
  </si>
  <si>
    <t>22F3X01</t>
  </si>
  <si>
    <t>Заглушка правая</t>
  </si>
  <si>
    <t>22.8001  R</t>
  </si>
  <si>
    <t>Заглушка левая</t>
  </si>
  <si>
    <t>22.8001  L</t>
  </si>
  <si>
    <t>Элемент брендинга</t>
  </si>
  <si>
    <t>ABD.1009</t>
  </si>
  <si>
    <t>При установке ограничителя в позицию 97°:</t>
  </si>
  <si>
    <t>При установке ограничителя в позицию 88°:</t>
  </si>
  <si>
    <t>При установке ограничителя в позицию 81°:</t>
  </si>
  <si>
    <t>Необходимое пространство над корпусом (Y):</t>
  </si>
  <si>
    <t>Введите толщину нижнего фасада (FD):</t>
  </si>
  <si>
    <t>Необходимое пространство над и перед корпусом</t>
  </si>
  <si>
    <t>Необходимое пространство перед корпусом (X):</t>
  </si>
  <si>
    <r>
      <t>При установке ограничителя в позицию 107</t>
    </r>
    <r>
      <rPr>
        <b/>
        <sz val="10"/>
        <rFont val="Calibri"/>
        <family val="2"/>
        <charset val="204"/>
      </rPr>
      <t>°:</t>
    </r>
  </si>
  <si>
    <t>350 - 450</t>
  </si>
  <si>
    <t>Высота корпуса (мм)</t>
  </si>
  <si>
    <t>450 - 540</t>
  </si>
  <si>
    <t>480 - 660</t>
  </si>
  <si>
    <t>650 - 800</t>
  </si>
  <si>
    <t>2 - 11,5</t>
  </si>
  <si>
    <t>2,5 - 12,5</t>
  </si>
  <si>
    <t>22S2200</t>
  </si>
  <si>
    <t>22S2500</t>
  </si>
  <si>
    <t>22S2800</t>
  </si>
  <si>
    <t>2,75 - 15,25</t>
  </si>
  <si>
    <t>3,5 - 18,5</t>
  </si>
  <si>
    <t>Тип силового механизма</t>
  </si>
  <si>
    <t>22S3501</t>
  </si>
  <si>
    <t>Рычаг симметричный Авентос HS top</t>
  </si>
  <si>
    <t>Вес фасада для 2-х силовых механизмов (кг)</t>
  </si>
  <si>
    <t>№</t>
  </si>
  <si>
    <t>Колличество, шт</t>
  </si>
  <si>
    <t>Силовой механизм AVENTOS HS top</t>
  </si>
  <si>
    <t>Необходимый тип механизма:</t>
  </si>
  <si>
    <t>Проектирование Aventos HK top</t>
  </si>
  <si>
    <t>Проектирование Aventos HK-S</t>
  </si>
  <si>
    <t>Проектирование Aventos HK-XS</t>
  </si>
  <si>
    <t>ВЫПИСКА И СХЕМА МОНТАЖА TIP-ON BLUMOTION ДЛЯ TANDEMBOX</t>
  </si>
  <si>
    <t>Выписка Aventos HS top :</t>
  </si>
  <si>
    <r>
      <t>22S</t>
    </r>
    <r>
      <rPr>
        <b/>
        <sz val="12"/>
        <rFont val="Arial"/>
        <family val="2"/>
        <charset val="204"/>
      </rPr>
      <t>Х</t>
    </r>
    <r>
      <rPr>
        <sz val="12"/>
        <rFont val="Arial"/>
        <family val="2"/>
        <charset val="204"/>
      </rPr>
      <t>01</t>
    </r>
  </si>
  <si>
    <t>Заглушка правая, цвета: SW, HGR, TGR</t>
  </si>
  <si>
    <t>Заглушка левая, цвета: SW, HGR, TGR</t>
  </si>
  <si>
    <t xml:space="preserve">Элемент брендинга, с логотипом Blum </t>
  </si>
  <si>
    <t>300 - 339</t>
  </si>
  <si>
    <t>Высота корпуса, мм</t>
  </si>
  <si>
    <t>340 - 389</t>
  </si>
  <si>
    <t>390 - 540</t>
  </si>
  <si>
    <t>480 - 580</t>
  </si>
  <si>
    <t>22L2200</t>
  </si>
  <si>
    <t>22L2500</t>
  </si>
  <si>
    <t>22L3200</t>
  </si>
  <si>
    <t>22L3500</t>
  </si>
  <si>
    <t>22L3800</t>
  </si>
  <si>
    <t>22L3900</t>
  </si>
  <si>
    <t>1,5 кг - 9 кг</t>
  </si>
  <si>
    <t>1,75 кг - 10 кг</t>
  </si>
  <si>
    <t>2 кг - 12,25 кг</t>
  </si>
  <si>
    <t>2,5 кг - 14 кг</t>
  </si>
  <si>
    <r>
      <t>Силовой механизм, симметричный HL top"</t>
    </r>
    <r>
      <rPr>
        <b/>
        <sz val="10"/>
        <color indexed="8"/>
        <rFont val="Arial"/>
        <family val="2"/>
        <charset val="204"/>
      </rPr>
      <t>X</t>
    </r>
    <r>
      <rPr>
        <sz val="10"/>
        <color indexed="8"/>
        <rFont val="Arial"/>
        <family val="2"/>
        <charset val="204"/>
      </rPr>
      <t>"</t>
    </r>
  </si>
  <si>
    <r>
      <t>22L2</t>
    </r>
    <r>
      <rPr>
        <b/>
        <sz val="12"/>
        <rFont val="Arial"/>
        <family val="2"/>
        <charset val="204"/>
      </rPr>
      <t>X</t>
    </r>
    <r>
      <rPr>
        <sz val="10"/>
        <rFont val="Arial"/>
        <family val="2"/>
        <charset val="204"/>
      </rPr>
      <t>01</t>
    </r>
  </si>
  <si>
    <t xml:space="preserve">Рычаг Авентос HL top, симметричный </t>
  </si>
  <si>
    <r>
      <t>22L3</t>
    </r>
    <r>
      <rPr>
        <b/>
        <sz val="12"/>
        <rFont val="Arial"/>
        <family val="2"/>
        <charset val="204"/>
      </rPr>
      <t>X</t>
    </r>
    <r>
      <rPr>
        <sz val="10"/>
        <rFont val="Arial"/>
        <family val="2"/>
        <charset val="204"/>
      </rPr>
      <t>01</t>
    </r>
  </si>
  <si>
    <t>Наименование:</t>
  </si>
  <si>
    <t>22Q1076U</t>
  </si>
  <si>
    <t>Заглушка на поперечный стабилизатор</t>
  </si>
  <si>
    <t>Держатель для поперечного стабилизатора</t>
  </si>
  <si>
    <t>Компенсатор длины для поперечного стабилизатора</t>
  </si>
  <si>
    <t>Штанга под раскрой (вн.шир.к.LW –113 мм)</t>
  </si>
  <si>
    <t>22Q080Z</t>
  </si>
  <si>
    <t>Комплект соединителя для поперечного стабилизатора, круглый</t>
  </si>
  <si>
    <t>22Q0003</t>
  </si>
  <si>
    <t>22Q0002</t>
  </si>
  <si>
    <t>22Q0004</t>
  </si>
  <si>
    <t>Проектирование Aventos HL top</t>
  </si>
  <si>
    <t>Выписка Aventos HL top</t>
  </si>
  <si>
    <t xml:space="preserve">Крепление фасада для Z1 </t>
  </si>
  <si>
    <t>Проектирование Aventos HS top</t>
  </si>
  <si>
    <t>Крепление фасада для деревянных / для узких алюм. рамок</t>
  </si>
  <si>
    <t>20S4201 / 20S4201A</t>
  </si>
  <si>
    <t>Проектирование AVENTOS HF top</t>
  </si>
  <si>
    <t xml:space="preserve">     1)   AVENTOS HF top</t>
  </si>
  <si>
    <t xml:space="preserve">     2)   AVENTOS HS top</t>
  </si>
  <si>
    <t xml:space="preserve">     3)   AVENTOS HL top</t>
  </si>
  <si>
    <t xml:space="preserve">     4)   AVENTOS HK top</t>
  </si>
  <si>
    <t xml:space="preserve">     5)   AVENTOS HK-S</t>
  </si>
  <si>
    <t xml:space="preserve">     6)   AVENTOS HK-XS</t>
  </si>
  <si>
    <t xml:space="preserve">     7)   TIP-ON BLUMOTION для LEGRABOX</t>
  </si>
  <si>
    <t xml:space="preserve">     8)   TIP-ON BUMOTION для MOVENTO</t>
  </si>
  <si>
    <t xml:space="preserve">     9)   TIP-ON BLUMOTION для TANDEMBOX</t>
  </si>
  <si>
    <t xml:space="preserve">   10)   TANDEMBOX Intivo, Antaro, Plus - расчёт боковых вставок</t>
  </si>
  <si>
    <t xml:space="preserve">   11)   Расчёт размеров дна и задней стенки TANDEMBOX</t>
  </si>
  <si>
    <t xml:space="preserve">   12)   Расчёт размеров дна и задней стенки LEGRABOX</t>
  </si>
  <si>
    <t xml:space="preserve">   13)   Раскрой валов синхронизации TIP-ON BLUMOTION и TIP-ON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</si>
</sst>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0"/>
    <numFmt numFmtId="166" formatCode="0.0"/>
  </numFmts>
  <fonts count="163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b/>
      <u val="single"/>
      <sz val="32"/>
      <color indexed="9"/>
      <name val="Arial"/>
      <family val="2"/>
      <charset val="204"/>
    </font>
    <font>
      <b/>
      <sz val="12"/>
      <name val="Arial"/>
      <family val="2"/>
      <charset val="204"/>
    </font>
    <font>
      <b/>
      <sz val="17"/>
      <name val="Arial"/>
      <family val="2"/>
      <charset val="204"/>
    </font>
    <font>
      <b/>
      <sz val="15"/>
      <color indexed="12"/>
      <name val="Arial"/>
      <family val="2"/>
      <charset val="204"/>
    </font>
    <font>
      <b/>
      <u val="single"/>
      <sz val="14"/>
      <name val="Arial"/>
      <family val="2"/>
      <charset val="204"/>
    </font>
    <font>
      <b/>
      <sz val="20"/>
      <name val="Arial"/>
      <family val="2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8"/>
      <color indexed="9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9"/>
      <color indexed="8"/>
      <name val="Arial"/>
      <family val="2"/>
      <charset val="204"/>
    </font>
    <font>
      <b/>
      <sz val="16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name val="Tahoma"/>
      <family val="2"/>
      <charset val="204"/>
    </font>
    <font>
      <b/>
      <sz val="36"/>
      <color indexed="9"/>
      <name val="Arial"/>
      <family val="2"/>
      <charset val="204"/>
    </font>
    <font>
      <b/>
      <sz val="12.5"/>
      <name val="Arial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i/>
      <sz val="13.5"/>
      <name val="Arial"/>
      <family val="2"/>
      <charset val="204"/>
    </font>
    <font>
      <b/>
      <sz val="11"/>
      <name val="Arial"/>
      <family val="2"/>
      <charset val="204"/>
    </font>
    <font>
      <b/>
      <u val="single"/>
      <sz val="1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rgb="FF0000FF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i/>
      <sz val="18.5"/>
      <color rgb="FFFF0000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i/>
      <sz val="15"/>
      <color rgb="FF0000FF"/>
      <name val="Arial"/>
      <family val="2"/>
      <charset val="204"/>
    </font>
    <font>
      <b/>
      <sz val="18"/>
      <color rgb="FF1007C1"/>
      <name val="Arial"/>
      <family val="2"/>
      <charset val="204"/>
    </font>
    <font>
      <b/>
      <sz val="18"/>
      <color rgb="FF002060"/>
      <name val="Arial"/>
      <family val="2"/>
      <charset val="204"/>
    </font>
    <font>
      <sz val="2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2.5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i/>
      <sz val="14"/>
      <color indexed="8"/>
      <name val="Arial"/>
      <family val="2"/>
      <charset val="204"/>
    </font>
    <font>
      <b/>
      <i/>
      <sz val="15"/>
      <color indexed="12"/>
      <name val="Arial"/>
      <family val="2"/>
      <charset val="204"/>
    </font>
    <font>
      <b/>
      <i/>
      <sz val="14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i/>
      <sz val="15"/>
      <color indexed="8"/>
      <name val="Arial"/>
      <family val="2"/>
      <charset val="204"/>
    </font>
    <font>
      <b/>
      <u val="single"/>
      <sz val="32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3"/>
      <color theme="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2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8"/>
      <color theme="0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sz val="9"/>
      <color rgb="FFFF0000"/>
      <name val="Calibri"/>
      <family val="2"/>
    </font>
    <font>
      <sz val="11"/>
      <color theme="0" tint="-0.499960005283356"/>
      <name val="Calibri"/>
      <family val="2"/>
      <scheme val="minor"/>
    </font>
    <font>
      <b/>
      <sz val="9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20"/>
      <name val="Calibri"/>
      <family val="2"/>
      <charset val="204"/>
      <scheme val="minor"/>
    </font>
    <font>
      <sz val="9"/>
      <color rgb="FF00B050"/>
      <name val="Calibri"/>
      <family val="2"/>
      <scheme val="minor"/>
    </font>
    <font>
      <b/>
      <sz val="36"/>
      <name val="Arial"/>
      <family val="2"/>
      <charset val="204"/>
    </font>
    <font>
      <b/>
      <sz val="32"/>
      <color indexed="9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499960005283356"/>
      <name val="Calibri"/>
      <family val="2"/>
      <scheme val="minor"/>
    </font>
    <font>
      <b/>
      <sz val="16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0"/>
      <color rgb="FFFF6600"/>
      <name val="Calibri"/>
      <family val="2"/>
      <scheme val="minor"/>
    </font>
    <font>
      <sz val="11"/>
      <color rgb="FFFF6600"/>
      <name val="Calibri"/>
      <family val="2"/>
      <scheme val="minor"/>
    </font>
    <font>
      <b/>
      <sz val="9"/>
      <name val="Tahoma"/>
      <family val="2"/>
      <charset val="204"/>
    </font>
    <font>
      <sz val="14"/>
      <name val="Tahoma"/>
      <family val="2"/>
      <charset val="204"/>
    </font>
    <font>
      <u val="single"/>
      <sz val="10"/>
      <color theme="10"/>
      <name val="Arial"/>
      <family val="2"/>
      <charset val="204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0"/>
      <color rgb="FFFF0000"/>
      <name val="Arial"/>
      <family val="2"/>
      <charset val="204"/>
    </font>
    <font>
      <i/>
      <sz val="12"/>
      <color rgb="FFFF0000"/>
      <name val="Arial"/>
      <family val="2"/>
      <charset val="204"/>
    </font>
    <font>
      <b/>
      <i/>
      <sz val="10"/>
      <color theme="0"/>
      <name val="Arial"/>
      <family val="2"/>
      <charset val="204"/>
    </font>
    <font>
      <u val="single"/>
      <sz val="12"/>
      <name val="Arial"/>
      <family val="2"/>
      <charset val="204"/>
    </font>
    <font>
      <b/>
      <i/>
      <sz val="15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2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theme="0" tint="-0.499960005283356"/>
      <name val="Arial"/>
      <family val="2"/>
      <charset val="204"/>
    </font>
    <font>
      <sz val="12"/>
      <color theme="0" tint="-0.499960005283356"/>
      <name val="Arial"/>
      <family val="2"/>
      <charset val="204"/>
    </font>
    <font>
      <u val="single"/>
      <sz val="10"/>
      <color theme="0" tint="-0.499960005283356"/>
      <name val="Arial"/>
      <family val="2"/>
      <charset val="204"/>
    </font>
    <font>
      <sz val="10"/>
      <color theme="0" tint="-0.499960005283356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6"/>
      <color theme="1"/>
      <name val="Arial Rounded MT Bold"/>
      <family val="2"/>
    </font>
    <font>
      <sz val="14"/>
      <color theme="1"/>
      <name val="Calibri"/>
      <family val="2"/>
      <scheme val="minor"/>
    </font>
    <font>
      <u val="double"/>
      <sz val="14"/>
      <color theme="1"/>
      <name val="Calibri"/>
      <family val="2"/>
      <scheme val="minor"/>
    </font>
    <font>
      <b/>
      <sz val="14"/>
      <color rgb="FF0000FF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color theme="0"/>
      <name val="Arial"/>
      <family val="2"/>
      <charset val="204"/>
    </font>
    <font>
      <b/>
      <i/>
      <sz val="15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sz val="18"/>
      <color theme="1"/>
      <name val="Arial"/>
      <family val="2"/>
      <charset val="204"/>
    </font>
    <font>
      <b/>
      <sz val="18"/>
      <name val="Times New Roman"/>
      <family val="1"/>
      <charset val="204"/>
    </font>
    <font>
      <b/>
      <u val="single"/>
      <sz val="12"/>
      <name val="Arial"/>
      <family val="2"/>
      <charset val="204"/>
    </font>
    <font>
      <sz val="22"/>
      <color rgb="FFFF0000"/>
      <name val="Arial"/>
      <family val="2"/>
      <charset val="204"/>
    </font>
    <font>
      <b/>
      <sz val="14"/>
      <name val="Times New Roman"/>
      <family val="1"/>
      <charset val="204"/>
    </font>
    <font>
      <i/>
      <sz val="16"/>
      <color rgb="FFFF0000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i/>
      <sz val="1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1"/>
      <color theme="0"/>
      <name val="Arial"/>
      <family val="2"/>
      <charset val="204"/>
    </font>
    <font>
      <i/>
      <sz val="12"/>
      <color theme="0"/>
      <name val="Arial"/>
      <family val="2"/>
      <charset val="204"/>
    </font>
    <font>
      <b/>
      <i/>
      <sz val="12"/>
      <color theme="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8"/>
      <color rgb="FFFF0000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24"/>
      <color theme="0"/>
      <name val="Arial"/>
      <family val="2"/>
      <charset val="204"/>
    </font>
    <font>
      <sz val="18"/>
      <color theme="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u val="single"/>
      <sz val="32"/>
      <color theme="1"/>
      <name val="Arial"/>
      <family val="2"/>
      <charset val="204"/>
    </font>
    <font>
      <sz val="24"/>
      <color theme="1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20"/>
      <color indexed="9"/>
      <name val="Arial"/>
      <family val="2"/>
      <charset val="204"/>
    </font>
    <font>
      <b/>
      <sz val="20"/>
      <color theme="0"/>
      <name val="Arial"/>
      <family val="2"/>
      <charset val="204"/>
    </font>
    <font>
      <b/>
      <sz val="24"/>
      <color rgb="FFFFFFFF"/>
      <name val="Arial"/>
      <family val="2"/>
      <charset val="204"/>
    </font>
    <font>
      <sz val="12"/>
      <color indexed="8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0499700009822845"/>
        <bgColor indexed="64"/>
      </patternFill>
    </fill>
    <fill>
      <patternFill patternType="solid">
        <fgColor theme="0" tint="-0.49996000528335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6000528335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7999370098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E1D"/>
        <bgColor indexed="64"/>
      </patternFill>
    </fill>
    <fill>
      <patternFill patternType="solid">
        <fgColor theme="1" tint="0.499980002641678"/>
        <bgColor indexed="64"/>
      </patternFill>
    </fill>
    <fill>
      <patternFill patternType="solid">
        <fgColor rgb="FFC9870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rgb="FFE5FFFF"/>
        <bgColor indexed="64"/>
      </patternFill>
    </fill>
    <fill>
      <gradientFill degree="90">
        <stop position="0">
          <color rgb="FFFF6600"/>
        </stop>
        <stop position="0.5">
          <color theme="0"/>
        </stop>
        <stop position="1">
          <color rgb="FFFF6600"/>
        </stop>
      </gradientFill>
    </fill>
    <fill>
      <patternFill patternType="solid">
        <fgColor rgb="FFEF720B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FF"/>
        <bgColor indexed="64"/>
      </patternFill>
    </fill>
    <fill>
      <gradientFill degree="90">
        <stop position="0">
          <color theme="0"/>
        </stop>
        <stop position="0.5">
          <color rgb="FF66CCFF"/>
        </stop>
        <stop position="1">
          <color theme="0"/>
        </stop>
      </gradientFill>
    </fill>
    <fill>
      <patternFill patternType="solid">
        <fgColor rgb="FFFFAE5D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99FFCC"/>
        <bgColor indexed="64"/>
      </patternFill>
    </fill>
    <fill>
      <gradientFill degree="90">
        <stop position="0">
          <color rgb="FFFF860D"/>
        </stop>
        <stop position="0.5">
          <color theme="0"/>
        </stop>
        <stop position="1">
          <color rgb="FFFF860D"/>
        </stop>
      </gradientFill>
    </fill>
    <fill>
      <patternFill patternType="solid">
        <fgColor indexed="62"/>
        <bgColor indexed="64"/>
      </patternFill>
    </fill>
    <fill>
      <patternFill patternType="solid">
        <fgColor theme="1" tint="0.349990010261536"/>
        <bgColor indexed="64"/>
      </patternFill>
    </fill>
    <fill>
      <patternFill patternType="solid">
        <fgColor rgb="FFF56E09"/>
        <bgColor indexed="64"/>
      </patternFill>
    </fill>
    <fill>
      <patternFill patternType="solid">
        <fgColor theme="0" tint="-0.149949997663498"/>
        <bgColor indexed="64"/>
      </patternFill>
    </fill>
  </fills>
  <borders count="97">
    <border>
      <left/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/>
      <right style="medium">
        <color auto="1"/>
      </right>
      <top/>
      <bottom/>
    </border>
    <border>
      <left style="medium">
        <color auto="1"/>
      </left>
      <right/>
      <top/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/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/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/>
      <right/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medium">
        <color auto="1"/>
      </left>
      <right/>
      <top/>
      <bottom style="thin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/>
    </border>
    <border>
      <left/>
      <right style="thin">
        <color rgb="FF0000FF"/>
      </right>
      <top/>
      <bottom/>
    </border>
    <border diagonalDown="1">
      <left/>
      <right/>
      <top style="thin">
        <color rgb="FF0000FF"/>
      </top>
      <bottom/>
      <diagonal style="thin">
        <color rgb="FF0000FF"/>
      </diagonal>
    </border>
    <border diagonalUp="1">
      <left/>
      <right style="thin">
        <color rgb="FF0000FF"/>
      </right>
      <top style="thin">
        <color rgb="FF0000FF"/>
      </top>
      <bottom/>
      <diagonal style="thin">
        <color rgb="FF0000FF"/>
      </diagonal>
    </border>
    <border>
      <left style="medium">
        <color rgb="FFEF720B"/>
      </left>
      <right/>
      <top style="medium">
        <color rgb="FFEF720B"/>
      </top>
      <bottom/>
    </border>
    <border>
      <left/>
      <right style="medium">
        <color rgb="FFEF720B"/>
      </right>
      <top style="medium">
        <color rgb="FFEF720B"/>
      </top>
      <bottom/>
    </border>
    <border>
      <left style="medium">
        <color rgb="FFEF720B"/>
      </left>
      <right/>
      <top/>
      <bottom/>
    </border>
    <border>
      <left/>
      <right style="medium">
        <color rgb="FFEF720B"/>
      </right>
      <top/>
      <bottom/>
    </border>
    <border>
      <left/>
      <right/>
      <top style="medium">
        <color rgb="FFEF720B"/>
      </top>
      <bottom/>
    </border>
    <border>
      <left style="medium">
        <color rgb="FFEF720B"/>
      </left>
      <right/>
      <top/>
      <bottom style="medium">
        <color rgb="FFEF720B"/>
      </bottom>
    </border>
    <border>
      <left/>
      <right/>
      <top/>
      <bottom style="medium">
        <color rgb="FFEF720B"/>
      </bottom>
    </border>
    <border>
      <left/>
      <right style="medium">
        <color rgb="FFEF720B"/>
      </right>
      <top/>
      <bottom style="medium">
        <color rgb="FFEF720B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 style="medium">
        <color auto="1"/>
      </right>
      <top style="medium">
        <color auto="1"/>
      </top>
      <bottom/>
    </border>
    <border>
      <left/>
      <right/>
      <top style="medium">
        <color auto="1"/>
      </top>
      <bottom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/>
      <right style="medium">
        <color auto="1"/>
      </right>
      <top style="thin">
        <color auto="1"/>
      </top>
      <bottom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/>
      <top style="medium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rgb="FF0000FF"/>
      </left>
      <right/>
      <top/>
      <bottom/>
    </border>
    <border>
      <left style="thin">
        <color rgb="FF0000FF"/>
      </left>
      <right/>
      <top/>
      <bottom style="thin">
        <color rgb="FF0000FF"/>
      </bottom>
    </border>
    <border>
      <left/>
      <right style="thin">
        <color rgb="FF0000FF"/>
      </right>
      <top/>
      <bottom style="thin">
        <color rgb="FF0000FF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medium">
        <color auto="1"/>
      </left>
      <right/>
      <top style="thin">
        <color auto="1"/>
      </top>
      <bottom/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/>
      <right style="thin">
        <color auto="1"/>
      </right>
      <top/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rgb="FFEF720B"/>
      </left>
      <right style="medium">
        <color rgb="FFEF720B"/>
      </right>
      <top/>
      <bottom/>
    </border>
    <border>
      <left style="medium">
        <color rgb="FFEF720B"/>
      </left>
      <right style="medium">
        <color rgb="FFEF720B"/>
      </right>
      <top/>
      <bottom style="medium">
        <color rgb="FFEF720B"/>
      </bottom>
    </border>
    <border>
      <left style="medium">
        <color rgb="FFEF720B"/>
      </left>
      <right style="medium">
        <color rgb="FFEF720B"/>
      </right>
      <top style="medium">
        <color rgb="FFEF720B"/>
      </top>
      <bottom/>
    </border>
  </borders>
  <cellStyleXfs count="23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/>
      <protection/>
    </xf>
    <xf numFmtId="0" fontId="2" fillId="0" borderId="0">
      <alignment/>
      <protection/>
    </xf>
    <xf numFmtId="0" fontId="104" fillId="0" borderId="0" applyNumberFormat="0" applyFill="0" applyBorder="0" applyAlignment="0" applyProtection="0"/>
  </cellStyleXfs>
  <cellXfs count="1317">
    <xf numFmtId="0" fontId="0" fillId="0" borderId="0" xfId="0"/>
    <xf numFmtId="0" fontId="5" fillId="0" borderId="1" xfId="0" applyFont="1" applyBorder="1" applyAlignment="1">
      <alignment horizontal="center" wrapText="1"/>
    </xf>
    <xf numFmtId="165" fontId="0" fillId="0" borderId="0" xfId="0" applyNumberFormat="1"/>
    <xf numFmtId="1" fontId="0" fillId="0" borderId="0" xfId="0" applyNumberFormat="1"/>
    <xf numFmtId="2" fontId="0" fillId="0" borderId="0" xfId="0" applyNumberFormat="1" applyAlignment="1">
      <alignment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ont="1"/>
    <xf numFmtId="1" fontId="0" fillId="0" borderId="0" xfId="0" applyNumberFormat="1" applyFont="1"/>
    <xf numFmtId="2" fontId="0" fillId="0" borderId="0" xfId="0" applyNumberFormat="1" applyFont="1" applyAlignment="1">
      <alignment wrapText="1"/>
    </xf>
    <xf numFmtId="165" fontId="0" fillId="0" borderId="0" xfId="0" applyNumberFormat="1" applyFont="1"/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4" fillId="0" borderId="4" xfId="0" applyFont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0" fillId="0" borderId="9" xfId="0" applyFont="1" applyBorder="1"/>
    <xf numFmtId="0" fontId="0" fillId="0" borderId="4" xfId="0" applyFont="1" applyBorder="1"/>
    <xf numFmtId="0" fontId="0" fillId="0" borderId="2" xfId="0" applyBorder="1"/>
    <xf numFmtId="0" fontId="6" fillId="7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0" fillId="6" borderId="14" xfId="0" applyFont="1" applyFill="1" applyBorder="1" applyAlignment="1">
      <alignment horizontal="center"/>
    </xf>
    <xf numFmtId="0" fontId="0" fillId="6" borderId="15" xfId="0" applyFont="1" applyFill="1" applyBorder="1" applyAlignment="1">
      <alignment horizontal="center"/>
    </xf>
    <xf numFmtId="0" fontId="0" fillId="0" borderId="10" xfId="0" applyFont="1" applyBorder="1"/>
    <xf numFmtId="0" fontId="0" fillId="0" borderId="16" xfId="0" applyBorder="1"/>
    <xf numFmtId="0" fontId="0" fillId="3" borderId="6" xfId="0" applyFont="1" applyFill="1" applyBorder="1" applyAlignment="1">
      <alignment horizontal="center"/>
    </xf>
    <xf numFmtId="0" fontId="0" fillId="0" borderId="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Font="1" applyBorder="1"/>
    <xf numFmtId="0" fontId="0" fillId="0" borderId="5" xfId="0" applyFont="1" applyBorder="1" applyAlignment="1">
      <alignment horizontal="center" vertical="center"/>
    </xf>
    <xf numFmtId="0" fontId="0" fillId="0" borderId="5" xfId="0" applyBorder="1"/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0" fillId="0" borderId="0" xfId="0" applyProtection="1">
      <protection hidden="1"/>
    </xf>
    <xf numFmtId="1" fontId="19" fillId="4" borderId="6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19" fillId="5" borderId="6" xfId="0" applyNumberFormat="1" applyFont="1" applyFill="1" applyBorder="1" applyAlignment="1" applyProtection="1">
      <alignment horizontal="center" vertical="center"/>
      <protection hidden="1"/>
    </xf>
    <xf numFmtId="2" fontId="18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6" xfId="0" applyNumberFormat="1" applyFont="1" applyFill="1" applyBorder="1" applyAlignment="1" applyProtection="1">
      <alignment horizontal="center" vertical="center" wrapText="1"/>
      <protection hidden="1"/>
    </xf>
    <xf numFmtId="2" fontId="37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6" fillId="10" borderId="1" xfId="0" applyFont="1" applyFill="1" applyBorder="1" applyAlignment="1">
      <alignment horizontal="center" vertical="center"/>
    </xf>
    <xf numFmtId="1" fontId="6" fillId="10" borderId="1" xfId="0" applyNumberFormat="1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center"/>
    </xf>
    <xf numFmtId="1" fontId="6" fillId="10" borderId="17" xfId="0" applyNumberFormat="1" applyFont="1" applyFill="1" applyBorder="1" applyAlignment="1">
      <alignment horizontal="center" vertical="center"/>
    </xf>
    <xf numFmtId="1" fontId="47" fillId="11" borderId="18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8" borderId="5" xfId="0" applyFont="1" applyFill="1" applyBorder="1" applyAlignment="1">
      <alignment horizontal="center" vertical="center"/>
    </xf>
    <xf numFmtId="0" fontId="0" fillId="0" borderId="19" xfId="0" applyBorder="1"/>
    <xf numFmtId="0" fontId="0" fillId="0" borderId="20" xfId="0" applyFont="1" applyBorder="1"/>
    <xf numFmtId="0" fontId="6" fillId="8" borderId="19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 vertical="center" wrapText="1"/>
    </xf>
    <xf numFmtId="0" fontId="40" fillId="8" borderId="0" xfId="0" applyFont="1" applyFill="1" applyAlignment="1" applyProtection="1">
      <alignment horizontal="center"/>
      <protection hidden="1"/>
    </xf>
    <xf numFmtId="1" fontId="41" fillId="8" borderId="0" xfId="0" applyNumberFormat="1" applyFont="1" applyFill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16" fillId="0" borderId="2" xfId="0" applyFont="1" applyBorder="1" applyAlignment="1" applyProtection="1">
      <alignment horizontal="center" vertical="center" wrapText="1"/>
      <protection hidden="1"/>
    </xf>
    <xf numFmtId="0" fontId="16" fillId="0" borderId="3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4" xfId="0" applyFont="1" applyBorder="1" applyAlignment="1" applyProtection="1">
      <alignment horizontal="center" vertical="center"/>
      <protection hidden="1"/>
    </xf>
    <xf numFmtId="0" fontId="48" fillId="12" borderId="21" xfId="0" applyFont="1" applyFill="1" applyBorder="1" applyAlignment="1" applyProtection="1">
      <alignment horizontal="center" vertical="center"/>
      <protection hidden="1"/>
    </xf>
    <xf numFmtId="0" fontId="48" fillId="12" borderId="6" xfId="0" applyFont="1" applyFill="1" applyBorder="1" applyAlignment="1" applyProtection="1">
      <alignment horizontal="center" vertical="center"/>
      <protection hidden="1"/>
    </xf>
    <xf numFmtId="166" fontId="48" fillId="11" borderId="22" xfId="0" applyNumberFormat="1" applyFont="1" applyFill="1" applyBorder="1" applyAlignment="1" applyProtection="1">
      <alignment horizontal="center" vertical="center"/>
      <protection hidden="1"/>
    </xf>
    <xf numFmtId="166" fontId="30" fillId="2" borderId="21" xfId="0" applyNumberFormat="1" applyFont="1" applyFill="1" applyBorder="1" applyAlignment="1" applyProtection="1">
      <alignment horizontal="center" vertical="center"/>
      <protection hidden="1"/>
    </xf>
    <xf numFmtId="1" fontId="44" fillId="2" borderId="18" xfId="0" applyNumberFormat="1" applyFont="1" applyFill="1" applyBorder="1" applyAlignment="1" applyProtection="1">
      <alignment horizontal="center" vertical="center"/>
      <protection hidden="1"/>
    </xf>
    <xf numFmtId="166" fontId="30" fillId="4" borderId="21" xfId="0" applyNumberFormat="1" applyFont="1" applyFill="1" applyBorder="1" applyAlignment="1" applyProtection="1">
      <alignment horizontal="center" vertical="center"/>
      <protection hidden="1"/>
    </xf>
    <xf numFmtId="1" fontId="44" fillId="4" borderId="18" xfId="0" applyNumberFormat="1" applyFont="1" applyFill="1" applyBorder="1" applyAlignment="1" applyProtection="1">
      <alignment horizontal="center" vertical="center"/>
      <protection hidden="1"/>
    </xf>
    <xf numFmtId="1" fontId="44" fillId="5" borderId="18" xfId="0" applyNumberFormat="1" applyFont="1" applyFill="1" applyBorder="1" applyAlignment="1" applyProtection="1">
      <alignment horizontal="center" vertical="center"/>
      <protection hidden="1"/>
    </xf>
    <xf numFmtId="1" fontId="44" fillId="4" borderId="6" xfId="0" applyNumberFormat="1" applyFont="1" applyFill="1" applyBorder="1" applyAlignment="1" applyProtection="1">
      <alignment horizontal="center" vertical="center"/>
      <protection hidden="1"/>
    </xf>
    <xf numFmtId="166" fontId="30" fillId="5" borderId="21" xfId="0" applyNumberFormat="1" applyFont="1" applyFill="1" applyBorder="1" applyAlignment="1" applyProtection="1">
      <alignment horizontal="center" vertical="center"/>
      <protection hidden="1"/>
    </xf>
    <xf numFmtId="1" fontId="44" fillId="5" borderId="6" xfId="0" applyNumberFormat="1" applyFont="1" applyFill="1" applyBorder="1" applyAlignment="1" applyProtection="1">
      <alignment horizontal="center" vertical="center"/>
      <protection hidden="1"/>
    </xf>
    <xf numFmtId="0" fontId="16" fillId="10" borderId="7" xfId="0" applyFont="1" applyFill="1" applyBorder="1" applyAlignment="1" applyProtection="1">
      <alignment horizontal="center" vertical="center"/>
      <protection hidden="1"/>
    </xf>
    <xf numFmtId="0" fontId="16" fillId="10" borderId="12" xfId="0" applyFont="1" applyFill="1" applyBorder="1" applyAlignment="1" applyProtection="1">
      <alignment horizontal="center" vertical="center"/>
      <protection hidden="1"/>
    </xf>
    <xf numFmtId="0" fontId="9" fillId="10" borderId="1" xfId="0" applyFont="1" applyFill="1" applyBorder="1" applyAlignment="1" applyProtection="1">
      <alignment horizontal="center" vertical="center" wrapText="1"/>
      <protection hidden="1"/>
    </xf>
    <xf numFmtId="0" fontId="16" fillId="10" borderId="8" xfId="0" applyFont="1" applyFill="1" applyBorder="1" applyAlignment="1" applyProtection="1">
      <alignment horizontal="center" vertical="center"/>
      <protection hidden="1"/>
    </xf>
    <xf numFmtId="0" fontId="16" fillId="10" borderId="13" xfId="0" applyFont="1" applyFill="1" applyBorder="1" applyAlignment="1" applyProtection="1">
      <alignment horizontal="center" vertical="center"/>
      <protection hidden="1"/>
    </xf>
    <xf numFmtId="0" fontId="9" fillId="10" borderId="3" xfId="0" applyFont="1" applyFill="1" applyBorder="1" applyAlignment="1" applyProtection="1">
      <alignment horizontal="center" vertical="center" wrapText="1"/>
      <protection hidden="1"/>
    </xf>
    <xf numFmtId="0" fontId="48" fillId="11" borderId="6" xfId="0" applyFont="1" applyFill="1" applyBorder="1" applyAlignment="1" applyProtection="1">
      <alignment vertical="center"/>
      <protection hidden="1"/>
    </xf>
    <xf numFmtId="0" fontId="48" fillId="11" borderId="21" xfId="0" applyFont="1" applyFill="1" applyBorder="1" applyAlignment="1" applyProtection="1">
      <alignment horizontal="center" vertical="center"/>
      <protection hidden="1"/>
    </xf>
    <xf numFmtId="0" fontId="0" fillId="0" borderId="19" xfId="0" applyBorder="1" applyProtection="1">
      <protection hidden="1"/>
    </xf>
    <xf numFmtId="0" fontId="47" fillId="11" borderId="6" xfId="0" applyFont="1" applyFill="1" applyBorder="1" applyAlignment="1" applyProtection="1">
      <alignment horizontal="center" vertical="center"/>
      <protection hidden="1"/>
    </xf>
    <xf numFmtId="0" fontId="6" fillId="8" borderId="12" xfId="0" applyFont="1" applyFill="1" applyBorder="1" applyAlignment="1" applyProtection="1">
      <alignment horizontal="center" vertical="center" wrapText="1"/>
      <protection hidden="1"/>
    </xf>
    <xf numFmtId="0" fontId="9" fillId="10" borderId="23" xfId="0" applyFont="1" applyFill="1" applyBorder="1" applyAlignment="1" applyProtection="1">
      <alignment horizontal="center" vertical="center"/>
      <protection hidden="1"/>
    </xf>
    <xf numFmtId="0" fontId="9" fillId="10" borderId="2" xfId="0" applyFont="1" applyFill="1" applyBorder="1" applyAlignment="1" applyProtection="1">
      <alignment horizontal="center" vertical="center"/>
      <protection hidden="1"/>
    </xf>
    <xf numFmtId="0" fontId="9" fillId="10" borderId="7" xfId="0" applyFont="1" applyFill="1" applyBorder="1" applyAlignment="1" applyProtection="1">
      <alignment horizontal="center" vertical="center"/>
      <protection hidden="1"/>
    </xf>
    <xf numFmtId="0" fontId="9" fillId="10" borderId="1" xfId="0" applyFont="1" applyFill="1" applyBorder="1" applyAlignment="1" applyProtection="1">
      <alignment horizontal="center" vertical="center"/>
      <protection hidden="1"/>
    </xf>
    <xf numFmtId="0" fontId="9" fillId="10" borderId="8" xfId="0" applyFont="1" applyFill="1" applyBorder="1" applyAlignment="1" applyProtection="1">
      <alignment horizontal="center" vertical="center"/>
      <protection hidden="1"/>
    </xf>
    <xf numFmtId="0" fontId="9" fillId="10" borderId="3" xfId="0" applyFont="1" applyFill="1" applyBorder="1" applyAlignment="1" applyProtection="1">
      <alignment horizontal="center" vertical="center"/>
      <protection hidden="1"/>
    </xf>
    <xf numFmtId="0" fontId="48" fillId="11" borderId="6" xfId="0" applyFont="1" applyFill="1" applyBorder="1" applyAlignment="1" applyProtection="1">
      <alignment horizontal="center" vertical="center" wrapText="1"/>
      <protection hidden="1"/>
    </xf>
    <xf numFmtId="0" fontId="16" fillId="2" borderId="10" xfId="0" applyFont="1" applyFill="1" applyBorder="1" applyAlignment="1" applyProtection="1">
      <alignment horizontal="left" vertical="center"/>
      <protection hidden="1"/>
    </xf>
    <xf numFmtId="166" fontId="15" fillId="5" borderId="9" xfId="0" applyNumberFormat="1" applyFont="1" applyFill="1" applyBorder="1" applyAlignment="1" applyProtection="1">
      <alignment horizontal="center" vertical="center" wrapText="1"/>
      <protection hidden="1"/>
    </xf>
    <xf numFmtId="1" fontId="43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5" borderId="4" xfId="0" applyFont="1" applyFill="1" applyBorder="1" applyAlignment="1" applyProtection="1">
      <alignment horizontal="center" vertical="center" wrapText="1"/>
      <protection hidden="1"/>
    </xf>
    <xf numFmtId="0" fontId="7" fillId="9" borderId="21" xfId="0" applyFont="1" applyFill="1" applyBorder="1" applyAlignment="1" applyProtection="1">
      <alignment horizontal="left" vertical="center"/>
      <protection hidden="1"/>
    </xf>
    <xf numFmtId="166" fontId="15" fillId="4" borderId="21" xfId="0" applyNumberFormat="1" applyFont="1" applyFill="1" applyBorder="1" applyAlignment="1" applyProtection="1">
      <alignment horizontal="center" vertical="center" wrapText="1"/>
      <protection hidden="1"/>
    </xf>
    <xf numFmtId="1" fontId="43" fillId="4" borderId="24" xfId="0" applyNumberFormat="1" applyFont="1" applyFill="1" applyBorder="1" applyAlignment="1" applyProtection="1">
      <alignment horizontal="center" vertical="center"/>
      <protection hidden="1"/>
    </xf>
    <xf numFmtId="166" fontId="15" fillId="5" borderId="21" xfId="0" applyNumberFormat="1" applyFont="1" applyFill="1" applyBorder="1" applyAlignment="1" applyProtection="1">
      <alignment horizontal="center" vertical="center" wrapText="1"/>
      <protection hidden="1"/>
    </xf>
    <xf numFmtId="1" fontId="43" fillId="5" borderId="24" xfId="0" applyNumberFormat="1" applyFont="1" applyFill="1" applyBorder="1" applyAlignment="1" applyProtection="1">
      <alignment horizontal="center" vertical="center"/>
      <protection hidden="1"/>
    </xf>
    <xf numFmtId="1" fontId="43" fillId="5" borderId="21" xfId="0" applyNumberFormat="1" applyFont="1" applyFill="1" applyBorder="1" applyAlignment="1" applyProtection="1">
      <alignment horizontal="center" vertical="center"/>
      <protection hidden="1"/>
    </xf>
    <xf numFmtId="0" fontId="43" fillId="13" borderId="6" xfId="0" applyFont="1" applyFill="1" applyBorder="1" applyAlignment="1" applyProtection="1">
      <alignment horizontal="center" vertical="center"/>
      <protection hidden="1"/>
    </xf>
    <xf numFmtId="1" fontId="54" fillId="13" borderId="6" xfId="0" applyNumberFormat="1" applyFont="1" applyFill="1" applyBorder="1" applyAlignment="1" applyProtection="1">
      <alignment horizontal="center" vertical="center"/>
      <protection hidden="1"/>
    </xf>
    <xf numFmtId="0" fontId="43" fillId="13" borderId="10" xfId="0" applyFont="1" applyFill="1" applyBorder="1" applyAlignment="1" applyProtection="1">
      <alignment horizontal="center" vertical="center"/>
      <protection hidden="1"/>
    </xf>
    <xf numFmtId="1" fontId="54" fillId="13" borderId="10" xfId="0" applyNumberFormat="1" applyFont="1" applyFill="1" applyBorder="1" applyAlignment="1" applyProtection="1">
      <alignment horizontal="center" vertical="center"/>
      <protection hidden="1"/>
    </xf>
    <xf numFmtId="0" fontId="0" fillId="5" borderId="25" xfId="0" applyFont="1" applyFill="1" applyBorder="1" applyAlignment="1" applyProtection="1">
      <alignment horizontal="center" vertical="center"/>
      <protection hidden="1"/>
    </xf>
    <xf numFmtId="0" fontId="0" fillId="5" borderId="2" xfId="0" applyFont="1" applyFill="1" applyBorder="1" applyAlignment="1" applyProtection="1">
      <alignment horizontal="center" vertical="center"/>
      <protection hidden="1"/>
    </xf>
    <xf numFmtId="0" fontId="0" fillId="5" borderId="11" xfId="0" applyFont="1" applyFill="1" applyBorder="1" applyAlignment="1" applyProtection="1">
      <alignment horizontal="center" vertical="center"/>
      <protection hidden="1"/>
    </xf>
    <xf numFmtId="0" fontId="0" fillId="5" borderId="4" xfId="0" applyFont="1" applyFill="1" applyBorder="1" applyAlignment="1" applyProtection="1">
      <alignment horizontal="center" vertical="center"/>
      <protection hidden="1"/>
    </xf>
    <xf numFmtId="0" fontId="0" fillId="6" borderId="2" xfId="0" applyFont="1" applyFill="1" applyBorder="1" applyAlignment="1" applyProtection="1">
      <alignment horizontal="center"/>
      <protection hidden="1"/>
    </xf>
    <xf numFmtId="0" fontId="0" fillId="4" borderId="7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0" fillId="4" borderId="12" xfId="0" applyFont="1" applyFill="1" applyBorder="1" applyAlignment="1" applyProtection="1">
      <alignment horizontal="center" vertical="center"/>
      <protection hidden="1"/>
    </xf>
    <xf numFmtId="0" fontId="0" fillId="6" borderId="1" xfId="0" applyFont="1" applyFill="1" applyBorder="1" applyAlignment="1" applyProtection="1">
      <alignment horizontal="center"/>
      <protection hidden="1"/>
    </xf>
    <xf numFmtId="0" fontId="0" fillId="5" borderId="7" xfId="0" applyFont="1" applyFill="1" applyBorder="1" applyAlignment="1" applyProtection="1">
      <alignment horizontal="center" vertical="center"/>
      <protection hidden="1"/>
    </xf>
    <xf numFmtId="0" fontId="0" fillId="5" borderId="1" xfId="0" applyFont="1" applyFill="1" applyBorder="1" applyAlignment="1" applyProtection="1">
      <alignment horizontal="center" vertical="center"/>
      <protection hidden="1"/>
    </xf>
    <xf numFmtId="0" fontId="0" fillId="5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/>
      <protection hidden="1"/>
    </xf>
    <xf numFmtId="0" fontId="0" fillId="5" borderId="1" xfId="0" applyFont="1" applyFill="1" applyBorder="1" applyAlignment="1" applyProtection="1">
      <alignment horizontal="center"/>
      <protection hidden="1"/>
    </xf>
    <xf numFmtId="0" fontId="0" fillId="5" borderId="13" xfId="0" applyFont="1" applyFill="1" applyBorder="1" applyAlignment="1" applyProtection="1">
      <alignment horizontal="center" vertical="center"/>
      <protection hidden="1"/>
    </xf>
    <xf numFmtId="0" fontId="0" fillId="5" borderId="3" xfId="0" applyFont="1" applyFill="1" applyBorder="1" applyAlignment="1" applyProtection="1">
      <alignment horizontal="center" vertical="center"/>
      <protection hidden="1"/>
    </xf>
    <xf numFmtId="0" fontId="0" fillId="5" borderId="8" xfId="0" applyFont="1" applyFill="1" applyBorder="1" applyAlignment="1" applyProtection="1">
      <alignment horizontal="center" vertical="center"/>
      <protection hidden="1"/>
    </xf>
    <xf numFmtId="0" fontId="0" fillId="5" borderId="26" xfId="0" applyFont="1" applyFill="1" applyBorder="1" applyAlignment="1" applyProtection="1">
      <alignment horizontal="center" vertical="center"/>
      <protection hidden="1"/>
    </xf>
    <xf numFmtId="0" fontId="0" fillId="5" borderId="3" xfId="0" applyFont="1" applyFill="1" applyBorder="1" applyAlignment="1" applyProtection="1">
      <alignment horizontal="center"/>
      <protection hidden="1"/>
    </xf>
    <xf numFmtId="0" fontId="2" fillId="0" borderId="0" xfId="21" applyProtection="1">
      <alignment/>
      <protection hidden="1"/>
    </xf>
    <xf numFmtId="0" fontId="2" fillId="0" borderId="0" xfId="21" applyAlignment="1" applyProtection="1">
      <alignment horizontal="center" vertical="center"/>
      <protection hidden="1"/>
    </xf>
    <xf numFmtId="0" fontId="74" fillId="0" borderId="0" xfId="21" applyFont="1" applyAlignment="1" applyProtection="1">
      <alignment horizontal="left" vertical="center" wrapText="1"/>
      <protection hidden="1"/>
    </xf>
    <xf numFmtId="0" fontId="75" fillId="0" borderId="0" xfId="21" applyFont="1" applyAlignment="1" applyProtection="1">
      <alignment horizontal="left" vertical="center" wrapText="1"/>
      <protection hidden="1"/>
    </xf>
    <xf numFmtId="0" fontId="74" fillId="14" borderId="27" xfId="21" applyFont="1" applyFill="1" applyBorder="1" applyAlignment="1" applyProtection="1">
      <alignment horizontal="left" vertical="center" wrapText="1"/>
      <protection hidden="1"/>
    </xf>
    <xf numFmtId="0" fontId="73" fillId="14" borderId="7" xfId="21" applyFont="1" applyFill="1" applyBorder="1" applyAlignment="1" applyProtection="1">
      <alignment horizontal="center" vertical="center" wrapText="1"/>
      <protection hidden="1"/>
    </xf>
    <xf numFmtId="0" fontId="75" fillId="14" borderId="28" xfId="21" applyFont="1" applyFill="1" applyBorder="1" applyAlignment="1" applyProtection="1">
      <alignment horizontal="left" vertical="center" wrapText="1"/>
      <protection hidden="1"/>
    </xf>
    <xf numFmtId="0" fontId="70" fillId="0" borderId="0" xfId="21" applyFont="1" applyAlignment="1" applyProtection="1">
      <alignment vertical="center" wrapText="1"/>
      <protection hidden="1"/>
    </xf>
    <xf numFmtId="0" fontId="70" fillId="0" borderId="0" xfId="21" applyFont="1" applyAlignment="1" applyProtection="1">
      <alignment horizontal="center" vertical="center" wrapText="1"/>
      <protection hidden="1"/>
    </xf>
    <xf numFmtId="0" fontId="70" fillId="0" borderId="0" xfId="21" applyFont="1" applyAlignment="1" applyProtection="1">
      <alignment horizontal="left" vertical="center" wrapText="1"/>
      <protection hidden="1"/>
    </xf>
    <xf numFmtId="0" fontId="74" fillId="15" borderId="19" xfId="21" applyFont="1" applyFill="1" applyBorder="1" applyAlignment="1" applyProtection="1">
      <alignment horizontal="left" vertical="center" wrapText="1"/>
      <protection hidden="1"/>
    </xf>
    <xf numFmtId="0" fontId="75" fillId="15" borderId="0" xfId="21" applyFont="1" applyFill="1" applyAlignment="1" applyProtection="1">
      <alignment horizontal="left" vertical="center" wrapText="1"/>
      <protection hidden="1"/>
    </xf>
    <xf numFmtId="0" fontId="75" fillId="11" borderId="27" xfId="21" applyFont="1" applyFill="1" applyBorder="1" applyAlignment="1" applyProtection="1">
      <alignment horizontal="left" vertical="center" wrapText="1"/>
      <protection hidden="1"/>
    </xf>
    <xf numFmtId="0" fontId="75" fillId="11" borderId="7" xfId="21" applyFont="1" applyFill="1" applyBorder="1" applyAlignment="1" applyProtection="1">
      <alignment horizontal="left" vertical="center" wrapText="1"/>
      <protection hidden="1"/>
    </xf>
    <xf numFmtId="0" fontId="75" fillId="11" borderId="28" xfId="21" applyFont="1" applyFill="1" applyBorder="1" applyAlignment="1" applyProtection="1">
      <alignment horizontal="left" vertical="center" wrapText="1"/>
      <protection hidden="1"/>
    </xf>
    <xf numFmtId="0" fontId="75" fillId="8" borderId="7" xfId="21" applyFont="1" applyFill="1" applyBorder="1" applyAlignment="1" applyProtection="1">
      <alignment horizontal="left" vertical="center" wrapText="1"/>
      <protection hidden="1"/>
    </xf>
    <xf numFmtId="0" fontId="75" fillId="8" borderId="25" xfId="21" applyFont="1" applyFill="1" applyBorder="1" applyAlignment="1" applyProtection="1">
      <alignment horizontal="left" vertical="center" wrapText="1"/>
      <protection hidden="1"/>
    </xf>
    <xf numFmtId="0" fontId="75" fillId="8" borderId="29" xfId="21" applyFont="1" applyFill="1" applyBorder="1" applyAlignment="1" applyProtection="1">
      <alignment horizontal="left" vertical="center" wrapText="1"/>
      <protection hidden="1"/>
    </xf>
    <xf numFmtId="0" fontId="78" fillId="8" borderId="5" xfId="21" applyFont="1" applyFill="1" applyBorder="1" applyAlignment="1" applyProtection="1">
      <alignment horizontal="right" vertical="center" wrapText="1"/>
      <protection hidden="1"/>
    </xf>
    <xf numFmtId="0" fontId="75" fillId="8" borderId="30" xfId="21" applyFont="1" applyFill="1" applyBorder="1" applyAlignment="1" applyProtection="1">
      <alignment horizontal="left" vertical="center" wrapText="1"/>
      <protection hidden="1"/>
    </xf>
    <xf numFmtId="0" fontId="75" fillId="8" borderId="0" xfId="21" applyFont="1" applyFill="1" applyAlignment="1" applyProtection="1">
      <alignment horizontal="left" vertical="center" wrapText="1"/>
      <protection hidden="1"/>
    </xf>
    <xf numFmtId="0" fontId="75" fillId="8" borderId="31" xfId="21" applyFont="1" applyFill="1" applyBorder="1" applyAlignment="1" applyProtection="1">
      <alignment horizontal="left" vertical="center" wrapText="1"/>
      <protection hidden="1"/>
    </xf>
    <xf numFmtId="0" fontId="70" fillId="8" borderId="32" xfId="21" applyFont="1" applyFill="1" applyBorder="1" applyAlignment="1" applyProtection="1">
      <alignment horizontal="left" vertical="center" wrapText="1"/>
      <protection hidden="1"/>
    </xf>
    <xf numFmtId="0" fontId="75" fillId="8" borderId="30" xfId="21" applyFont="1" applyFill="1" applyBorder="1" applyAlignment="1" applyProtection="1">
      <alignment horizontal="center" vertical="center" wrapText="1"/>
      <protection hidden="1"/>
    </xf>
    <xf numFmtId="0" fontId="75" fillId="8" borderId="0" xfId="21" applyFont="1" applyFill="1" applyAlignment="1" applyProtection="1">
      <alignment horizontal="center" vertical="center" wrapText="1"/>
      <protection hidden="1"/>
    </xf>
    <xf numFmtId="0" fontId="75" fillId="8" borderId="0" xfId="21" applyFont="1" applyFill="1" applyAlignment="1" applyProtection="1">
      <alignment vertical="center" wrapText="1"/>
      <protection hidden="1"/>
    </xf>
    <xf numFmtId="0" fontId="75" fillId="11" borderId="33" xfId="21" applyFont="1" applyFill="1" applyBorder="1" applyAlignment="1" applyProtection="1">
      <alignment vertical="center" wrapText="1"/>
      <protection hidden="1"/>
    </xf>
    <xf numFmtId="0" fontId="75" fillId="11" borderId="7" xfId="21" applyFont="1" applyFill="1" applyBorder="1" applyAlignment="1" applyProtection="1">
      <alignment vertical="center" wrapText="1"/>
      <protection hidden="1"/>
    </xf>
    <xf numFmtId="0" fontId="75" fillId="11" borderId="34" xfId="21" applyFont="1" applyFill="1" applyBorder="1" applyAlignment="1" applyProtection="1">
      <alignment vertical="center" wrapText="1"/>
      <protection hidden="1"/>
    </xf>
    <xf numFmtId="0" fontId="75" fillId="11" borderId="28" xfId="21" applyFont="1" applyFill="1" applyBorder="1" applyAlignment="1" applyProtection="1">
      <alignment vertical="center" wrapText="1"/>
      <protection hidden="1"/>
    </xf>
    <xf numFmtId="0" fontId="84" fillId="0" borderId="0" xfId="21" applyFont="1" applyAlignment="1" applyProtection="1">
      <alignment vertical="center" wrapText="1"/>
      <protection hidden="1"/>
    </xf>
    <xf numFmtId="0" fontId="70" fillId="8" borderId="5" xfId="21" applyFont="1" applyFill="1" applyBorder="1" applyAlignment="1" applyProtection="1">
      <alignment horizontal="left" vertical="center" wrapText="1"/>
      <protection hidden="1"/>
    </xf>
    <xf numFmtId="0" fontId="84" fillId="0" borderId="0" xfId="21" applyFont="1" applyAlignment="1" applyProtection="1">
      <alignment horizontal="center" vertical="center" wrapText="1"/>
      <protection hidden="1"/>
    </xf>
    <xf numFmtId="0" fontId="84" fillId="0" borderId="0" xfId="21" applyFont="1" applyAlignment="1" applyProtection="1">
      <alignment vertical="center" textRotation="90" wrapText="1"/>
      <protection hidden="1"/>
    </xf>
    <xf numFmtId="0" fontId="70" fillId="16" borderId="32" xfId="21" applyFont="1" applyFill="1" applyBorder="1" applyAlignment="1" applyProtection="1">
      <alignment horizontal="left" vertical="center" wrapText="1"/>
      <protection locked="0"/>
    </xf>
    <xf numFmtId="0" fontId="70" fillId="8" borderId="32" xfId="21" applyFont="1" applyFill="1" applyBorder="1" applyAlignment="1" applyProtection="1">
      <alignment horizontal="left" vertical="center" wrapText="1"/>
      <protection hidden="1"/>
    </xf>
    <xf numFmtId="0" fontId="75" fillId="15" borderId="0" xfId="21" applyFont="1" applyFill="1" applyAlignment="1" applyProtection="1">
      <alignment horizontal="center" vertical="center" wrapText="1"/>
      <protection hidden="1"/>
    </xf>
    <xf numFmtId="0" fontId="75" fillId="15" borderId="34" xfId="21" applyFont="1" applyFill="1" applyBorder="1" applyAlignment="1" applyProtection="1">
      <alignment vertical="center" wrapText="1"/>
      <protection hidden="1"/>
    </xf>
    <xf numFmtId="0" fontId="74" fillId="15" borderId="0" xfId="21" applyFont="1" applyFill="1" applyAlignment="1" applyProtection="1">
      <alignment horizontal="left" vertical="center" wrapText="1"/>
      <protection hidden="1"/>
    </xf>
    <xf numFmtId="0" fontId="70" fillId="10" borderId="5" xfId="21" applyFont="1" applyFill="1" applyBorder="1" applyAlignment="1" applyProtection="1">
      <alignment horizontal="center" vertical="center" wrapText="1"/>
      <protection hidden="1"/>
    </xf>
    <xf numFmtId="0" fontId="70" fillId="10" borderId="5" xfId="21" applyFont="1" applyFill="1" applyBorder="1" applyAlignment="1" applyProtection="1">
      <alignment horizontal="center" vertical="center"/>
      <protection hidden="1"/>
    </xf>
    <xf numFmtId="0" fontId="86" fillId="17" borderId="29" xfId="21" applyFont="1" applyFill="1" applyBorder="1" applyAlignment="1" applyProtection="1">
      <alignment horizontal="left" vertical="center" wrapText="1"/>
      <protection hidden="1"/>
    </xf>
    <xf numFmtId="0" fontId="70" fillId="8" borderId="35" xfId="21" applyFont="1" applyFill="1" applyBorder="1" applyAlignment="1" applyProtection="1">
      <alignment horizontal="left" vertical="center" wrapText="1"/>
      <protection hidden="1"/>
    </xf>
    <xf numFmtId="0" fontId="88" fillId="0" borderId="0" xfId="21" applyFont="1" applyAlignment="1" applyProtection="1">
      <alignment vertical="center" wrapText="1"/>
      <protection hidden="1"/>
    </xf>
    <xf numFmtId="0" fontId="70" fillId="8" borderId="5" xfId="21" applyFont="1" applyFill="1" applyBorder="1" applyAlignment="1" applyProtection="1">
      <alignment horizontal="left" vertical="center" wrapText="1"/>
      <protection hidden="1"/>
    </xf>
    <xf numFmtId="0" fontId="78" fillId="15" borderId="0" xfId="21" applyFont="1" applyFill="1" applyAlignment="1" applyProtection="1">
      <alignment vertical="center" wrapText="1"/>
      <protection hidden="1"/>
    </xf>
    <xf numFmtId="0" fontId="77" fillId="0" borderId="19" xfId="21" applyFont="1" applyBorder="1" applyAlignment="1" applyProtection="1">
      <alignment horizontal="left" vertical="center" wrapText="1"/>
      <protection hidden="1"/>
    </xf>
    <xf numFmtId="0" fontId="77" fillId="0" borderId="0" xfId="21" applyFont="1" applyAlignment="1" applyProtection="1">
      <alignment horizontal="left" vertical="center" wrapText="1"/>
      <protection hidden="1"/>
    </xf>
    <xf numFmtId="0" fontId="77" fillId="18" borderId="5" xfId="21" applyFont="1" applyFill="1" applyBorder="1" applyAlignment="1" applyProtection="1">
      <alignment horizontal="left" vertical="center" wrapText="1"/>
      <protection hidden="1"/>
    </xf>
    <xf numFmtId="0" fontId="77" fillId="8" borderId="0" xfId="21" applyFont="1" applyFill="1" applyAlignment="1" applyProtection="1">
      <alignment horizontal="left" vertical="center" wrapText="1"/>
      <protection hidden="1"/>
    </xf>
    <xf numFmtId="0" fontId="77" fillId="8" borderId="20" xfId="21" applyFont="1" applyFill="1" applyBorder="1" applyAlignment="1" applyProtection="1">
      <alignment horizontal="left" vertical="top"/>
      <protection hidden="1"/>
    </xf>
    <xf numFmtId="0" fontId="90" fillId="16" borderId="5" xfId="21" applyFont="1" applyFill="1" applyBorder="1" applyAlignment="1" applyProtection="1">
      <alignment horizontal="left" vertical="center" wrapText="1"/>
      <protection hidden="1"/>
    </xf>
    <xf numFmtId="0" fontId="77" fillId="8" borderId="20" xfId="21" applyFont="1" applyFill="1" applyBorder="1" applyAlignment="1" applyProtection="1">
      <alignment horizontal="left" vertical="center"/>
      <protection hidden="1"/>
    </xf>
    <xf numFmtId="0" fontId="2" fillId="0" borderId="5" xfId="21" applyBorder="1" applyAlignment="1" applyProtection="1">
      <alignment horizontal="center" vertical="center"/>
      <protection hidden="1"/>
    </xf>
    <xf numFmtId="0" fontId="2" fillId="0" borderId="19" xfId="21" applyBorder="1" applyProtection="1">
      <alignment/>
      <protection hidden="1"/>
    </xf>
    <xf numFmtId="0" fontId="8" fillId="8" borderId="0" xfId="21" applyFont="1" applyFill="1" applyAlignment="1" applyProtection="1">
      <alignment horizontal="center" vertical="center"/>
      <protection hidden="1"/>
    </xf>
    <xf numFmtId="0" fontId="8" fillId="8" borderId="20" xfId="21" applyFont="1" applyFill="1" applyBorder="1" applyAlignment="1" applyProtection="1">
      <alignment horizontal="center" vertical="center"/>
      <protection hidden="1"/>
    </xf>
    <xf numFmtId="0" fontId="70" fillId="0" borderId="0" xfId="21" applyFont="1" applyProtection="1">
      <alignment/>
      <protection hidden="1"/>
    </xf>
    <xf numFmtId="0" fontId="70" fillId="0" borderId="19" xfId="21" applyFont="1" applyBorder="1" applyProtection="1">
      <alignment/>
      <protection hidden="1"/>
    </xf>
    <xf numFmtId="0" fontId="69" fillId="0" borderId="5" xfId="21" applyFont="1" applyBorder="1" applyProtection="1">
      <alignment/>
      <protection hidden="1"/>
    </xf>
    <xf numFmtId="0" fontId="2" fillId="0" borderId="5" xfId="21" applyBorder="1" applyProtection="1">
      <alignment/>
      <protection hidden="1"/>
    </xf>
    <xf numFmtId="0" fontId="69" fillId="0" borderId="0" xfId="21" applyFont="1" applyProtection="1">
      <alignment/>
      <protection hidden="1"/>
    </xf>
    <xf numFmtId="0" fontId="91" fillId="0" borderId="0" xfId="21" applyFont="1" applyAlignment="1">
      <alignment horizontal="center" vertical="center"/>
      <protection/>
    </xf>
    <xf numFmtId="0" fontId="2" fillId="0" borderId="28" xfId="21" applyBorder="1" applyProtection="1">
      <alignment/>
      <protection hidden="1"/>
    </xf>
    <xf numFmtId="0" fontId="2" fillId="0" borderId="5" xfId="21" applyBorder="1" applyAlignment="1" applyProtection="1">
      <alignment wrapText="1"/>
      <protection hidden="1"/>
    </xf>
    <xf numFmtId="0" fontId="2" fillId="0" borderId="0" xfId="21" applyAlignment="1" applyProtection="1">
      <alignment wrapText="1"/>
      <protection hidden="1"/>
    </xf>
    <xf numFmtId="0" fontId="2" fillId="0" borderId="5" xfId="21" applyBorder="1" applyAlignment="1" applyProtection="1">
      <alignment horizontal="center" vertical="center" wrapText="1"/>
      <protection hidden="1"/>
    </xf>
    <xf numFmtId="0" fontId="2" fillId="0" borderId="36" xfId="21" applyBorder="1" applyProtection="1">
      <alignment/>
      <protection hidden="1"/>
    </xf>
    <xf numFmtId="0" fontId="2" fillId="0" borderId="30" xfId="21" applyBorder="1" applyProtection="1">
      <alignment/>
      <protection hidden="1"/>
    </xf>
    <xf numFmtId="0" fontId="93" fillId="0" borderId="0" xfId="21" applyFont="1" applyProtection="1">
      <alignment/>
      <protection hidden="1"/>
    </xf>
    <xf numFmtId="0" fontId="94" fillId="0" borderId="0" xfId="21" applyFont="1" applyProtection="1">
      <alignment/>
      <protection hidden="1"/>
    </xf>
    <xf numFmtId="0" fontId="2" fillId="0" borderId="0" xfId="21" applyFont="1" applyProtection="1">
      <alignment/>
      <protection hidden="1"/>
    </xf>
    <xf numFmtId="0" fontId="70" fillId="8" borderId="0" xfId="21" applyFont="1" applyFill="1" applyAlignment="1" applyProtection="1">
      <alignment vertical="center" wrapText="1"/>
      <protection hidden="1"/>
    </xf>
    <xf numFmtId="0" fontId="75" fillId="0" borderId="5" xfId="21" applyFont="1" applyBorder="1" applyAlignment="1" applyProtection="1">
      <alignment horizontal="left" vertical="center" wrapText="1"/>
      <protection hidden="1"/>
    </xf>
    <xf numFmtId="0" fontId="2" fillId="19" borderId="27" xfId="21" applyFill="1" applyBorder="1" applyProtection="1">
      <alignment/>
      <protection hidden="1"/>
    </xf>
    <xf numFmtId="0" fontId="74" fillId="19" borderId="7" xfId="21" applyFont="1" applyFill="1" applyBorder="1" applyAlignment="1" applyProtection="1">
      <alignment horizontal="left" vertical="center" wrapText="1"/>
      <protection hidden="1"/>
    </xf>
    <xf numFmtId="0" fontId="78" fillId="19" borderId="7" xfId="21" applyFont="1" applyFill="1" applyBorder="1" applyAlignment="1" applyProtection="1">
      <alignment horizontal="center" vertical="center" wrapText="1"/>
      <protection hidden="1"/>
    </xf>
    <xf numFmtId="0" fontId="75" fillId="19" borderId="28" xfId="21" applyFont="1" applyFill="1" applyBorder="1" applyAlignment="1" applyProtection="1">
      <alignment horizontal="left" vertical="center" wrapText="1"/>
      <protection hidden="1"/>
    </xf>
    <xf numFmtId="0" fontId="2" fillId="15" borderId="36" xfId="21" applyFill="1" applyBorder="1" applyProtection="1">
      <alignment/>
      <protection hidden="1"/>
    </xf>
    <xf numFmtId="0" fontId="74" fillId="15" borderId="25" xfId="21" applyFont="1" applyFill="1" applyBorder="1" applyAlignment="1" applyProtection="1">
      <alignment horizontal="left" vertical="center" wrapText="1"/>
      <protection hidden="1"/>
    </xf>
    <xf numFmtId="0" fontId="75" fillId="15" borderId="29" xfId="21" applyFont="1" applyFill="1" applyBorder="1" applyAlignment="1" applyProtection="1">
      <alignment horizontal="left" vertical="center" wrapText="1"/>
      <protection hidden="1"/>
    </xf>
    <xf numFmtId="0" fontId="2" fillId="15" borderId="30" xfId="21" applyFill="1" applyBorder="1" applyProtection="1">
      <alignment/>
      <protection hidden="1"/>
    </xf>
    <xf numFmtId="0" fontId="75" fillId="15" borderId="31" xfId="21" applyFont="1" applyFill="1" applyBorder="1" applyAlignment="1" applyProtection="1">
      <alignment horizontal="left" vertical="center" wrapText="1"/>
      <protection hidden="1"/>
    </xf>
    <xf numFmtId="0" fontId="75" fillId="18" borderId="32" xfId="21" applyFont="1" applyFill="1" applyBorder="1" applyAlignment="1" applyProtection="1">
      <alignment horizontal="center" vertical="center" wrapText="1"/>
      <protection locked="0"/>
    </xf>
    <xf numFmtId="0" fontId="75" fillId="20" borderId="27" xfId="21" applyFont="1" applyFill="1" applyBorder="1" applyAlignment="1" applyProtection="1">
      <alignment horizontal="left" vertical="center" wrapText="1"/>
      <protection hidden="1"/>
    </xf>
    <xf numFmtId="0" fontId="75" fillId="20" borderId="7" xfId="21" applyFont="1" applyFill="1" applyBorder="1" applyAlignment="1" applyProtection="1">
      <alignment horizontal="left" vertical="center" wrapText="1"/>
      <protection hidden="1"/>
    </xf>
    <xf numFmtId="0" fontId="75" fillId="20" borderId="28" xfId="21" applyFont="1" applyFill="1" applyBorder="1" applyAlignment="1" applyProtection="1">
      <alignment horizontal="left" vertical="center" wrapText="1"/>
      <protection hidden="1"/>
    </xf>
    <xf numFmtId="0" fontId="96" fillId="0" borderId="5" xfId="21" applyFont="1" applyBorder="1" applyAlignment="1" applyProtection="1">
      <alignment horizontal="center" vertical="center" wrapText="1"/>
      <protection hidden="1"/>
    </xf>
    <xf numFmtId="0" fontId="75" fillId="20" borderId="33" xfId="21" applyFont="1" applyFill="1" applyBorder="1" applyAlignment="1" applyProtection="1">
      <alignment horizontal="left" vertical="center" wrapText="1"/>
      <protection hidden="1"/>
    </xf>
    <xf numFmtId="0" fontId="75" fillId="20" borderId="34" xfId="21" applyFont="1" applyFill="1" applyBorder="1" applyAlignment="1" applyProtection="1">
      <alignment horizontal="left" vertical="center" wrapText="1"/>
      <protection hidden="1"/>
    </xf>
    <xf numFmtId="0" fontId="75" fillId="20" borderId="33" xfId="21" applyFont="1" applyFill="1" applyBorder="1" applyAlignment="1" applyProtection="1">
      <alignment vertical="center" wrapText="1"/>
      <protection hidden="1"/>
    </xf>
    <xf numFmtId="0" fontId="75" fillId="20" borderId="34" xfId="21" applyFont="1" applyFill="1" applyBorder="1" applyAlignment="1" applyProtection="1">
      <alignment vertical="center" wrapText="1"/>
      <protection hidden="1"/>
    </xf>
    <xf numFmtId="0" fontId="75" fillId="20" borderId="7" xfId="21" applyFont="1" applyFill="1" applyBorder="1" applyAlignment="1" applyProtection="1">
      <alignment vertical="center" wrapText="1"/>
      <protection hidden="1"/>
    </xf>
    <xf numFmtId="0" fontId="75" fillId="20" borderId="28" xfId="21" applyFont="1" applyFill="1" applyBorder="1" applyAlignment="1" applyProtection="1">
      <alignment vertical="center" wrapText="1"/>
      <protection hidden="1"/>
    </xf>
    <xf numFmtId="0" fontId="75" fillId="8" borderId="33" xfId="21" applyFont="1" applyFill="1" applyBorder="1" applyAlignment="1" applyProtection="1">
      <alignment horizontal="center" vertical="center" wrapText="1"/>
      <protection hidden="1"/>
    </xf>
    <xf numFmtId="0" fontId="75" fillId="8" borderId="34" xfId="21" applyFont="1" applyFill="1" applyBorder="1" applyAlignment="1" applyProtection="1">
      <alignment horizontal="center" vertical="center" wrapText="1"/>
      <protection hidden="1"/>
    </xf>
    <xf numFmtId="0" fontId="75" fillId="8" borderId="34" xfId="21" applyFont="1" applyFill="1" applyBorder="1" applyAlignment="1" applyProtection="1">
      <alignment vertical="center" wrapText="1"/>
      <protection hidden="1"/>
    </xf>
    <xf numFmtId="0" fontId="75" fillId="20" borderId="27" xfId="21" applyFont="1" applyFill="1" applyBorder="1" applyAlignment="1" applyProtection="1">
      <alignment vertical="center" wrapText="1"/>
      <protection hidden="1"/>
    </xf>
    <xf numFmtId="0" fontId="95" fillId="8" borderId="0" xfId="21" applyFont="1" applyFill="1" applyAlignment="1" applyProtection="1">
      <alignment horizontal="left" vertical="center" wrapText="1"/>
      <protection hidden="1"/>
    </xf>
    <xf numFmtId="0" fontId="95" fillId="8" borderId="0" xfId="21" applyFont="1" applyFill="1" applyAlignment="1" applyProtection="1">
      <alignment horizontal="left" vertical="center"/>
      <protection hidden="1"/>
    </xf>
    <xf numFmtId="0" fontId="75" fillId="16" borderId="35" xfId="21" applyFont="1" applyFill="1" applyBorder="1" applyAlignment="1" applyProtection="1">
      <alignment horizontal="center" vertical="center" wrapText="1"/>
      <protection locked="0"/>
    </xf>
    <xf numFmtId="0" fontId="78" fillId="8" borderId="0" xfId="21" applyFont="1" applyFill="1" applyAlignment="1" applyProtection="1">
      <alignment vertical="center" wrapText="1"/>
      <protection hidden="1"/>
    </xf>
    <xf numFmtId="0" fontId="73" fillId="21" borderId="35" xfId="21" applyFont="1" applyFill="1" applyBorder="1" applyAlignment="1" applyProtection="1">
      <alignment horizontal="center" vertical="center" wrapText="1"/>
      <protection hidden="1"/>
    </xf>
    <xf numFmtId="0" fontId="75" fillId="15" borderId="0" xfId="21" applyFont="1" applyFill="1" applyAlignment="1" applyProtection="1">
      <alignment vertical="center" wrapText="1"/>
      <protection hidden="1"/>
    </xf>
    <xf numFmtId="0" fontId="75" fillId="0" borderId="5" xfId="21" applyFont="1" applyBorder="1" applyAlignment="1" applyProtection="1">
      <alignment horizontal="left" vertical="center" wrapText="1"/>
      <protection hidden="1"/>
    </xf>
    <xf numFmtId="0" fontId="75" fillId="17" borderId="5" xfId="21" applyFont="1" applyFill="1" applyBorder="1" applyAlignment="1" applyProtection="1">
      <alignment horizontal="center" vertical="center" wrapText="1"/>
      <protection hidden="1"/>
    </xf>
    <xf numFmtId="0" fontId="74" fillId="15" borderId="31" xfId="21" applyFont="1" applyFill="1" applyBorder="1" applyAlignment="1" applyProtection="1">
      <alignment horizontal="left" vertical="center" wrapText="1"/>
      <protection hidden="1"/>
    </xf>
    <xf numFmtId="0" fontId="73" fillId="21" borderId="28" xfId="21" applyFont="1" applyFill="1" applyBorder="1" applyAlignment="1" applyProtection="1">
      <alignment horizontal="center" vertical="center" wrapText="1"/>
      <protection hidden="1"/>
    </xf>
    <xf numFmtId="0" fontId="74" fillId="15" borderId="34" xfId="21" applyFont="1" applyFill="1" applyBorder="1" applyAlignment="1" applyProtection="1">
      <alignment horizontal="left" vertical="center" wrapText="1"/>
      <protection hidden="1"/>
    </xf>
    <xf numFmtId="0" fontId="78" fillId="15" borderId="34" xfId="21" applyFont="1" applyFill="1" applyBorder="1" applyAlignment="1" applyProtection="1">
      <alignment vertical="center" wrapText="1"/>
      <protection hidden="1"/>
    </xf>
    <xf numFmtId="0" fontId="74" fillId="15" borderId="37" xfId="21" applyFont="1" applyFill="1" applyBorder="1" applyAlignment="1" applyProtection="1">
      <alignment horizontal="left" vertical="center" wrapText="1"/>
      <protection hidden="1"/>
    </xf>
    <xf numFmtId="0" fontId="8" fillId="22" borderId="0" xfId="21" applyFont="1" applyFill="1" applyAlignment="1" applyProtection="1">
      <alignment horizontal="center" vertical="center"/>
      <protection hidden="1"/>
    </xf>
    <xf numFmtId="0" fontId="2" fillId="0" borderId="0" xfId="21" applyAlignment="1" applyProtection="1">
      <alignment vertical="center"/>
      <protection hidden="1"/>
    </xf>
    <xf numFmtId="0" fontId="101" fillId="8" borderId="0" xfId="21" applyFont="1" applyFill="1" applyAlignment="1" applyProtection="1">
      <alignment vertical="center" wrapText="1"/>
      <protection hidden="1"/>
    </xf>
    <xf numFmtId="0" fontId="48" fillId="11" borderId="6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/>
    </xf>
    <xf numFmtId="0" fontId="75" fillId="18" borderId="5" xfId="21" applyFont="1" applyFill="1" applyBorder="1" applyAlignment="1" applyProtection="1">
      <alignment horizontal="center" vertical="center" wrapText="1"/>
      <protection locked="0"/>
    </xf>
    <xf numFmtId="0" fontId="75" fillId="16" borderId="5" xfId="21" applyFont="1" applyFill="1" applyBorder="1" applyAlignment="1" applyProtection="1">
      <alignment horizontal="center" vertical="center" wrapText="1"/>
      <protection locked="0"/>
    </xf>
    <xf numFmtId="0" fontId="73" fillId="14" borderId="7" xfId="21" applyFont="1" applyFill="1" applyBorder="1" applyAlignment="1" applyProtection="1">
      <alignment horizontal="left" vertical="center" wrapText="1"/>
      <protection hidden="1"/>
    </xf>
    <xf numFmtId="0" fontId="75" fillId="19" borderId="7" xfId="21" applyFont="1" applyFill="1" applyBorder="1" applyAlignment="1" applyProtection="1">
      <alignment horizontal="left" vertical="center" wrapText="1"/>
      <protection hidden="1"/>
    </xf>
    <xf numFmtId="0" fontId="74" fillId="15" borderId="20" xfId="21" applyFont="1" applyFill="1" applyBorder="1" applyAlignment="1" applyProtection="1">
      <alignment horizontal="left" vertical="center" wrapText="1"/>
      <protection hidden="1"/>
    </xf>
    <xf numFmtId="0" fontId="74" fillId="15" borderId="38" xfId="21" applyFont="1" applyFill="1" applyBorder="1" applyAlignment="1" applyProtection="1">
      <alignment horizontal="left" vertical="center" wrapText="1"/>
      <protection hidden="1"/>
    </xf>
    <xf numFmtId="0" fontId="70" fillId="15" borderId="25" xfId="21" applyFont="1" applyFill="1" applyBorder="1" applyAlignment="1" applyProtection="1">
      <alignment horizontal="left" vertical="center" wrapText="1"/>
      <protection hidden="1"/>
    </xf>
    <xf numFmtId="0" fontId="70" fillId="15" borderId="25" xfId="21" applyFont="1" applyFill="1" applyBorder="1" applyAlignment="1" applyProtection="1">
      <alignment horizontal="center" vertical="center" wrapText="1"/>
      <protection hidden="1"/>
    </xf>
    <xf numFmtId="0" fontId="70" fillId="15" borderId="25" xfId="21" applyFont="1" applyFill="1" applyBorder="1" applyAlignment="1" applyProtection="1">
      <alignment vertical="center" wrapText="1"/>
      <protection hidden="1"/>
    </xf>
    <xf numFmtId="0" fontId="75" fillId="15" borderId="25" xfId="21" applyFont="1" applyFill="1" applyBorder="1" applyAlignment="1" applyProtection="1">
      <alignment horizontal="left" vertical="center" wrapText="1"/>
      <protection hidden="1"/>
    </xf>
    <xf numFmtId="0" fontId="88" fillId="15" borderId="0" xfId="21" applyFont="1" applyFill="1" applyAlignment="1" applyProtection="1">
      <alignment vertical="center" wrapText="1"/>
      <protection hidden="1"/>
    </xf>
    <xf numFmtId="0" fontId="84" fillId="15" borderId="0" xfId="21" applyFont="1" applyFill="1" applyAlignment="1" applyProtection="1">
      <alignment vertical="center" textRotation="180" wrapText="1"/>
      <protection hidden="1"/>
    </xf>
    <xf numFmtId="0" fontId="84" fillId="15" borderId="0" xfId="21" applyFont="1" applyFill="1" applyAlignment="1" applyProtection="1">
      <alignment vertical="center" wrapText="1"/>
      <protection hidden="1"/>
    </xf>
    <xf numFmtId="0" fontId="2" fillId="23" borderId="33" xfId="21" applyFill="1" applyBorder="1" applyProtection="1">
      <alignment/>
      <protection hidden="1"/>
    </xf>
    <xf numFmtId="0" fontId="8" fillId="22" borderId="31" xfId="21" applyFont="1" applyFill="1" applyBorder="1" applyAlignment="1" applyProtection="1">
      <alignment horizontal="center" vertical="center"/>
      <protection hidden="1"/>
    </xf>
    <xf numFmtId="0" fontId="74" fillId="15" borderId="29" xfId="21" applyFont="1" applyFill="1" applyBorder="1" applyAlignment="1" applyProtection="1">
      <alignment horizontal="left" vertical="center" wrapText="1"/>
      <protection hidden="1"/>
    </xf>
    <xf numFmtId="0" fontId="105" fillId="0" borderId="31" xfId="21" applyFont="1" applyBorder="1" applyAlignment="1" applyProtection="1">
      <alignment horizontal="left" vertical="center"/>
      <protection hidden="1"/>
    </xf>
    <xf numFmtId="0" fontId="105" fillId="0" borderId="0" xfId="21" applyFont="1" applyAlignment="1" applyProtection="1">
      <alignment horizontal="left" vertical="center" wrapText="1"/>
      <protection hidden="1"/>
    </xf>
    <xf numFmtId="0" fontId="105" fillId="7" borderId="5" xfId="21" applyFont="1" applyFill="1" applyBorder="1" applyAlignment="1" applyProtection="1">
      <alignment horizontal="left" vertical="center" wrapText="1"/>
      <protection hidden="1"/>
    </xf>
    <xf numFmtId="0" fontId="105" fillId="8" borderId="0" xfId="21" applyFont="1" applyFill="1" applyAlignment="1" applyProtection="1">
      <alignment horizontal="left" vertical="center" wrapText="1"/>
      <protection hidden="1"/>
    </xf>
    <xf numFmtId="0" fontId="105" fillId="0" borderId="31" xfId="21" applyFont="1" applyBorder="1" applyAlignment="1" applyProtection="1">
      <alignment horizontal="left" vertical="top"/>
      <protection hidden="1"/>
    </xf>
    <xf numFmtId="0" fontId="105" fillId="18" borderId="5" xfId="21" applyFont="1" applyFill="1" applyBorder="1" applyAlignment="1" applyProtection="1">
      <alignment horizontal="left" vertical="center" wrapText="1"/>
      <protection hidden="1"/>
    </xf>
    <xf numFmtId="2" fontId="37" fillId="5" borderId="6" xfId="0" applyNumberFormat="1" applyFont="1" applyFill="1" applyBorder="1" applyAlignment="1" applyProtection="1">
      <alignment horizontal="center" vertical="center" wrapText="1"/>
      <protection hidden="1"/>
    </xf>
    <xf numFmtId="1" fontId="42" fillId="8" borderId="0" xfId="0" applyNumberFormat="1" applyFont="1" applyFill="1" applyAlignment="1">
      <alignment horizontal="center" vertical="center"/>
    </xf>
    <xf numFmtId="2" fontId="37" fillId="8" borderId="0" xfId="0" applyNumberFormat="1" applyFont="1" applyFill="1" applyAlignment="1" applyProtection="1">
      <alignment horizontal="center" vertical="center" wrapText="1"/>
      <protection hidden="1"/>
    </xf>
    <xf numFmtId="1" fontId="19" fillId="8" borderId="0" xfId="0" applyNumberFormat="1" applyFont="1" applyFill="1" applyAlignment="1" applyProtection="1">
      <alignment horizontal="center" vertical="center"/>
      <protection hidden="1"/>
    </xf>
    <xf numFmtId="0" fontId="6" fillId="8" borderId="0" xfId="0" applyFont="1" applyFill="1" applyAlignment="1" applyProtection="1">
      <alignment horizontal="center" vertical="center" wrapText="1"/>
      <protection hidden="1"/>
    </xf>
    <xf numFmtId="2" fontId="6" fillId="8" borderId="0" xfId="0" applyNumberFormat="1" applyFont="1" applyFill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left" vertical="center" wrapText="1"/>
      <protection hidden="1"/>
    </xf>
    <xf numFmtId="0" fontId="47" fillId="11" borderId="39" xfId="0" applyFont="1" applyFill="1" applyBorder="1" applyAlignment="1" applyProtection="1">
      <alignment horizontal="center" vertical="center"/>
      <protection hidden="1"/>
    </xf>
    <xf numFmtId="0" fontId="48" fillId="12" borderId="22" xfId="0" applyFont="1" applyFill="1" applyBorder="1" applyAlignment="1" applyProtection="1">
      <alignment horizontal="center" vertical="center" wrapText="1"/>
      <protection hidden="1"/>
    </xf>
    <xf numFmtId="0" fontId="6" fillId="4" borderId="4" xfId="0" applyFont="1" applyFill="1" applyBorder="1" applyAlignment="1" applyProtection="1">
      <alignment horizontal="center" vertical="center" wrapText="1"/>
      <protection hidden="1"/>
    </xf>
    <xf numFmtId="1" fontId="43" fillId="4" borderId="21" xfId="0" applyNumberFormat="1" applyFont="1" applyFill="1" applyBorder="1" applyAlignment="1" applyProtection="1">
      <alignment horizontal="center" vertical="center"/>
      <protection hidden="1"/>
    </xf>
    <xf numFmtId="0" fontId="108" fillId="0" borderId="0" xfId="0" applyFont="1" applyAlignment="1">
      <alignment vertical="center"/>
    </xf>
    <xf numFmtId="0" fontId="16" fillId="2" borderId="25" xfId="0" applyFont="1" applyFill="1" applyBorder="1" applyAlignment="1" applyProtection="1">
      <alignment horizontal="center" vertical="center"/>
      <protection hidden="1"/>
    </xf>
    <xf numFmtId="0" fontId="16" fillId="2" borderId="38" xfId="0" applyFont="1" applyFill="1" applyBorder="1" applyAlignment="1" applyProtection="1">
      <alignment horizontal="center" vertical="center"/>
      <protection hidden="1"/>
    </xf>
    <xf numFmtId="0" fontId="33" fillId="5" borderId="4" xfId="0" applyFont="1" applyFill="1" applyBorder="1" applyAlignment="1" applyProtection="1">
      <alignment horizontal="center" vertical="center" wrapText="1"/>
      <protection hidden="1"/>
    </xf>
    <xf numFmtId="0" fontId="0" fillId="0" borderId="30" xfId="0" applyBorder="1" applyProtection="1">
      <protection hidden="1"/>
    </xf>
    <xf numFmtId="0" fontId="6" fillId="2" borderId="29" xfId="0" applyFont="1" applyFill="1" applyBorder="1" applyAlignment="1" applyProtection="1">
      <alignment horizontal="center" vertical="center" wrapText="1"/>
      <protection hidden="1"/>
    </xf>
    <xf numFmtId="0" fontId="108" fillId="0" borderId="31" xfId="0" applyFont="1" applyBorder="1" applyAlignment="1">
      <alignment vertical="center"/>
    </xf>
    <xf numFmtId="0" fontId="16" fillId="0" borderId="30" xfId="0" applyFont="1" applyBorder="1" applyAlignment="1">
      <alignment horizontal="center" vertical="center"/>
    </xf>
    <xf numFmtId="1" fontId="42" fillId="13" borderId="6" xfId="0" applyNumberFormat="1" applyFont="1" applyFill="1" applyBorder="1" applyAlignment="1" applyProtection="1">
      <alignment horizontal="center" vertical="center"/>
      <protection locked="0"/>
    </xf>
    <xf numFmtId="1" fontId="42" fillId="24" borderId="6" xfId="0" applyNumberFormat="1" applyFont="1" applyFill="1" applyBorder="1" applyAlignment="1" applyProtection="1">
      <alignment horizontal="center" vertical="center"/>
      <protection locked="0"/>
    </xf>
    <xf numFmtId="0" fontId="14" fillId="8" borderId="0" xfId="0" applyFont="1" applyFill="1" applyProtection="1">
      <protection hidden="1"/>
    </xf>
    <xf numFmtId="0" fontId="110" fillId="8" borderId="0" xfId="22" applyFont="1" applyFill="1" applyBorder="1" applyProtection="1">
      <protection hidden="1"/>
    </xf>
    <xf numFmtId="0" fontId="14" fillId="0" borderId="0" xfId="0" applyFont="1" applyProtection="1">
      <protection hidden="1"/>
    </xf>
    <xf numFmtId="1" fontId="55" fillId="13" borderId="6" xfId="0" applyNumberFormat="1" applyFont="1" applyFill="1" applyBorder="1" applyAlignment="1" applyProtection="1">
      <alignment horizontal="center" vertical="center"/>
      <protection locked="0"/>
    </xf>
    <xf numFmtId="1" fontId="55" fillId="13" borderId="10" xfId="0" applyNumberFormat="1" applyFont="1" applyFill="1" applyBorder="1" applyAlignment="1" applyProtection="1">
      <alignment horizontal="center" vertical="center"/>
      <protection locked="0"/>
    </xf>
    <xf numFmtId="1" fontId="56" fillId="13" borderId="10" xfId="0" applyNumberFormat="1" applyFont="1" applyFill="1" applyBorder="1" applyAlignment="1" applyProtection="1">
      <alignment horizontal="center" vertical="center"/>
      <protection locked="0"/>
    </xf>
    <xf numFmtId="1" fontId="56" fillId="13" borderId="9" xfId="0" applyNumberFormat="1" applyFont="1" applyFill="1" applyBorder="1" applyAlignment="1" applyProtection="1">
      <alignment horizontal="center" vertical="center"/>
      <protection locked="0"/>
    </xf>
    <xf numFmtId="1" fontId="55" fillId="24" borderId="6" xfId="0" applyNumberFormat="1" applyFont="1" applyFill="1" applyBorder="1" applyAlignment="1" applyProtection="1">
      <alignment horizontal="center" vertical="center"/>
      <protection locked="0"/>
    </xf>
    <xf numFmtId="1" fontId="56" fillId="24" borderId="6" xfId="0" applyNumberFormat="1" applyFont="1" applyFill="1" applyBorder="1" applyAlignment="1" applyProtection="1">
      <alignment horizontal="center" vertical="center"/>
      <protection locked="0"/>
    </xf>
    <xf numFmtId="1" fontId="56" fillId="24" borderId="21" xfId="0" applyNumberFormat="1" applyFont="1" applyFill="1" applyBorder="1" applyAlignment="1" applyProtection="1">
      <alignment horizontal="center" vertical="center"/>
      <protection locked="0"/>
    </xf>
    <xf numFmtId="1" fontId="56" fillId="13" borderId="6" xfId="0" applyNumberFormat="1" applyFont="1" applyFill="1" applyBorder="1" applyAlignment="1" applyProtection="1">
      <alignment horizontal="center" vertical="center"/>
      <protection locked="0"/>
    </xf>
    <xf numFmtId="1" fontId="56" fillId="13" borderId="21" xfId="0" applyNumberFormat="1" applyFont="1" applyFill="1" applyBorder="1" applyAlignment="1" applyProtection="1">
      <alignment horizontal="center" vertical="center"/>
      <protection locked="0"/>
    </xf>
    <xf numFmtId="1" fontId="56" fillId="24" borderId="40" xfId="0" applyNumberFormat="1" applyFont="1" applyFill="1" applyBorder="1" applyAlignment="1" applyProtection="1">
      <alignment horizontal="center" vertical="center"/>
      <protection locked="0"/>
    </xf>
    <xf numFmtId="1" fontId="56" fillId="24" borderId="20" xfId="0" applyNumberFormat="1" applyFont="1" applyFill="1" applyBorder="1" applyAlignment="1" applyProtection="1">
      <alignment horizontal="center" vertical="center"/>
      <protection locked="0"/>
    </xf>
    <xf numFmtId="0" fontId="113" fillId="25" borderId="6" xfId="22" applyFont="1" applyFill="1" applyBorder="1" applyAlignment="1" applyProtection="1">
      <alignment horizontal="center" vertical="center"/>
      <protection locked="0"/>
    </xf>
    <xf numFmtId="0" fontId="116" fillId="25" borderId="6" xfId="22" applyFont="1" applyFill="1" applyBorder="1" applyAlignment="1" applyProtection="1">
      <alignment horizontal="center" vertical="center"/>
      <protection locked="0"/>
    </xf>
    <xf numFmtId="0" fontId="117" fillId="25" borderId="6" xfId="22" applyFont="1" applyFill="1" applyBorder="1" applyAlignment="1" applyProtection="1">
      <alignment horizontal="center" vertical="center"/>
      <protection locked="0"/>
    </xf>
    <xf numFmtId="0" fontId="114" fillId="25" borderId="6" xfId="22" applyFont="1" applyFill="1" applyBorder="1" applyAlignment="1" applyProtection="1">
      <alignment horizontal="center" vertical="center"/>
      <protection locked="0"/>
    </xf>
    <xf numFmtId="4" fontId="2" fillId="0" borderId="0" xfId="21" applyNumberFormat="1" applyProtection="1">
      <alignment/>
      <protection hidden="1"/>
    </xf>
    <xf numFmtId="2" fontId="2" fillId="0" borderId="0" xfId="21" applyNumberFormat="1" applyProtection="1">
      <alignment/>
      <protection hidden="1"/>
    </xf>
    <xf numFmtId="0" fontId="70" fillId="16" borderId="32" xfId="21" applyFont="1" applyFill="1" applyBorder="1" applyAlignment="1" applyProtection="1">
      <alignment horizontal="center" vertical="center" wrapText="1"/>
      <protection locked="0"/>
    </xf>
    <xf numFmtId="0" fontId="119" fillId="8" borderId="0" xfId="22" applyFont="1" applyFill="1" applyBorder="1" applyProtection="1">
      <protection hidden="1"/>
    </xf>
    <xf numFmtId="0" fontId="119" fillId="8" borderId="0" xfId="0" applyFont="1" applyFill="1" applyProtection="1">
      <protection hidden="1"/>
    </xf>
    <xf numFmtId="0" fontId="120" fillId="0" borderId="0" xfId="0" applyFont="1" applyProtection="1">
      <protection hidden="1"/>
    </xf>
    <xf numFmtId="0" fontId="120" fillId="0" borderId="41" xfId="0" applyFont="1" applyBorder="1" applyProtection="1">
      <protection hidden="1"/>
    </xf>
    <xf numFmtId="0" fontId="120" fillId="0" borderId="42" xfId="0" applyFont="1" applyBorder="1" applyProtection="1">
      <protection hidden="1"/>
    </xf>
    <xf numFmtId="0" fontId="120" fillId="0" borderId="43" xfId="0" applyFont="1" applyBorder="1" applyProtection="1">
      <protection hidden="1"/>
    </xf>
    <xf numFmtId="0" fontId="119" fillId="0" borderId="0" xfId="0" applyFont="1" applyProtection="1">
      <protection hidden="1"/>
    </xf>
    <xf numFmtId="0" fontId="122" fillId="0" borderId="0" xfId="0" applyFont="1" applyProtection="1">
      <protection hidden="1"/>
    </xf>
    <xf numFmtId="0" fontId="122" fillId="0" borderId="41" xfId="0" applyFont="1" applyBorder="1" applyProtection="1">
      <protection hidden="1"/>
    </xf>
    <xf numFmtId="0" fontId="122" fillId="0" borderId="0" xfId="0" applyFont="1"/>
    <xf numFmtId="0" fontId="2" fillId="0" borderId="0" xfId="21">
      <alignment/>
      <protection/>
    </xf>
    <xf numFmtId="0" fontId="124" fillId="0" borderId="5" xfId="21" applyFont="1" applyBorder="1" applyAlignment="1">
      <alignment horizontal="center" vertical="center"/>
      <protection/>
    </xf>
    <xf numFmtId="0" fontId="126" fillId="0" borderId="5" xfId="21" applyFont="1" applyBorder="1" applyAlignment="1" applyProtection="1">
      <alignment horizontal="center" vertical="center"/>
      <protection hidden="1"/>
    </xf>
    <xf numFmtId="0" fontId="125" fillId="0" borderId="5" xfId="21" applyFont="1" applyBorder="1" applyAlignment="1" applyProtection="1">
      <alignment horizontal="center" vertical="center"/>
      <protection hidden="1"/>
    </xf>
    <xf numFmtId="0" fontId="124" fillId="0" borderId="0" xfId="21" applyFont="1" applyAlignment="1">
      <alignment horizontal="center" vertical="center"/>
      <protection/>
    </xf>
    <xf numFmtId="0" fontId="126" fillId="0" borderId="5" xfId="21" applyFont="1" applyBorder="1" applyAlignment="1">
      <alignment horizontal="center" vertical="center"/>
      <protection/>
    </xf>
    <xf numFmtId="0" fontId="125" fillId="0" borderId="5" xfId="21" applyFont="1" applyBorder="1" applyAlignment="1">
      <alignment horizontal="center" vertical="center"/>
      <protection/>
    </xf>
    <xf numFmtId="0" fontId="35" fillId="25" borderId="6" xfId="22" applyFont="1" applyFill="1" applyBorder="1" applyAlignment="1" applyProtection="1">
      <alignment horizontal="center" vertical="center"/>
      <protection locked="0"/>
    </xf>
    <xf numFmtId="0" fontId="47" fillId="11" borderId="18" xfId="0" applyFont="1" applyFill="1" applyBorder="1" applyAlignment="1">
      <alignment horizontal="center" vertical="center"/>
    </xf>
    <xf numFmtId="0" fontId="6" fillId="5" borderId="11" xfId="0" applyFont="1" applyFill="1" applyBorder="1" applyAlignment="1" applyProtection="1">
      <alignment horizontal="center" vertical="center"/>
      <protection hidden="1" locked="0"/>
    </xf>
    <xf numFmtId="0" fontId="6" fillId="4" borderId="12" xfId="0" applyFont="1" applyFill="1" applyBorder="1" applyAlignment="1" applyProtection="1">
      <alignment horizontal="center" vertical="center"/>
      <protection hidden="1" locked="0"/>
    </xf>
    <xf numFmtId="0" fontId="6" fillId="5" borderId="12" xfId="0" applyFont="1" applyFill="1" applyBorder="1" applyAlignment="1" applyProtection="1">
      <alignment horizontal="center" vertical="center"/>
      <protection hidden="1" locked="0"/>
    </xf>
    <xf numFmtId="0" fontId="6" fillId="7" borderId="13" xfId="0" applyFont="1" applyFill="1" applyBorder="1" applyAlignment="1" applyProtection="1">
      <alignment horizontal="center" vertical="center"/>
      <protection hidden="1" locked="0"/>
    </xf>
    <xf numFmtId="0" fontId="6" fillId="7" borderId="2" xfId="0" applyFont="1" applyFill="1" applyBorder="1" applyAlignment="1" applyProtection="1">
      <alignment horizontal="center" vertical="center"/>
      <protection hidden="1" locked="0"/>
    </xf>
    <xf numFmtId="0" fontId="6" fillId="7" borderId="1" xfId="0" applyFont="1" applyFill="1" applyBorder="1" applyAlignment="1" applyProtection="1">
      <alignment horizontal="center" vertical="center"/>
      <protection hidden="1" locked="0"/>
    </xf>
    <xf numFmtId="0" fontId="6" fillId="7" borderId="10" xfId="0" applyFont="1" applyFill="1" applyBorder="1" applyAlignment="1" applyProtection="1">
      <alignment horizontal="center" vertical="center"/>
      <protection hidden="1" locked="0"/>
    </xf>
    <xf numFmtId="0" fontId="6" fillId="5" borderId="2" xfId="0" applyFont="1" applyFill="1" applyBorder="1" applyAlignment="1" applyProtection="1">
      <alignment horizontal="center" vertical="center"/>
      <protection hidden="1" locked="0"/>
    </xf>
    <xf numFmtId="0" fontId="6" fillId="4" borderId="1" xfId="0" applyFont="1" applyFill="1" applyBorder="1" applyAlignment="1" applyProtection="1">
      <alignment horizontal="center" vertical="center"/>
      <protection hidden="1" locked="0"/>
    </xf>
    <xf numFmtId="0" fontId="6" fillId="5" borderId="1" xfId="0" applyFont="1" applyFill="1" applyBorder="1" applyAlignment="1" applyProtection="1">
      <alignment horizontal="center" vertical="center"/>
      <protection hidden="1" locked="0"/>
    </xf>
    <xf numFmtId="0" fontId="6" fillId="7" borderId="3" xfId="0" applyFont="1" applyFill="1" applyBorder="1" applyAlignment="1" applyProtection="1">
      <alignment horizontal="center" vertical="center"/>
      <protection hidden="1" locked="0"/>
    </xf>
    <xf numFmtId="0" fontId="113" fillId="25" borderId="39" xfId="22" applyFont="1" applyFill="1" applyBorder="1" applyAlignment="1">
      <alignment horizontal="center" vertical="center"/>
    </xf>
    <xf numFmtId="0" fontId="123" fillId="17" borderId="5" xfId="21" applyFont="1" applyFill="1" applyBorder="1" applyAlignment="1">
      <alignment horizontal="center" vertical="center"/>
      <protection/>
    </xf>
    <xf numFmtId="0" fontId="123" fillId="17" borderId="5" xfId="21" applyFont="1" applyFill="1" applyBorder="1" applyAlignment="1">
      <alignment horizontal="center" vertical="center" wrapText="1"/>
      <protection/>
    </xf>
    <xf numFmtId="0" fontId="125" fillId="26" borderId="5" xfId="21" applyFont="1" applyFill="1" applyBorder="1" applyAlignment="1" applyProtection="1">
      <alignment horizontal="center" vertical="center"/>
      <protection hidden="1" locked="0"/>
    </xf>
    <xf numFmtId="0" fontId="2" fillId="0" borderId="44" xfId="21" applyBorder="1">
      <alignment/>
      <protection/>
    </xf>
    <xf numFmtId="0" fontId="2" fillId="0" borderId="45" xfId="21" applyBorder="1">
      <alignment/>
      <protection/>
    </xf>
    <xf numFmtId="0" fontId="2" fillId="0" borderId="46" xfId="21" applyBorder="1">
      <alignment/>
      <protection/>
    </xf>
    <xf numFmtId="0" fontId="2" fillId="0" borderId="47" xfId="21" applyBorder="1">
      <alignment/>
      <protection/>
    </xf>
    <xf numFmtId="0" fontId="2" fillId="0" borderId="48" xfId="21" applyBorder="1">
      <alignment/>
      <protection/>
    </xf>
    <xf numFmtId="0" fontId="2" fillId="0" borderId="49" xfId="21" applyBorder="1">
      <alignment/>
      <protection/>
    </xf>
    <xf numFmtId="0" fontId="2" fillId="0" borderId="50" xfId="21" applyBorder="1">
      <alignment/>
      <protection/>
    </xf>
    <xf numFmtId="0" fontId="2" fillId="0" borderId="51" xfId="21" applyBorder="1">
      <alignment/>
      <protection/>
    </xf>
    <xf numFmtId="0" fontId="125" fillId="27" borderId="5" xfId="21" applyFont="1" applyFill="1" applyBorder="1" applyAlignment="1" applyProtection="1">
      <alignment horizontal="center" vertical="center"/>
      <protection hidden="1" locked="0"/>
    </xf>
    <xf numFmtId="0" fontId="48" fillId="11" borderId="39" xfId="0" applyFont="1" applyFill="1" applyBorder="1" applyAlignment="1" applyProtection="1">
      <alignment horizontal="center" vertical="center"/>
      <protection hidden="1"/>
    </xf>
    <xf numFmtId="166" fontId="18" fillId="9" borderId="6" xfId="0" applyNumberFormat="1" applyFont="1" applyFill="1" applyBorder="1" applyAlignment="1" applyProtection="1">
      <alignment horizontal="center" vertical="center" wrapText="1"/>
      <protection hidden="1"/>
    </xf>
    <xf numFmtId="1" fontId="127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8" borderId="0" xfId="0" applyFont="1" applyFill="1" applyAlignment="1" applyProtection="1">
      <alignment wrapText="1"/>
      <protection hidden="1"/>
    </xf>
    <xf numFmtId="0" fontId="48" fillId="11" borderId="52" xfId="0" applyFont="1" applyFill="1" applyBorder="1" applyAlignment="1" applyProtection="1">
      <alignment horizontal="center" vertical="center"/>
      <protection hidden="1"/>
    </xf>
    <xf numFmtId="0" fontId="48" fillId="11" borderId="10" xfId="0" applyFont="1" applyFill="1" applyBorder="1" applyAlignment="1" applyProtection="1">
      <alignment horizontal="center" vertical="center"/>
      <protection hidden="1"/>
    </xf>
    <xf numFmtId="0" fontId="48" fillId="11" borderId="9" xfId="0" applyFont="1" applyFill="1" applyBorder="1" applyAlignment="1" applyProtection="1">
      <alignment horizontal="center" vertical="center"/>
      <protection hidden="1"/>
    </xf>
    <xf numFmtId="1" fontId="48" fillId="12" borderId="6" xfId="0" applyNumberFormat="1" applyFont="1" applyFill="1" applyBorder="1" applyAlignment="1" applyProtection="1">
      <alignment horizontal="center" vertical="center"/>
      <protection hidden="1"/>
    </xf>
    <xf numFmtId="1" fontId="54" fillId="13" borderId="21" xfId="0" applyNumberFormat="1" applyFont="1" applyFill="1" applyBorder="1" applyAlignment="1" applyProtection="1">
      <alignment horizontal="center" vertical="center"/>
      <protection hidden="1"/>
    </xf>
    <xf numFmtId="166" fontId="11" fillId="5" borderId="6" xfId="0" applyNumberFormat="1" applyFont="1" applyFill="1" applyBorder="1" applyAlignment="1" applyProtection="1">
      <alignment horizontal="center" vertical="center" wrapText="1"/>
      <protection hidden="1"/>
    </xf>
    <xf numFmtId="166" fontId="11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54" fillId="13" borderId="9" xfId="0" applyNumberFormat="1" applyFont="1" applyFill="1" applyBorder="1" applyAlignment="1" applyProtection="1">
      <alignment horizontal="center" vertical="center"/>
      <protection hidden="1"/>
    </xf>
    <xf numFmtId="166" fontId="11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5" borderId="4" xfId="0" applyFont="1" applyFill="1" applyBorder="1" applyAlignment="1" applyProtection="1">
      <alignment horizontal="center" vertical="center" wrapText="1"/>
      <protection hidden="1"/>
    </xf>
    <xf numFmtId="0" fontId="35" fillId="5" borderId="53" xfId="0" applyFont="1" applyFill="1" applyBorder="1" applyAlignment="1" applyProtection="1">
      <alignment horizontal="center" vertical="center" wrapText="1"/>
      <protection hidden="1"/>
    </xf>
    <xf numFmtId="2" fontId="48" fillId="11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8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10" xfId="0" applyBorder="1" applyProtection="1">
      <protection hidden="1"/>
    </xf>
    <xf numFmtId="0" fontId="4" fillId="0" borderId="0" xfId="0" applyFont="1" applyAlignment="1">
      <alignment horizontal="center" vertical="center"/>
    </xf>
    <xf numFmtId="1" fontId="42" fillId="13" borderId="39" xfId="0" applyNumberFormat="1" applyFont="1" applyFill="1" applyBorder="1" applyAlignment="1" applyProtection="1">
      <alignment horizontal="center" vertical="center"/>
      <protection locked="0"/>
    </xf>
    <xf numFmtId="1" fontId="42" fillId="24" borderId="39" xfId="0" applyNumberFormat="1" applyFont="1" applyFill="1" applyBorder="1" applyAlignment="1" applyProtection="1">
      <alignment horizontal="center" vertical="center"/>
      <protection locked="0"/>
    </xf>
    <xf numFmtId="0" fontId="47" fillId="12" borderId="18" xfId="0" applyFont="1" applyFill="1" applyBorder="1" applyAlignment="1" applyProtection="1">
      <alignment horizontal="center" vertical="center" wrapText="1"/>
      <protection hidden="1"/>
    </xf>
    <xf numFmtId="0" fontId="129" fillId="12" borderId="6" xfId="0" applyFont="1" applyFill="1" applyBorder="1" applyAlignment="1" applyProtection="1">
      <alignment horizontal="center" vertical="center" wrapText="1"/>
      <protection hidden="1"/>
    </xf>
    <xf numFmtId="1" fontId="129" fillId="12" borderId="22" xfId="0" applyNumberFormat="1" applyFont="1" applyFill="1" applyBorder="1" applyAlignment="1" applyProtection="1">
      <alignment horizontal="center" vertical="center" wrapText="1"/>
      <protection hidden="1"/>
    </xf>
    <xf numFmtId="0" fontId="6" fillId="8" borderId="25" xfId="0" applyFont="1" applyFill="1" applyBorder="1" applyAlignment="1" applyProtection="1">
      <alignment horizontal="center" vertical="center" wrapText="1"/>
      <protection hidden="1"/>
    </xf>
    <xf numFmtId="0" fontId="6" fillId="8" borderId="7" xfId="0" applyFont="1" applyFill="1" applyBorder="1" applyAlignment="1" applyProtection="1">
      <alignment horizontal="center" vertical="center" wrapText="1"/>
      <protection hidden="1"/>
    </xf>
    <xf numFmtId="0" fontId="48" fillId="11" borderId="21" xfId="0" applyFont="1" applyFill="1" applyBorder="1" applyAlignment="1" applyProtection="1">
      <alignment vertical="center"/>
      <protection hidden="1"/>
    </xf>
    <xf numFmtId="0" fontId="6" fillId="8" borderId="8" xfId="0" applyFont="1" applyFill="1" applyBorder="1" applyAlignment="1" applyProtection="1">
      <alignment horizontal="center" vertical="center" wrapText="1"/>
      <protection hidden="1"/>
    </xf>
    <xf numFmtId="1" fontId="130" fillId="24" borderId="6" xfId="0" applyNumberFormat="1" applyFont="1" applyFill="1" applyBorder="1" applyAlignment="1" applyProtection="1">
      <alignment horizontal="center" vertical="center"/>
      <protection locked="0"/>
    </xf>
    <xf numFmtId="1" fontId="42" fillId="24" borderId="18" xfId="0" applyNumberFormat="1" applyFont="1" applyFill="1" applyBorder="1" applyAlignment="1" applyProtection="1">
      <alignment horizontal="center" vertical="center"/>
      <protection locked="0"/>
    </xf>
    <xf numFmtId="1" fontId="47" fillId="12" borderId="54" xfId="0" applyNumberFormat="1" applyFont="1" applyFill="1" applyBorder="1" applyAlignment="1">
      <alignment horizontal="center" vertical="center"/>
    </xf>
    <xf numFmtId="1" fontId="47" fillId="12" borderId="18" xfId="0" applyNumberFormat="1" applyFont="1" applyFill="1" applyBorder="1" applyAlignment="1">
      <alignment horizontal="center" vertical="center"/>
    </xf>
    <xf numFmtId="1" fontId="47" fillId="12" borderId="55" xfId="0" applyNumberFormat="1" applyFont="1" applyFill="1" applyBorder="1" applyAlignment="1">
      <alignment horizontal="center" vertical="center" wrapText="1"/>
    </xf>
    <xf numFmtId="2" fontId="47" fillId="11" borderId="55" xfId="0" applyNumberFormat="1" applyFont="1" applyFill="1" applyBorder="1" applyAlignment="1">
      <alignment horizontal="center" vertical="center" wrapText="1"/>
    </xf>
    <xf numFmtId="165" fontId="47" fillId="11" borderId="18" xfId="0" applyNumberFormat="1" applyFont="1" applyFill="1" applyBorder="1" applyAlignment="1">
      <alignment horizontal="center" vertical="center"/>
    </xf>
    <xf numFmtId="0" fontId="47" fillId="11" borderId="54" xfId="0" applyFont="1" applyFill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  <protection hidden="1"/>
    </xf>
    <xf numFmtId="2" fontId="6" fillId="5" borderId="14" xfId="0" applyNumberFormat="1" applyFont="1" applyFill="1" applyBorder="1" applyAlignment="1" applyProtection="1">
      <alignment horizontal="center" vertical="center" wrapText="1"/>
      <protection hidden="1"/>
    </xf>
    <xf numFmtId="1" fontId="130" fillId="13" borderId="10" xfId="0" applyNumberFormat="1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 wrapText="1"/>
      <protection hidden="1"/>
    </xf>
    <xf numFmtId="0" fontId="16" fillId="2" borderId="32" xfId="0" applyFont="1" applyFill="1" applyBorder="1" applyAlignment="1" applyProtection="1">
      <alignment horizontal="center" vertical="center"/>
      <protection hidden="1"/>
    </xf>
    <xf numFmtId="0" fontId="48" fillId="12" borderId="56" xfId="0" applyFont="1" applyFill="1" applyBorder="1" applyAlignment="1" applyProtection="1">
      <alignment horizontal="center" vertical="center"/>
      <protection hidden="1"/>
    </xf>
    <xf numFmtId="0" fontId="48" fillId="12" borderId="56" xfId="0" applyFont="1" applyFill="1" applyBorder="1" applyAlignment="1" applyProtection="1">
      <alignment horizontal="center" vertical="center" wrapText="1"/>
      <protection hidden="1"/>
    </xf>
    <xf numFmtId="166" fontId="48" fillId="11" borderId="56" xfId="0" applyNumberFormat="1" applyFont="1" applyFill="1" applyBorder="1" applyAlignment="1" applyProtection="1">
      <alignment horizontal="center" vertical="center"/>
      <protection hidden="1"/>
    </xf>
    <xf numFmtId="0" fontId="43" fillId="13" borderId="6" xfId="0" applyFont="1" applyFill="1" applyBorder="1" applyAlignment="1" applyProtection="1">
      <alignment horizontal="center" vertical="center"/>
      <protection locked="0"/>
    </xf>
    <xf numFmtId="1" fontId="54" fillId="13" borderId="22" xfId="0" applyNumberFormat="1" applyFont="1" applyFill="1" applyBorder="1" applyAlignment="1" applyProtection="1">
      <alignment horizontal="center" vertical="center"/>
      <protection locked="0"/>
    </xf>
    <xf numFmtId="1" fontId="54" fillId="13" borderId="6" xfId="0" applyNumberFormat="1" applyFont="1" applyFill="1" applyBorder="1" applyAlignment="1" applyProtection="1">
      <alignment horizontal="center" vertical="center"/>
      <protection locked="0"/>
    </xf>
    <xf numFmtId="166" fontId="15" fillId="5" borderId="22" xfId="0" applyNumberFormat="1" applyFont="1" applyFill="1" applyBorder="1" applyAlignment="1" applyProtection="1">
      <alignment horizontal="center" vertical="center" wrapText="1"/>
      <protection hidden="1"/>
    </xf>
    <xf numFmtId="1" fontId="54" fillId="28" borderId="6" xfId="0" applyNumberFormat="1" applyFont="1" applyFill="1" applyBorder="1" applyAlignment="1" applyProtection="1">
      <alignment horizontal="center" vertical="center"/>
      <protection locked="0"/>
    </xf>
    <xf numFmtId="0" fontId="43" fillId="28" borderId="18" xfId="0" applyFont="1" applyFill="1" applyBorder="1" applyAlignment="1" applyProtection="1">
      <alignment horizontal="center" vertical="center"/>
      <protection locked="0"/>
    </xf>
    <xf numFmtId="1" fontId="54" fillId="28" borderId="0" xfId="0" applyNumberFormat="1" applyFont="1" applyFill="1" applyAlignment="1" applyProtection="1">
      <alignment horizontal="center" vertical="center"/>
      <protection locked="0"/>
    </xf>
    <xf numFmtId="1" fontId="54" fillId="28" borderId="18" xfId="0" applyNumberFormat="1" applyFont="1" applyFill="1" applyBorder="1" applyAlignment="1" applyProtection="1">
      <alignment horizontal="center" vertical="center"/>
      <protection locked="0"/>
    </xf>
    <xf numFmtId="1" fontId="39" fillId="4" borderId="0" xfId="0" applyNumberFormat="1" applyFont="1" applyFill="1" applyAlignment="1" applyProtection="1">
      <alignment horizontal="center" vertical="center"/>
      <protection hidden="1"/>
    </xf>
    <xf numFmtId="166" fontId="15" fillId="5" borderId="6" xfId="0" applyNumberFormat="1" applyFont="1" applyFill="1" applyBorder="1" applyAlignment="1" applyProtection="1">
      <alignment horizontal="center" vertical="center" wrapText="1"/>
      <protection hidden="1"/>
    </xf>
    <xf numFmtId="0" fontId="43" fillId="13" borderId="21" xfId="0" applyFont="1" applyFill="1" applyBorder="1" applyAlignment="1" applyProtection="1">
      <alignment horizontal="center" vertical="center"/>
      <protection locked="0"/>
    </xf>
    <xf numFmtId="1" fontId="39" fillId="5" borderId="22" xfId="0" applyNumberFormat="1" applyFont="1" applyFill="1" applyBorder="1" applyAlignment="1" applyProtection="1">
      <alignment horizontal="center" vertical="center"/>
      <protection hidden="1"/>
    </xf>
    <xf numFmtId="166" fontId="15" fillId="4" borderId="6" xfId="0" applyNumberFormat="1" applyFont="1" applyFill="1" applyBorder="1" applyAlignment="1" applyProtection="1">
      <alignment horizontal="center" vertical="center" wrapText="1"/>
      <protection hidden="1"/>
    </xf>
    <xf numFmtId="1" fontId="39" fillId="4" borderId="22" xfId="0" applyNumberFormat="1" applyFont="1" applyFill="1" applyBorder="1" applyAlignment="1" applyProtection="1">
      <alignment horizontal="center" vertical="center"/>
      <protection hidden="1"/>
    </xf>
    <xf numFmtId="0" fontId="130" fillId="13" borderId="6" xfId="0" applyFont="1" applyFill="1" applyBorder="1" applyAlignment="1" applyProtection="1">
      <alignment horizontal="center" vertical="center"/>
      <protection locked="0"/>
    </xf>
    <xf numFmtId="0" fontId="130" fillId="28" borderId="18" xfId="0" applyFont="1" applyFill="1" applyBorder="1" applyAlignment="1" applyProtection="1">
      <alignment horizontal="center" vertical="center"/>
      <protection locked="0"/>
    </xf>
    <xf numFmtId="0" fontId="131" fillId="13" borderId="6" xfId="0" applyFont="1" applyFill="1" applyBorder="1" applyAlignment="1" applyProtection="1">
      <alignment horizontal="center" vertical="center"/>
      <protection locked="0"/>
    </xf>
    <xf numFmtId="0" fontId="131" fillId="28" borderId="18" xfId="0" applyFont="1" applyFill="1" applyBorder="1" applyAlignment="1" applyProtection="1">
      <alignment horizontal="center" vertical="center"/>
      <protection locked="0"/>
    </xf>
    <xf numFmtId="0" fontId="132" fillId="13" borderId="6" xfId="0" applyFont="1" applyFill="1" applyBorder="1" applyAlignment="1" applyProtection="1">
      <alignment horizontal="center" vertical="center"/>
      <protection locked="0"/>
    </xf>
    <xf numFmtId="0" fontId="132" fillId="28" borderId="18" xfId="0" applyFont="1" applyFill="1" applyBorder="1" applyAlignment="1" applyProtection="1">
      <alignment horizontal="center" vertical="center"/>
      <protection locked="0"/>
    </xf>
    <xf numFmtId="0" fontId="16" fillId="0" borderId="0" xfId="0" applyFont="1"/>
    <xf numFmtId="0" fontId="31" fillId="0" borderId="0" xfId="0" applyFont="1" applyAlignment="1">
      <alignment horizontal="right" vertical="center" textRotation="90" wrapText="1"/>
    </xf>
    <xf numFmtId="0" fontId="7" fillId="0" borderId="0" xfId="0" applyFont="1" applyAlignment="1">
      <alignment horizontal="right" textRotation="90" wrapText="1"/>
    </xf>
    <xf numFmtId="0" fontId="133" fillId="8" borderId="0" xfId="0" applyFont="1" applyFill="1" applyAlignment="1">
      <alignment horizontal="right" vertical="center" textRotation="90" wrapText="1"/>
    </xf>
    <xf numFmtId="0" fontId="1" fillId="0" borderId="0" xfId="0" applyFont="1"/>
    <xf numFmtId="0" fontId="1" fillId="0" borderId="5" xfId="0" applyFont="1" applyBorder="1" applyAlignment="1">
      <alignment horizontal="center"/>
    </xf>
    <xf numFmtId="0" fontId="23" fillId="8" borderId="0" xfId="0" applyFont="1" applyFill="1" applyAlignment="1">
      <alignment horizontal="center" wrapText="1"/>
    </xf>
    <xf numFmtId="0" fontId="4" fillId="0" borderId="28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 wrapText="1"/>
    </xf>
    <xf numFmtId="0" fontId="0" fillId="0" borderId="0" xfId="20">
      <alignment/>
      <protection/>
    </xf>
    <xf numFmtId="0" fontId="64" fillId="8" borderId="0" xfId="20" applyFont="1" applyFill="1" applyAlignment="1" applyProtection="1">
      <alignment horizontal="center" vertical="center"/>
      <protection hidden="1"/>
    </xf>
    <xf numFmtId="0" fontId="0" fillId="0" borderId="0" xfId="20" applyProtection="1">
      <alignment/>
      <protection hidden="1"/>
    </xf>
    <xf numFmtId="1" fontId="48" fillId="12" borderId="18" xfId="20" applyNumberFormat="1" applyFont="1" applyFill="1" applyBorder="1" applyAlignment="1" applyProtection="1">
      <alignment horizontal="center" vertical="center" wrapText="1"/>
      <protection hidden="1"/>
    </xf>
    <xf numFmtId="1" fontId="48" fillId="12" borderId="18" xfId="20" applyNumberFormat="1" applyFont="1" applyFill="1" applyBorder="1" applyAlignment="1" applyProtection="1">
      <alignment horizontal="center" vertical="center"/>
      <protection hidden="1"/>
    </xf>
    <xf numFmtId="0" fontId="0" fillId="0" borderId="24" xfId="20" applyBorder="1" applyProtection="1">
      <alignment/>
      <protection hidden="1"/>
    </xf>
    <xf numFmtId="0" fontId="0" fillId="0" borderId="54" xfId="20" applyBorder="1" applyProtection="1">
      <alignment/>
      <protection hidden="1"/>
    </xf>
    <xf numFmtId="0" fontId="16" fillId="2" borderId="6" xfId="20" applyFont="1" applyFill="1" applyBorder="1" applyAlignment="1" applyProtection="1">
      <alignment vertical="center" wrapText="1"/>
      <protection hidden="1"/>
    </xf>
    <xf numFmtId="1" fontId="130" fillId="13" borderId="39" xfId="20" applyNumberFormat="1" applyFont="1" applyFill="1" applyBorder="1" applyAlignment="1" applyProtection="1">
      <alignment horizontal="center" vertical="center"/>
      <protection hidden="1" locked="0"/>
    </xf>
    <xf numFmtId="1" fontId="60" fillId="13" borderId="6" xfId="20" applyNumberFormat="1" applyFont="1" applyFill="1" applyBorder="1" applyAlignment="1" applyProtection="1">
      <alignment horizontal="center" vertical="center"/>
      <protection hidden="1" locked="0"/>
    </xf>
    <xf numFmtId="1" fontId="111" fillId="13" borderId="21" xfId="20" applyNumberFormat="1" applyFont="1" applyFill="1" applyBorder="1" applyAlignment="1" applyProtection="1">
      <alignment horizontal="center" vertical="center"/>
      <protection hidden="1" locked="0"/>
    </xf>
    <xf numFmtId="0" fontId="14" fillId="0" borderId="20" xfId="20" applyFont="1" applyBorder="1" applyProtection="1">
      <alignment/>
      <protection hidden="1"/>
    </xf>
    <xf numFmtId="0" fontId="14" fillId="0" borderId="19" xfId="20" applyFont="1" applyBorder="1" applyProtection="1">
      <alignment/>
      <protection hidden="1"/>
    </xf>
    <xf numFmtId="1" fontId="130" fillId="28" borderId="6" xfId="20" applyNumberFormat="1" applyFont="1" applyFill="1" applyBorder="1" applyAlignment="1" applyProtection="1">
      <alignment horizontal="center" vertical="center"/>
      <protection hidden="1" locked="0"/>
    </xf>
    <xf numFmtId="1" fontId="60" fillId="28" borderId="40" xfId="20" applyNumberFormat="1" applyFont="1" applyFill="1" applyBorder="1" applyAlignment="1" applyProtection="1">
      <alignment horizontal="center" vertical="center"/>
      <protection hidden="1" locked="0"/>
    </xf>
    <xf numFmtId="0" fontId="0" fillId="0" borderId="20" xfId="20" applyBorder="1" applyProtection="1">
      <alignment/>
      <protection hidden="1"/>
    </xf>
    <xf numFmtId="0" fontId="0" fillId="0" borderId="19" xfId="20" applyBorder="1" applyProtection="1">
      <alignment/>
      <protection hidden="1"/>
    </xf>
    <xf numFmtId="0" fontId="0" fillId="0" borderId="9" xfId="20" applyBorder="1" applyProtection="1">
      <alignment/>
      <protection hidden="1"/>
    </xf>
    <xf numFmtId="0" fontId="0" fillId="0" borderId="52" xfId="20" applyBorder="1" applyProtection="1">
      <alignment/>
      <protection hidden="1"/>
    </xf>
    <xf numFmtId="0" fontId="108" fillId="8" borderId="0" xfId="20" applyFont="1" applyFill="1" applyProtection="1">
      <alignment/>
      <protection hidden="1"/>
    </xf>
    <xf numFmtId="0" fontId="10" fillId="0" borderId="0" xfId="20" applyFont="1" applyProtection="1">
      <alignment/>
      <protection hidden="1"/>
    </xf>
    <xf numFmtId="0" fontId="135" fillId="0" borderId="0" xfId="20" applyFont="1" applyAlignment="1">
      <alignment horizontal="center" vertical="center"/>
      <protection/>
    </xf>
    <xf numFmtId="166" fontId="0" fillId="0" borderId="0" xfId="20" applyNumberFormat="1">
      <alignment/>
      <protection/>
    </xf>
    <xf numFmtId="0" fontId="0" fillId="8" borderId="0" xfId="20" applyFill="1">
      <alignment/>
      <protection/>
    </xf>
    <xf numFmtId="0" fontId="108" fillId="0" borderId="0" xfId="20" applyFont="1">
      <alignment/>
      <protection/>
    </xf>
    <xf numFmtId="0" fontId="0" fillId="0" borderId="0" xfId="20" applyAlignment="1">
      <alignment horizontal="center" vertical="center" wrapText="1"/>
      <protection/>
    </xf>
    <xf numFmtId="0" fontId="4" fillId="2" borderId="0" xfId="0" applyFont="1" applyFill="1" applyAlignment="1">
      <alignment horizontal="center" wrapText="1"/>
    </xf>
    <xf numFmtId="0" fontId="12" fillId="0" borderId="0" xfId="0" applyFont="1" applyAlignment="1">
      <alignment vertical="center" wrapText="1"/>
    </xf>
    <xf numFmtId="1" fontId="53" fillId="12" borderId="6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Alignment="1">
      <alignment horizontal="center" vertical="center"/>
    </xf>
    <xf numFmtId="0" fontId="0" fillId="8" borderId="0" xfId="0" applyFont="1" applyFill="1"/>
    <xf numFmtId="0" fontId="4" fillId="2" borderId="0" xfId="0" applyFont="1" applyFill="1" applyAlignment="1">
      <alignment horizontal="center" vertical="center" wrapText="1"/>
    </xf>
    <xf numFmtId="0" fontId="4" fillId="0" borderId="20" xfId="0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0" fontId="35" fillId="0" borderId="0" xfId="0" applyFont="1"/>
    <xf numFmtId="0" fontId="4" fillId="0" borderId="0" xfId="0" applyFont="1"/>
    <xf numFmtId="0" fontId="3" fillId="8" borderId="0" xfId="0" applyFont="1" applyFill="1" applyAlignment="1">
      <alignment horizontal="center" vertical="center"/>
    </xf>
    <xf numFmtId="165" fontId="0" fillId="8" borderId="0" xfId="0" applyNumberFormat="1" applyFill="1"/>
    <xf numFmtId="0" fontId="0" fillId="8" borderId="0" xfId="0" applyFill="1"/>
    <xf numFmtId="0" fontId="137" fillId="8" borderId="20" xfId="0" applyFont="1" applyFill="1" applyBorder="1" applyAlignment="1">
      <alignment horizontal="right" textRotation="90" wrapText="1"/>
    </xf>
    <xf numFmtId="0" fontId="138" fillId="8" borderId="20" xfId="0" applyFont="1" applyFill="1" applyBorder="1" applyAlignment="1">
      <alignment horizontal="right" textRotation="90" wrapText="1"/>
    </xf>
    <xf numFmtId="0" fontId="0" fillId="8" borderId="20" xfId="0" applyFont="1" applyFill="1" applyBorder="1"/>
    <xf numFmtId="0" fontId="4" fillId="8" borderId="20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53" fillId="12" borderId="6" xfId="0" applyFont="1" applyFill="1" applyBorder="1" applyAlignment="1" applyProtection="1">
      <alignment horizontal="center" vertical="center"/>
      <protection locked="0"/>
    </xf>
    <xf numFmtId="0" fontId="128" fillId="13" borderId="18" xfId="0" applyFont="1" applyFill="1" applyBorder="1" applyAlignment="1" applyProtection="1">
      <alignment horizontal="center" vertical="center"/>
      <protection locked="0"/>
    </xf>
    <xf numFmtId="0" fontId="130" fillId="13" borderId="10" xfId="0" applyFont="1" applyFill="1" applyBorder="1" applyAlignment="1" applyProtection="1">
      <alignment horizontal="center" vertical="center"/>
      <protection locked="0"/>
    </xf>
    <xf numFmtId="166" fontId="15" fillId="4" borderId="9" xfId="0" applyNumberFormat="1" applyFont="1" applyFill="1" applyBorder="1" applyAlignment="1" applyProtection="1">
      <alignment horizontal="center" vertical="center" wrapText="1"/>
      <protection hidden="1"/>
    </xf>
    <xf numFmtId="1" fontId="39" fillId="5" borderId="21" xfId="0" applyNumberFormat="1" applyFont="1" applyFill="1" applyBorder="1" applyAlignment="1" applyProtection="1">
      <alignment horizontal="center" vertical="center"/>
      <protection hidden="1"/>
    </xf>
    <xf numFmtId="0" fontId="48" fillId="11" borderId="58" xfId="0" applyFont="1" applyFill="1" applyBorder="1" applyAlignment="1" applyProtection="1">
      <alignment horizontal="center" vertical="center"/>
      <protection hidden="1"/>
    </xf>
    <xf numFmtId="166" fontId="15" fillId="4" borderId="18" xfId="0" applyNumberFormat="1" applyFont="1" applyFill="1" applyBorder="1" applyAlignment="1" applyProtection="1">
      <alignment horizontal="center" vertical="center" wrapText="1"/>
      <protection hidden="1"/>
    </xf>
    <xf numFmtId="0" fontId="7" fillId="9" borderId="24" xfId="0" applyFont="1" applyFill="1" applyBorder="1" applyAlignment="1" applyProtection="1">
      <alignment horizontal="left" vertical="center"/>
      <protection hidden="1"/>
    </xf>
    <xf numFmtId="0" fontId="43" fillId="28" borderId="40" xfId="0" applyFont="1" applyFill="1" applyBorder="1" applyAlignment="1" applyProtection="1">
      <alignment horizontal="center" vertical="center"/>
      <protection locked="0"/>
    </xf>
    <xf numFmtId="1" fontId="54" fillId="28" borderId="40" xfId="0" applyNumberFormat="1" applyFont="1" applyFill="1" applyBorder="1" applyAlignment="1" applyProtection="1">
      <alignment horizontal="center" vertical="center"/>
      <protection locked="0"/>
    </xf>
    <xf numFmtId="166" fontId="15" fillId="4" borderId="40" xfId="0" applyNumberFormat="1" applyFont="1" applyFill="1" applyBorder="1" applyAlignment="1" applyProtection="1">
      <alignment horizontal="center" vertical="center" wrapText="1"/>
      <protection hidden="1"/>
    </xf>
    <xf numFmtId="0" fontId="43" fillId="28" borderId="22" xfId="0" applyFont="1" applyFill="1" applyBorder="1" applyAlignment="1" applyProtection="1">
      <alignment horizontal="center" vertical="center"/>
      <protection locked="0"/>
    </xf>
    <xf numFmtId="1" fontId="54" fillId="28" borderId="22" xfId="0" applyNumberFormat="1" applyFont="1" applyFill="1" applyBorder="1" applyAlignment="1" applyProtection="1">
      <alignment horizontal="center" vertical="center"/>
      <protection locked="0"/>
    </xf>
    <xf numFmtId="0" fontId="116" fillId="25" borderId="39" xfId="22" applyFont="1" applyFill="1" applyBorder="1" applyAlignment="1" applyProtection="1">
      <alignment horizontal="center" vertical="center"/>
      <protection locked="0"/>
    </xf>
    <xf numFmtId="0" fontId="47" fillId="12" borderId="6" xfId="0" applyFont="1" applyFill="1" applyBorder="1" applyAlignment="1" applyProtection="1">
      <alignment horizontal="center" vertical="center" wrapText="1"/>
      <protection hidden="1"/>
    </xf>
    <xf numFmtId="0" fontId="46" fillId="8" borderId="0" xfId="0" applyFont="1" applyFill="1" applyAlignment="1">
      <alignment horizontal="center" vertical="center" wrapText="1"/>
    </xf>
    <xf numFmtId="0" fontId="0" fillId="8" borderId="0" xfId="0" applyFill="1" applyAlignment="1">
      <alignment wrapText="1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0" fillId="0" borderId="27" xfId="0" applyFont="1" applyBorder="1" applyAlignment="1">
      <alignment horizontal="left" vertical="center"/>
    </xf>
    <xf numFmtId="0" fontId="0" fillId="0" borderId="52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2" fillId="0" borderId="0" xfId="0" applyFont="1" applyAlignment="1">
      <alignment vertical="center"/>
    </xf>
    <xf numFmtId="0" fontId="0" fillId="0" borderId="0" xfId="0" applyAlignment="1">
      <alignment vertical="center"/>
    </xf>
    <xf numFmtId="0" fontId="14" fillId="0" borderId="27" xfId="0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0" fillId="0" borderId="36" xfId="0" applyBorder="1" applyAlignment="1">
      <alignment vertical="center"/>
    </xf>
    <xf numFmtId="0" fontId="14" fillId="0" borderId="27" xfId="0" applyFont="1" applyBorder="1" applyAlignment="1">
      <alignment horizontal="left" vertical="center"/>
    </xf>
    <xf numFmtId="0" fontId="30" fillId="0" borderId="0" xfId="0" applyFont="1" applyAlignment="1">
      <alignment horizontal="center" vertical="center" wrapText="1"/>
    </xf>
    <xf numFmtId="0" fontId="0" fillId="0" borderId="59" xfId="0" applyBorder="1" applyAlignment="1">
      <alignment vertical="center"/>
    </xf>
    <xf numFmtId="0" fontId="109" fillId="29" borderId="5" xfId="22" applyFont="1" applyFill="1" applyBorder="1" applyAlignment="1" applyProtection="1">
      <alignment horizontal="center" vertical="center" wrapText="1"/>
      <protection hidden="1"/>
    </xf>
    <xf numFmtId="0" fontId="6" fillId="0" borderId="35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4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0" fillId="0" borderId="25" xfId="0" applyBorder="1" applyAlignment="1">
      <alignment vertical="center"/>
    </xf>
    <xf numFmtId="0" fontId="6" fillId="0" borderId="25" xfId="0" applyFont="1" applyBorder="1" applyAlignment="1">
      <alignment horizontal="center" vertical="center"/>
    </xf>
    <xf numFmtId="0" fontId="46" fillId="8" borderId="55" xfId="0" applyFont="1" applyFill="1" applyBorder="1" applyAlignment="1">
      <alignment horizontal="center" vertical="center" wrapText="1"/>
    </xf>
    <xf numFmtId="0" fontId="6" fillId="0" borderId="60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/>
    </xf>
    <xf numFmtId="2" fontId="0" fillId="0" borderId="16" xfId="0" applyNumberForma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14" fillId="0" borderId="61" xfId="0" applyFont="1" applyBorder="1" applyAlignment="1">
      <alignment horizontal="left" vertical="center"/>
    </xf>
    <xf numFmtId="0" fontId="0" fillId="0" borderId="61" xfId="0" applyFont="1" applyBorder="1" applyAlignment="1">
      <alignment horizontal="left" vertical="center"/>
    </xf>
    <xf numFmtId="0" fontId="14" fillId="0" borderId="61" xfId="0" applyFont="1" applyBorder="1" applyAlignment="1">
      <alignment vertical="center"/>
    </xf>
    <xf numFmtId="0" fontId="0" fillId="0" borderId="62" xfId="0" applyBorder="1" applyAlignment="1">
      <alignment vertical="center"/>
    </xf>
    <xf numFmtId="0" fontId="0" fillId="0" borderId="26" xfId="0" applyBorder="1" applyAlignment="1">
      <alignment vertical="center"/>
    </xf>
    <xf numFmtId="0" fontId="18" fillId="0" borderId="20" xfId="0" applyFont="1" applyBorder="1" applyAlignment="1">
      <alignment vertical="center"/>
    </xf>
    <xf numFmtId="2" fontId="14" fillId="0" borderId="20" xfId="0" applyNumberFormat="1" applyFont="1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9" xfId="0" applyBorder="1" applyAlignment="1">
      <alignment horizontal="center" vertical="center"/>
    </xf>
    <xf numFmtId="0" fontId="50" fillId="8" borderId="0" xfId="0" applyFont="1" applyFill="1"/>
    <xf numFmtId="0" fontId="0" fillId="0" borderId="0" xfId="0" applyFont="1" applyProtection="1">
      <protection hidden="1" locked="0"/>
    </xf>
    <xf numFmtId="0" fontId="0" fillId="8" borderId="0" xfId="0" applyFont="1" applyFill="1" applyProtection="1">
      <protection hidden="1" locked="0"/>
    </xf>
    <xf numFmtId="0" fontId="141" fillId="0" borderId="63" xfId="0" applyFont="1" applyBorder="1" applyAlignment="1" applyProtection="1">
      <alignment horizontal="center" textRotation="90"/>
      <protection hidden="1"/>
    </xf>
    <xf numFmtId="166" fontId="141" fillId="0" borderId="63" xfId="0" applyNumberFormat="1" applyFont="1" applyBorder="1" applyAlignment="1" applyProtection="1">
      <alignment horizontal="center" vertical="center" textRotation="90"/>
      <protection hidden="1"/>
    </xf>
    <xf numFmtId="0" fontId="141" fillId="0" borderId="63" xfId="0" applyFont="1" applyBorder="1" applyAlignment="1" applyProtection="1">
      <alignment horizontal="center" vertical="top" textRotation="90"/>
      <protection hidden="1"/>
    </xf>
    <xf numFmtId="0" fontId="146" fillId="8" borderId="19" xfId="0" applyFont="1" applyFill="1" applyBorder="1" applyAlignment="1" applyProtection="1">
      <alignment horizontal="center"/>
      <protection hidden="1"/>
    </xf>
    <xf numFmtId="0" fontId="50" fillId="8" borderId="0" xfId="0" applyFont="1" applyFill="1" applyProtection="1">
      <protection hidden="1" locked="0"/>
    </xf>
    <xf numFmtId="0" fontId="50" fillId="8" borderId="0" xfId="0" applyFont="1" applyFill="1" applyAlignment="1" applyProtection="1">
      <alignment horizontal="center" vertical="center"/>
      <protection hidden="1" locked="0"/>
    </xf>
    <xf numFmtId="0" fontId="48" fillId="8" borderId="0" xfId="0" applyFont="1" applyFill="1" applyProtection="1">
      <protection hidden="1" locked="0"/>
    </xf>
    <xf numFmtId="0" fontId="139" fillId="8" borderId="0" xfId="0" applyFont="1" applyFill="1" applyAlignment="1" applyProtection="1">
      <alignment horizontal="left" vertical="center"/>
      <protection hidden="1"/>
    </xf>
    <xf numFmtId="0" fontId="1" fillId="0" borderId="19" xfId="0" applyFont="1" applyBorder="1"/>
    <xf numFmtId="0" fontId="9" fillId="0" borderId="19" xfId="0" applyFont="1" applyBorder="1" applyAlignment="1">
      <alignment vertical="center"/>
    </xf>
    <xf numFmtId="0" fontId="0" fillId="0" borderId="52" xfId="0" applyBorder="1"/>
    <xf numFmtId="0" fontId="0" fillId="0" borderId="0" xfId="0" applyFont="1" applyAlignment="1">
      <alignment vertical="center"/>
    </xf>
    <xf numFmtId="0" fontId="0" fillId="0" borderId="16" xfId="0" applyFont="1" applyBorder="1"/>
    <xf numFmtId="165" fontId="0" fillId="0" borderId="16" xfId="0" applyNumberFormat="1" applyBorder="1"/>
    <xf numFmtId="0" fontId="0" fillId="0" borderId="20" xfId="0" applyFont="1" applyBorder="1" applyProtection="1">
      <protection hidden="1"/>
    </xf>
    <xf numFmtId="0" fontId="66" fillId="0" borderId="20" xfId="0" applyFont="1" applyBorder="1" applyAlignment="1" applyProtection="1">
      <alignment horizontal="center" textRotation="90"/>
      <protection hidden="1"/>
    </xf>
    <xf numFmtId="0" fontId="9" fillId="0" borderId="40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53" fillId="12" borderId="21" xfId="0" applyFont="1" applyFill="1" applyBorder="1" applyAlignment="1" applyProtection="1">
      <alignment horizontal="center" vertical="center"/>
      <protection locked="0"/>
    </xf>
    <xf numFmtId="1" fontId="66" fillId="0" borderId="20" xfId="0" applyNumberFormat="1" applyFont="1" applyBorder="1" applyAlignment="1" applyProtection="1">
      <alignment horizontal="center" vertical="center"/>
      <protection hidden="1"/>
    </xf>
    <xf numFmtId="1" fontId="66" fillId="0" borderId="9" xfId="0" applyNumberFormat="1" applyFont="1" applyBorder="1" applyAlignment="1" applyProtection="1">
      <alignment horizontal="center" vertical="center"/>
      <protection hidden="1"/>
    </xf>
    <xf numFmtId="1" fontId="66" fillId="0" borderId="21" xfId="0" applyNumberFormat="1" applyFont="1" applyBorder="1" applyAlignment="1" applyProtection="1">
      <alignment horizontal="center" vertical="center"/>
      <protection hidden="1"/>
    </xf>
    <xf numFmtId="0" fontId="125" fillId="17" borderId="5" xfId="21" applyFont="1" applyFill="1" applyBorder="1" applyAlignment="1">
      <alignment horizontal="center" vertical="center" wrapText="1"/>
      <protection/>
    </xf>
    <xf numFmtId="0" fontId="148" fillId="10" borderId="5" xfId="21" applyFont="1" applyFill="1" applyBorder="1" applyAlignment="1">
      <alignment horizontal="left" vertical="center" wrapText="1"/>
      <protection/>
    </xf>
    <xf numFmtId="0" fontId="149" fillId="8" borderId="5" xfId="21" applyFont="1" applyFill="1" applyBorder="1" applyAlignment="1" applyProtection="1">
      <alignment horizontal="center" vertical="center" wrapText="1"/>
      <protection hidden="1"/>
    </xf>
    <xf numFmtId="0" fontId="2" fillId="0" borderId="32" xfId="21" applyBorder="1">
      <alignment/>
      <protection/>
    </xf>
    <xf numFmtId="0" fontId="148" fillId="10" borderId="5" xfId="21" applyFont="1" applyFill="1" applyBorder="1" applyAlignment="1">
      <alignment vertical="center" wrapText="1"/>
      <protection/>
    </xf>
    <xf numFmtId="0" fontId="125" fillId="8" borderId="5" xfId="21" applyFont="1" applyFill="1" applyBorder="1" applyAlignment="1">
      <alignment horizontal="center" vertical="center" wrapText="1"/>
      <protection/>
    </xf>
    <xf numFmtId="0" fontId="9" fillId="25" borderId="14" xfId="22" applyFont="1" applyFill="1" applyBorder="1" applyAlignment="1">
      <alignment horizontal="center" vertical="center"/>
    </xf>
    <xf numFmtId="0" fontId="118" fillId="0" borderId="0" xfId="22" applyFont="1" applyBorder="1" applyAlignment="1">
      <alignment horizontal="left" vertical="center" wrapText="1"/>
    </xf>
    <xf numFmtId="0" fontId="118" fillId="8" borderId="0" xfId="22" applyFont="1" applyFill="1" applyBorder="1" applyAlignment="1" applyProtection="1">
      <alignment horizontal="left" vertical="center" wrapText="1"/>
      <protection hidden="1"/>
    </xf>
    <xf numFmtId="0" fontId="109" fillId="8" borderId="0" xfId="22" applyFont="1" applyFill="1" applyBorder="1" applyAlignment="1" applyProtection="1">
      <alignment horizontal="center" vertical="center" wrapText="1"/>
      <protection hidden="1"/>
    </xf>
    <xf numFmtId="0" fontId="148" fillId="30" borderId="5" xfId="21" applyFont="1" applyFill="1" applyBorder="1" applyAlignment="1" applyProtection="1">
      <alignment horizontal="center" vertical="center"/>
      <protection hidden="1" locked="0"/>
    </xf>
    <xf numFmtId="0" fontId="2" fillId="0" borderId="32" xfId="21" applyBorder="1" applyProtection="1">
      <alignment/>
      <protection hidden="1"/>
    </xf>
    <xf numFmtId="0" fontId="125" fillId="17" borderId="5" xfId="21" applyFont="1" applyFill="1" applyBorder="1" applyAlignment="1" applyProtection="1">
      <alignment horizontal="center" vertical="center" wrapText="1"/>
      <protection hidden="1"/>
    </xf>
    <xf numFmtId="0" fontId="153" fillId="0" borderId="5" xfId="21" applyFont="1" applyBorder="1" applyAlignment="1" applyProtection="1">
      <alignment horizontal="center" vertical="center" wrapText="1"/>
      <protection hidden="1"/>
    </xf>
    <xf numFmtId="2" fontId="154" fillId="0" borderId="5" xfId="21" applyNumberFormat="1" applyFont="1" applyBorder="1" applyAlignment="1" applyProtection="1">
      <alignment horizontal="center" vertical="center"/>
      <protection hidden="1"/>
    </xf>
    <xf numFmtId="0" fontId="113" fillId="25" borderId="6" xfId="22" applyFont="1" applyFill="1" applyBorder="1" applyAlignment="1" applyProtection="1">
      <alignment horizontal="center" vertical="center"/>
      <protection hidden="1" locked="0"/>
    </xf>
    <xf numFmtId="0" fontId="125" fillId="17" borderId="5" xfId="21" applyFont="1" applyFill="1" applyBorder="1" applyAlignment="1">
      <alignment horizontal="center" vertical="center" wrapText="1"/>
      <protection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2" fontId="6" fillId="4" borderId="14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Alignment="1">
      <alignment horizontal="center" vertical="center" wrapText="1"/>
    </xf>
    <xf numFmtId="0" fontId="3" fillId="8" borderId="0" xfId="0" applyFont="1" applyFill="1" applyAlignment="1">
      <alignment horizontal="left" vertical="center" wrapText="1"/>
    </xf>
    <xf numFmtId="0" fontId="3" fillId="8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/>
    </xf>
    <xf numFmtId="1" fontId="6" fillId="8" borderId="0" xfId="0" applyNumberFormat="1" applyFont="1" applyFill="1" applyAlignment="1">
      <alignment horizontal="center" vertical="center"/>
    </xf>
    <xf numFmtId="0" fontId="47" fillId="11" borderId="64" xfId="0" applyFont="1" applyFill="1" applyBorder="1" applyAlignment="1">
      <alignment horizontal="center" vertical="center" wrapText="1"/>
    </xf>
    <xf numFmtId="0" fontId="47" fillId="11" borderId="65" xfId="0" applyFont="1" applyFill="1" applyBorder="1" applyAlignment="1">
      <alignment horizontal="center" vertical="center" wrapText="1"/>
    </xf>
    <xf numFmtId="1" fontId="6" fillId="10" borderId="14" xfId="0" applyNumberFormat="1" applyFont="1" applyFill="1" applyBorder="1" applyAlignment="1">
      <alignment horizontal="center" vertical="center"/>
    </xf>
    <xf numFmtId="1" fontId="6" fillId="10" borderId="15" xfId="0" applyNumberFormat="1" applyFont="1" applyFill="1" applyBorder="1" applyAlignment="1">
      <alignment horizontal="center" vertical="center"/>
    </xf>
    <xf numFmtId="1" fontId="6" fillId="10" borderId="26" xfId="0" applyNumberFormat="1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wrapText="1"/>
    </xf>
    <xf numFmtId="0" fontId="12" fillId="0" borderId="16" xfId="0" applyFont="1" applyBorder="1" applyAlignment="1">
      <alignment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9" fillId="8" borderId="19" xfId="0" applyFont="1" applyFill="1" applyBorder="1" applyAlignment="1">
      <alignment vertical="center"/>
    </xf>
    <xf numFmtId="0" fontId="53" fillId="8" borderId="0" xfId="0" applyFont="1" applyFill="1" applyAlignment="1" applyProtection="1">
      <alignment horizontal="center" vertical="center"/>
      <protection locked="0"/>
    </xf>
    <xf numFmtId="0" fontId="4" fillId="0" borderId="38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4" fillId="0" borderId="66" xfId="0" applyFont="1" applyBorder="1" applyAlignment="1">
      <alignment horizontal="left" wrapText="1"/>
    </xf>
    <xf numFmtId="0" fontId="4" fillId="0" borderId="66" xfId="0" applyFont="1" applyBorder="1" applyAlignment="1">
      <alignment wrapText="1"/>
    </xf>
    <xf numFmtId="0" fontId="4" fillId="0" borderId="6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left" vertical="center" wrapText="1"/>
    </xf>
    <xf numFmtId="0" fontId="4" fillId="5" borderId="0" xfId="0" applyFont="1" applyFill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0" fillId="26" borderId="21" xfId="0" applyFill="1" applyBorder="1" applyAlignment="1">
      <alignment horizontal="center" vertical="center" wrapText="1"/>
    </xf>
    <xf numFmtId="0" fontId="16" fillId="26" borderId="22" xfId="0" applyFont="1" applyFill="1" applyBorder="1" applyAlignment="1">
      <alignment vertical="center"/>
    </xf>
    <xf numFmtId="0" fontId="0" fillId="26" borderId="22" xfId="0" applyFill="1" applyBorder="1" applyAlignment="1">
      <alignment horizontal="center" vertical="center" wrapText="1"/>
    </xf>
    <xf numFmtId="1" fontId="66" fillId="0" borderId="0" xfId="0" applyNumberFormat="1" applyFont="1" applyAlignment="1" applyProtection="1">
      <alignment horizontal="center" vertical="center"/>
      <protection hidden="1"/>
    </xf>
    <xf numFmtId="0" fontId="6" fillId="0" borderId="67" xfId="0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68" xfId="0" applyFont="1" applyBorder="1" applyAlignment="1">
      <alignment horizontal="left" vertical="center" wrapText="1"/>
    </xf>
    <xf numFmtId="0" fontId="53" fillId="12" borderId="9" xfId="0" applyFont="1" applyFill="1" applyBorder="1" applyAlignment="1" applyProtection="1">
      <alignment horizontal="center" vertical="center"/>
      <protection locked="0"/>
    </xf>
    <xf numFmtId="0" fontId="0" fillId="8" borderId="0" xfId="20" applyFill="1" applyAlignment="1" applyProtection="1">
      <alignment horizontal="center" vertical="center"/>
      <protection hidden="1"/>
    </xf>
    <xf numFmtId="0" fontId="53" fillId="8" borderId="0" xfId="20" applyFont="1" applyFill="1" applyAlignment="1" applyProtection="1">
      <alignment horizontal="center" vertical="center" wrapText="1"/>
      <protection hidden="1"/>
    </xf>
    <xf numFmtId="0" fontId="59" fillId="8" borderId="0" xfId="20" applyFont="1" applyFill="1" applyAlignment="1" applyProtection="1">
      <alignment horizontal="center" vertical="center" wrapText="1"/>
      <protection hidden="1"/>
    </xf>
    <xf numFmtId="0" fontId="57" fillId="8" borderId="0" xfId="20" applyFont="1" applyFill="1" applyAlignment="1" applyProtection="1">
      <alignment horizontal="center" vertical="center" wrapText="1"/>
      <protection hidden="1"/>
    </xf>
    <xf numFmtId="0" fontId="35" fillId="8" borderId="0" xfId="20" applyFont="1" applyFill="1" applyAlignment="1" applyProtection="1">
      <alignment horizontal="center" vertical="center"/>
      <protection hidden="1"/>
    </xf>
    <xf numFmtId="0" fontId="48" fillId="8" borderId="0" xfId="20" applyFont="1" applyFill="1" applyAlignment="1" applyProtection="1">
      <alignment vertical="center"/>
      <protection hidden="1"/>
    </xf>
    <xf numFmtId="0" fontId="53" fillId="8" borderId="0" xfId="20" applyFont="1" applyFill="1" applyAlignment="1" applyProtection="1">
      <alignment horizontal="center" vertical="center"/>
      <protection hidden="1"/>
    </xf>
    <xf numFmtId="0" fontId="59" fillId="8" borderId="0" xfId="20" applyFont="1" applyFill="1" applyAlignment="1" applyProtection="1">
      <alignment horizontal="center" vertical="center"/>
      <protection hidden="1"/>
    </xf>
    <xf numFmtId="0" fontId="0" fillId="8" borderId="0" xfId="20" applyFill="1" applyProtection="1">
      <alignment/>
      <protection hidden="1"/>
    </xf>
    <xf numFmtId="0" fontId="57" fillId="8" borderId="0" xfId="20" applyFont="1" applyFill="1" applyAlignment="1" applyProtection="1">
      <alignment horizontal="center" vertical="center"/>
      <protection hidden="1"/>
    </xf>
    <xf numFmtId="0" fontId="48" fillId="8" borderId="0" xfId="20" applyFont="1" applyFill="1" applyAlignment="1" applyProtection="1">
      <alignment vertical="center" wrapText="1"/>
      <protection hidden="1"/>
    </xf>
    <xf numFmtId="1" fontId="130" fillId="31" borderId="6" xfId="20" applyNumberFormat="1" applyFont="1" applyFill="1" applyBorder="1" applyAlignment="1" applyProtection="1">
      <alignment horizontal="center" vertical="center"/>
      <protection hidden="1" locked="0"/>
    </xf>
    <xf numFmtId="1" fontId="60" fillId="31" borderId="40" xfId="20" applyNumberFormat="1" applyFont="1" applyFill="1" applyBorder="1" applyAlignment="1" applyProtection="1">
      <alignment horizontal="center" vertical="center"/>
      <protection hidden="1" locked="0"/>
    </xf>
    <xf numFmtId="166" fontId="11" fillId="5" borderId="21" xfId="20" applyNumberFormat="1" applyFont="1" applyFill="1" applyBorder="1" applyAlignment="1" applyProtection="1">
      <alignment horizontal="center" vertical="center"/>
      <protection hidden="1"/>
    </xf>
    <xf numFmtId="166" fontId="11" fillId="4" borderId="6" xfId="0" applyNumberFormat="1" applyFont="1" applyFill="1" applyBorder="1" applyAlignment="1" applyProtection="1">
      <alignment horizontal="center" vertical="center" wrapText="1"/>
      <protection hidden="1"/>
    </xf>
    <xf numFmtId="166" fontId="11" fillId="32" borderId="21" xfId="20" applyNumberFormat="1" applyFont="1" applyFill="1" applyBorder="1" applyAlignment="1" applyProtection="1">
      <alignment horizontal="center" vertical="center"/>
      <protection hidden="1"/>
    </xf>
    <xf numFmtId="0" fontId="7" fillId="32" borderId="21" xfId="20" applyFont="1" applyFill="1" applyBorder="1" applyAlignment="1" applyProtection="1">
      <alignment vertical="center" wrapText="1"/>
      <protection hidden="1"/>
    </xf>
    <xf numFmtId="166" fontId="0" fillId="8" borderId="0" xfId="20" applyNumberFormat="1" applyFill="1">
      <alignment/>
      <protection/>
    </xf>
    <xf numFmtId="2" fontId="48" fillId="12" borderId="21" xfId="20" applyNumberFormat="1" applyFont="1" applyFill="1" applyBorder="1" applyAlignment="1" applyProtection="1">
      <alignment horizontal="center" vertical="center" wrapText="1"/>
      <protection hidden="1"/>
    </xf>
    <xf numFmtId="0" fontId="53" fillId="11" borderId="24" xfId="20" applyFont="1" applyFill="1" applyBorder="1" applyAlignment="1" applyProtection="1">
      <alignment vertical="center"/>
      <protection hidden="1"/>
    </xf>
    <xf numFmtId="2" fontId="53" fillId="11" borderId="21" xfId="20" applyNumberFormat="1" applyFont="1" applyFill="1" applyBorder="1" applyAlignment="1" applyProtection="1">
      <alignment horizontal="center" vertical="center" wrapText="1"/>
      <protection hidden="1"/>
    </xf>
    <xf numFmtId="1" fontId="111" fillId="13" borderId="39" xfId="20" applyNumberFormat="1" applyFont="1" applyFill="1" applyBorder="1" applyAlignment="1" applyProtection="1">
      <alignment horizontal="center" vertical="center"/>
      <protection hidden="1" locked="0"/>
    </xf>
    <xf numFmtId="1" fontId="111" fillId="31" borderId="6" xfId="20" applyNumberFormat="1" applyFont="1" applyFill="1" applyBorder="1" applyAlignment="1" applyProtection="1">
      <alignment horizontal="center" vertical="center"/>
      <protection hidden="1" locked="0"/>
    </xf>
    <xf numFmtId="1" fontId="111" fillId="13" borderId="6" xfId="20" applyNumberFormat="1" applyFont="1" applyFill="1" applyBorder="1" applyAlignment="1" applyProtection="1">
      <alignment horizontal="center" vertical="center"/>
      <protection hidden="1" locked="0"/>
    </xf>
    <xf numFmtId="1" fontId="111" fillId="28" borderId="6" xfId="20" applyNumberFormat="1" applyFont="1" applyFill="1" applyBorder="1" applyAlignment="1" applyProtection="1">
      <alignment horizontal="center" vertical="center"/>
      <protection hidden="1" locked="0"/>
    </xf>
    <xf numFmtId="1" fontId="66" fillId="0" borderId="20" xfId="0" applyNumberFormat="1" applyFont="1" applyBorder="1" applyAlignment="1" applyProtection="1">
      <alignment horizontal="center" textRotation="90"/>
      <protection hidden="1"/>
    </xf>
    <xf numFmtId="0" fontId="53" fillId="11" borderId="6" xfId="20" applyFont="1" applyFill="1" applyBorder="1" applyAlignment="1" applyProtection="1">
      <alignment horizontal="center" vertical="center" wrapText="1"/>
      <protection hidden="1"/>
    </xf>
    <xf numFmtId="0" fontId="16" fillId="10" borderId="4" xfId="20" applyFont="1" applyFill="1" applyBorder="1" applyAlignment="1" applyProtection="1">
      <alignment horizontal="center" vertical="center"/>
      <protection hidden="1"/>
    </xf>
    <xf numFmtId="0" fontId="16" fillId="10" borderId="1" xfId="20" applyFont="1" applyFill="1" applyBorder="1" applyAlignment="1" applyProtection="1">
      <alignment horizontal="center" vertical="center"/>
      <protection hidden="1"/>
    </xf>
    <xf numFmtId="0" fontId="16" fillId="10" borderId="3" xfId="20" applyFont="1" applyFill="1" applyBorder="1" applyAlignment="1" applyProtection="1">
      <alignment horizontal="center" vertical="center"/>
      <protection hidden="1"/>
    </xf>
    <xf numFmtId="0" fontId="53" fillId="11" borderId="39" xfId="20" applyFont="1" applyFill="1" applyBorder="1" applyAlignment="1" applyProtection="1">
      <alignment horizontal="center" vertical="center" wrapText="1"/>
      <protection hidden="1"/>
    </xf>
    <xf numFmtId="0" fontId="16" fillId="10" borderId="15" xfId="20" applyFont="1" applyFill="1" applyBorder="1" applyAlignment="1" applyProtection="1">
      <alignment horizontal="center" vertical="center"/>
      <protection hidden="1"/>
    </xf>
    <xf numFmtId="0" fontId="16" fillId="10" borderId="26" xfId="20" applyFont="1" applyFill="1" applyBorder="1" applyAlignment="1" applyProtection="1">
      <alignment horizontal="center" vertical="center"/>
      <protection hidden="1"/>
    </xf>
    <xf numFmtId="0" fontId="6" fillId="0" borderId="21" xfId="20" applyFont="1" applyBorder="1" applyAlignment="1">
      <alignment horizontal="center" vertical="center"/>
      <protection/>
    </xf>
    <xf numFmtId="0" fontId="14" fillId="0" borderId="38" xfId="20" applyFont="1" applyBorder="1" applyAlignment="1">
      <alignment horizontal="center" vertical="center"/>
      <protection/>
    </xf>
    <xf numFmtId="0" fontId="35" fillId="4" borderId="4" xfId="0" applyFont="1" applyFill="1" applyBorder="1" applyAlignment="1" applyProtection="1">
      <alignment horizontal="center" vertical="center" wrapText="1"/>
      <protection hidden="1"/>
    </xf>
    <xf numFmtId="0" fontId="35" fillId="4" borderId="53" xfId="0" applyFont="1" applyFill="1" applyBorder="1" applyAlignment="1" applyProtection="1">
      <alignment horizontal="center" vertical="center" wrapText="1"/>
      <protection hidden="1"/>
    </xf>
    <xf numFmtId="0" fontId="43" fillId="4" borderId="10" xfId="0" applyFont="1" applyFill="1" applyBorder="1" applyAlignment="1" applyProtection="1">
      <alignment horizontal="center" vertical="center"/>
      <protection hidden="1"/>
    </xf>
    <xf numFmtId="1" fontId="54" fillId="4" borderId="10" xfId="0" applyNumberFormat="1" applyFont="1" applyFill="1" applyBorder="1" applyAlignment="1" applyProtection="1">
      <alignment horizontal="center" vertical="center"/>
      <protection hidden="1"/>
    </xf>
    <xf numFmtId="1" fontId="54" fillId="4" borderId="21" xfId="0" applyNumberFormat="1" applyFont="1" applyFill="1" applyBorder="1" applyAlignment="1" applyProtection="1">
      <alignment horizontal="center" vertical="center"/>
      <protection hidden="1"/>
    </xf>
    <xf numFmtId="166" fontId="11" fillId="4" borderId="10" xfId="0" applyNumberFormat="1" applyFont="1" applyFill="1" applyBorder="1" applyAlignment="1" applyProtection="1">
      <alignment horizontal="center" vertical="center" wrapText="1"/>
      <protection hidden="1"/>
    </xf>
    <xf numFmtId="0" fontId="10" fillId="4" borderId="6" xfId="0" applyFont="1" applyFill="1" applyBorder="1" applyAlignment="1" applyProtection="1">
      <alignment horizontal="left" vertical="center"/>
      <protection hidden="1"/>
    </xf>
    <xf numFmtId="0" fontId="130" fillId="4" borderId="6" xfId="0" applyFont="1" applyFill="1" applyBorder="1" applyAlignment="1" applyProtection="1">
      <alignment horizontal="center" vertical="center"/>
      <protection locked="0"/>
    </xf>
    <xf numFmtId="0" fontId="43" fillId="4" borderId="6" xfId="0" applyFont="1" applyFill="1" applyBorder="1" applyAlignment="1" applyProtection="1">
      <alignment horizontal="center" vertical="center"/>
      <protection hidden="1"/>
    </xf>
    <xf numFmtId="1" fontId="54" fillId="4" borderId="6" xfId="0" applyNumberFormat="1" applyFont="1" applyFill="1" applyBorder="1" applyAlignment="1" applyProtection="1">
      <alignment horizontal="center" vertical="center"/>
      <protection hidden="1"/>
    </xf>
    <xf numFmtId="0" fontId="117" fillId="25" borderId="6" xfId="22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>
      <alignment horizontal="center" vertical="center"/>
    </xf>
    <xf numFmtId="0" fontId="118" fillId="33" borderId="5" xfId="22" applyFont="1" applyFill="1" applyBorder="1" applyAlignment="1" applyProtection="1">
      <alignment horizontal="left" vertical="center" wrapText="1"/>
      <protection hidden="1"/>
    </xf>
    <xf numFmtId="0" fontId="118" fillId="0" borderId="5" xfId="22" applyFont="1" applyBorder="1" applyAlignment="1">
      <alignment horizontal="left" vertical="center" wrapText="1"/>
    </xf>
    <xf numFmtId="0" fontId="115" fillId="8" borderId="24" xfId="0" applyFont="1" applyFill="1" applyBorder="1" applyAlignment="1" applyProtection="1">
      <alignment horizontal="center" vertical="center" wrapText="1"/>
      <protection hidden="1"/>
    </xf>
    <xf numFmtId="0" fontId="115" fillId="8" borderId="55" xfId="0" applyFont="1" applyFill="1" applyBorder="1" applyAlignment="1" applyProtection="1">
      <alignment horizontal="center"/>
      <protection hidden="1"/>
    </xf>
    <xf numFmtId="0" fontId="157" fillId="0" borderId="54" xfId="0" applyFont="1" applyBorder="1" applyAlignment="1" applyProtection="1">
      <alignment horizontal="center"/>
      <protection hidden="1"/>
    </xf>
    <xf numFmtId="0" fontId="115" fillId="8" borderId="20" xfId="0" applyFont="1" applyFill="1" applyBorder="1" applyAlignment="1" applyProtection="1">
      <alignment horizontal="center"/>
      <protection hidden="1"/>
    </xf>
    <xf numFmtId="0" fontId="115" fillId="8" borderId="0" xfId="0" applyFont="1" applyFill="1" applyAlignment="1" applyProtection="1">
      <alignment horizontal="center"/>
      <protection hidden="1"/>
    </xf>
    <xf numFmtId="0" fontId="157" fillId="0" borderId="19" xfId="0" applyFont="1" applyBorder="1" applyAlignment="1" applyProtection="1">
      <alignment horizontal="center"/>
      <protection hidden="1"/>
    </xf>
    <xf numFmtId="0" fontId="115" fillId="8" borderId="9" xfId="0" applyFont="1" applyFill="1" applyBorder="1" applyAlignment="1" applyProtection="1">
      <alignment horizontal="center"/>
      <protection hidden="1"/>
    </xf>
    <xf numFmtId="0" fontId="115" fillId="8" borderId="16" xfId="0" applyFont="1" applyFill="1" applyBorder="1" applyAlignment="1" applyProtection="1">
      <alignment horizontal="center"/>
      <protection hidden="1"/>
    </xf>
    <xf numFmtId="0" fontId="157" fillId="0" borderId="52" xfId="0" applyFont="1" applyBorder="1" applyAlignment="1" applyProtection="1">
      <alignment horizontal="center"/>
      <protection hidden="1"/>
    </xf>
    <xf numFmtId="0" fontId="121" fillId="0" borderId="69" xfId="22" applyFont="1" applyBorder="1" applyAlignment="1" applyProtection="1">
      <alignment horizontal="center" vertical="top"/>
      <protection hidden="1"/>
    </xf>
    <xf numFmtId="0" fontId="121" fillId="0" borderId="41" xfId="22" applyFont="1" applyBorder="1" applyAlignment="1" applyProtection="1">
      <alignment horizontal="center" vertical="top"/>
      <protection hidden="1"/>
    </xf>
    <xf numFmtId="0" fontId="121" fillId="0" borderId="70" xfId="22" applyFont="1" applyBorder="1" applyAlignment="1" applyProtection="1">
      <alignment vertical="top"/>
      <protection hidden="1"/>
    </xf>
    <xf numFmtId="0" fontId="121" fillId="0" borderId="71" xfId="22" applyFont="1" applyBorder="1" applyAlignment="1" applyProtection="1">
      <alignment vertical="top"/>
      <protection hidden="1"/>
    </xf>
    <xf numFmtId="0" fontId="118" fillId="33" borderId="5" xfId="22" applyFont="1" applyFill="1" applyBorder="1" applyAlignment="1" applyProtection="1" quotePrefix="1">
      <alignment horizontal="left" vertical="center" wrapText="1"/>
      <protection hidden="1"/>
    </xf>
    <xf numFmtId="0" fontId="118" fillId="0" borderId="5" xfId="22" applyFont="1" applyBorder="1" applyAlignment="1" applyProtection="1">
      <alignment horizontal="left" vertical="center" wrapText="1"/>
      <protection hidden="1"/>
    </xf>
    <xf numFmtId="0" fontId="118" fillId="33" borderId="28" xfId="22" applyFont="1" applyFill="1" applyBorder="1" applyAlignment="1" applyProtection="1">
      <alignment vertical="center" wrapText="1"/>
      <protection hidden="1"/>
    </xf>
    <xf numFmtId="0" fontId="118" fillId="0" borderId="7" xfId="22" applyFont="1" applyBorder="1" applyAlignment="1">
      <alignment vertical="center" wrapText="1"/>
    </xf>
    <xf numFmtId="0" fontId="118" fillId="0" borderId="27" xfId="22" applyFont="1" applyBorder="1" applyAlignment="1">
      <alignment vertical="center" wrapText="1"/>
    </xf>
    <xf numFmtId="0" fontId="118" fillId="33" borderId="28" xfId="22" applyFont="1" applyFill="1" applyBorder="1" applyAlignment="1" applyProtection="1" quotePrefix="1">
      <alignment horizontal="left" vertical="center" wrapText="1"/>
      <protection hidden="1"/>
    </xf>
    <xf numFmtId="0" fontId="118" fillId="0" borderId="7" xfId="22" applyFont="1" applyBorder="1" applyAlignment="1">
      <alignment horizontal="left" vertical="center" wrapText="1"/>
    </xf>
    <xf numFmtId="0" fontId="118" fillId="0" borderId="27" xfId="22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3" fillId="34" borderId="5" xfId="0" applyFont="1" applyFill="1" applyBorder="1" applyAlignment="1">
      <alignment horizontal="center" wrapText="1"/>
    </xf>
    <xf numFmtId="0" fontId="6" fillId="8" borderId="0" xfId="0" applyFont="1" applyFill="1" applyAlignment="1" applyProtection="1">
      <alignment horizontal="left" vertical="center" wrapText="1"/>
      <protection hidden="1"/>
    </xf>
    <xf numFmtId="0" fontId="0" fillId="8" borderId="0" xfId="0" applyFont="1" applyFill="1" applyAlignment="1" applyProtection="1">
      <alignment wrapText="1"/>
      <protection hidden="1"/>
    </xf>
    <xf numFmtId="0" fontId="16" fillId="2" borderId="12" xfId="0" applyFont="1" applyFill="1" applyBorder="1" applyAlignment="1" applyProtection="1">
      <alignment horizontal="left" vertical="center"/>
      <protection hidden="1"/>
    </xf>
    <xf numFmtId="0" fontId="0" fillId="0" borderId="7" xfId="0" applyBorder="1" applyProtection="1">
      <protection hidden="1"/>
    </xf>
    <xf numFmtId="0" fontId="0" fillId="0" borderId="15" xfId="0" applyBorder="1"/>
    <xf numFmtId="0" fontId="16" fillId="9" borderId="1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 wrapText="1"/>
      <protection hidden="1"/>
    </xf>
    <xf numFmtId="0" fontId="0" fillId="5" borderId="16" xfId="0" applyFont="1" applyFill="1" applyBorder="1" applyAlignment="1" applyProtection="1">
      <alignment wrapText="1"/>
      <protection hidden="1"/>
    </xf>
    <xf numFmtId="0" fontId="0" fillId="0" borderId="52" xfId="0" applyBorder="1" applyAlignment="1">
      <alignment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0" fillId="6" borderId="21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wrapText="1"/>
    </xf>
    <xf numFmtId="0" fontId="0" fillId="0" borderId="39" xfId="0" applyBorder="1" applyAlignment="1">
      <alignment wrapText="1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2" borderId="72" xfId="0" applyFont="1" applyFill="1" applyBorder="1" applyAlignment="1" applyProtection="1">
      <alignment horizontal="left" vertical="center"/>
      <protection hidden="1"/>
    </xf>
    <xf numFmtId="0" fontId="0" fillId="0" borderId="73" xfId="0" applyBorder="1" applyProtection="1">
      <protection hidden="1"/>
    </xf>
    <xf numFmtId="0" fontId="0" fillId="0" borderId="74" xfId="0" applyBorder="1" applyProtection="1">
      <protection hidden="1"/>
    </xf>
    <xf numFmtId="0" fontId="16" fillId="9" borderId="75" xfId="0" applyFont="1" applyFill="1" applyBorder="1" applyAlignment="1" applyProtection="1">
      <alignment horizontal="left" vertical="center"/>
      <protection hidden="1"/>
    </xf>
    <xf numFmtId="0" fontId="0" fillId="0" borderId="35" xfId="0" applyBorder="1" applyProtection="1">
      <protection hidden="1"/>
    </xf>
    <xf numFmtId="0" fontId="0" fillId="0" borderId="37" xfId="0" applyBorder="1" applyProtection="1">
      <protection hidden="1"/>
    </xf>
    <xf numFmtId="0" fontId="63" fillId="0" borderId="9" xfId="0" applyFont="1" applyBorder="1" applyAlignment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0" fontId="63" fillId="0" borderId="52" xfId="0" applyFont="1" applyBorder="1" applyAlignment="1">
      <alignment horizontal="center" vertical="center" wrapText="1"/>
    </xf>
    <xf numFmtId="0" fontId="139" fillId="8" borderId="20" xfId="0" applyFont="1" applyFill="1" applyBorder="1" applyAlignment="1" applyProtection="1">
      <alignment horizontal="right" textRotation="90" wrapText="1"/>
      <protection hidden="1"/>
    </xf>
    <xf numFmtId="0" fontId="9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47" fillId="11" borderId="24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/>
    </xf>
    <xf numFmtId="0" fontId="47" fillId="11" borderId="18" xfId="0" applyFont="1" applyFill="1" applyBorder="1" applyAlignment="1">
      <alignment horizontal="center" vertical="center"/>
    </xf>
    <xf numFmtId="0" fontId="47" fillId="11" borderId="10" xfId="0" applyFont="1" applyFill="1" applyBorder="1" applyAlignment="1">
      <alignment horizontal="center" vertical="center"/>
    </xf>
    <xf numFmtId="0" fontId="47" fillId="11" borderId="21" xfId="0" applyFont="1" applyFill="1" applyBorder="1" applyAlignment="1">
      <alignment horizontal="center" vertical="center"/>
    </xf>
    <xf numFmtId="0" fontId="47" fillId="11" borderId="39" xfId="0" applyFont="1" applyFill="1" applyBorder="1" applyAlignment="1">
      <alignment horizontal="center" vertical="center"/>
    </xf>
    <xf numFmtId="0" fontId="107" fillId="8" borderId="20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7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1" fillId="6" borderId="21" xfId="0" applyFont="1" applyFill="1" applyBorder="1" applyAlignment="1">
      <alignment horizontal="center" vertical="center" wrapText="1"/>
    </xf>
    <xf numFmtId="0" fontId="61" fillId="6" borderId="22" xfId="0" applyFont="1" applyFill="1" applyBorder="1" applyAlignment="1">
      <alignment horizontal="center" vertical="center" wrapText="1"/>
    </xf>
    <xf numFmtId="0" fontId="62" fillId="6" borderId="22" xfId="0" applyFont="1" applyFill="1" applyBorder="1" applyAlignment="1">
      <alignment horizontal="center" vertical="center" wrapText="1"/>
    </xf>
    <xf numFmtId="0" fontId="62" fillId="6" borderId="39" xfId="0" applyFont="1" applyFill="1" applyBorder="1" applyAlignment="1">
      <alignment horizontal="center" vertical="center" wrapText="1"/>
    </xf>
    <xf numFmtId="0" fontId="47" fillId="11" borderId="24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47" fillId="11" borderId="38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center" vertical="center" wrapText="1"/>
    </xf>
    <xf numFmtId="0" fontId="47" fillId="11" borderId="55" xfId="0" applyFont="1" applyFill="1" applyBorder="1" applyAlignment="1">
      <alignment horizontal="center" vertical="center" wrapText="1"/>
    </xf>
    <xf numFmtId="0" fontId="47" fillId="11" borderId="54" xfId="0" applyFont="1" applyFill="1" applyBorder="1" applyAlignment="1">
      <alignment horizontal="center" vertical="center" wrapText="1"/>
    </xf>
    <xf numFmtId="0" fontId="0" fillId="0" borderId="77" xfId="0" applyFont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78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53" fillId="11" borderId="64" xfId="0" applyFont="1" applyFill="1" applyBorder="1" applyAlignment="1" applyProtection="1">
      <alignment vertical="center" wrapText="1"/>
      <protection hidden="1"/>
    </xf>
    <xf numFmtId="0" fontId="59" fillId="11" borderId="79" xfId="0" applyFont="1" applyFill="1" applyBorder="1" applyAlignment="1" applyProtection="1">
      <alignment wrapText="1"/>
      <protection hidden="1"/>
    </xf>
    <xf numFmtId="0" fontId="59" fillId="11" borderId="65" xfId="0" applyFont="1" applyFill="1" applyBorder="1" applyAlignment="1" applyProtection="1">
      <alignment wrapText="1"/>
      <protection hidden="1"/>
    </xf>
    <xf numFmtId="0" fontId="134" fillId="14" borderId="9" xfId="0" applyFont="1" applyFill="1" applyBorder="1" applyAlignment="1">
      <alignment horizontal="center" vertical="center" wrapText="1"/>
    </xf>
    <xf numFmtId="0" fontId="134" fillId="14" borderId="16" xfId="0" applyFont="1" applyFill="1" applyBorder="1" applyAlignment="1">
      <alignment horizontal="center" vertical="center" wrapText="1"/>
    </xf>
    <xf numFmtId="0" fontId="16" fillId="26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wrapText="1"/>
    </xf>
    <xf numFmtId="0" fontId="140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39" fillId="8" borderId="0" xfId="0" applyFont="1" applyFill="1" applyAlignment="1" applyProtection="1">
      <alignment horizontal="left" vertical="center" textRotation="90" wrapText="1"/>
      <protection hidden="1"/>
    </xf>
    <xf numFmtId="0" fontId="15" fillId="8" borderId="0" xfId="0" applyFont="1" applyFill="1" applyAlignment="1" applyProtection="1">
      <alignment horizontal="left" vertical="center" wrapText="1"/>
      <protection hidden="1"/>
    </xf>
    <xf numFmtId="0" fontId="36" fillId="14" borderId="9" xfId="0" applyFont="1" applyFill="1" applyBorder="1" applyAlignment="1">
      <alignment horizontal="center" vertical="center" wrapText="1"/>
    </xf>
    <xf numFmtId="0" fontId="36" fillId="14" borderId="1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6" fillId="26" borderId="21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139" fillId="8" borderId="19" xfId="0" applyFont="1" applyFill="1" applyBorder="1" applyAlignment="1" applyProtection="1">
      <alignment horizontal="left" vertical="center" textRotation="90"/>
      <protection hidden="1"/>
    </xf>
    <xf numFmtId="0" fontId="20" fillId="6" borderId="21" xfId="20" applyFont="1" applyFill="1" applyBorder="1" applyAlignment="1">
      <alignment horizontal="center" vertical="center"/>
      <protection/>
    </xf>
    <xf numFmtId="0" fontId="20" fillId="6" borderId="22" xfId="20" applyFont="1" applyFill="1" applyBorder="1" applyAlignment="1">
      <alignment horizontal="center" vertical="center"/>
      <protection/>
    </xf>
    <xf numFmtId="0" fontId="0" fillId="6" borderId="22" xfId="20" applyFill="1" applyBorder="1" applyAlignment="1">
      <alignment horizontal="center" vertical="center"/>
      <protection/>
    </xf>
    <xf numFmtId="0" fontId="0" fillId="0" borderId="39" xfId="20" applyBorder="1" applyAlignment="1" applyProtection="1">
      <alignment vertical="center"/>
      <protection hidden="1"/>
    </xf>
    <xf numFmtId="0" fontId="136" fillId="5" borderId="80" xfId="20" applyFont="1" applyFill="1" applyBorder="1" applyAlignment="1" applyProtection="1">
      <alignment horizontal="center" vertical="center" wrapText="1"/>
      <protection hidden="1"/>
    </xf>
    <xf numFmtId="0" fontId="136" fillId="5" borderId="32" xfId="20" applyFont="1" applyFill="1" applyBorder="1" applyAlignment="1" applyProtection="1">
      <alignment horizontal="center" vertical="center" wrapText="1"/>
      <protection hidden="1"/>
    </xf>
    <xf numFmtId="0" fontId="136" fillId="5" borderId="62" xfId="20" applyFont="1" applyFill="1" applyBorder="1" applyAlignment="1" applyProtection="1">
      <alignment wrapText="1"/>
      <protection hidden="1"/>
    </xf>
    <xf numFmtId="0" fontId="16" fillId="2" borderId="21" xfId="20" applyFont="1" applyFill="1" applyBorder="1" applyAlignment="1" applyProtection="1">
      <alignment vertical="center"/>
      <protection hidden="1"/>
    </xf>
    <xf numFmtId="0" fontId="7" fillId="2" borderId="21" xfId="20" applyFont="1" applyFill="1" applyBorder="1" applyAlignment="1" applyProtection="1">
      <alignment vertical="center"/>
      <protection hidden="1"/>
    </xf>
    <xf numFmtId="0" fontId="64" fillId="8" borderId="0" xfId="20" applyFont="1" applyFill="1" applyAlignment="1" applyProtection="1">
      <alignment horizontal="center" vertical="center"/>
      <protection hidden="1"/>
    </xf>
    <xf numFmtId="0" fontId="0" fillId="0" borderId="0" xfId="20" applyAlignment="1" applyProtection="1">
      <alignment horizontal="center" vertical="center"/>
      <protection hidden="1"/>
    </xf>
    <xf numFmtId="0" fontId="14" fillId="0" borderId="12" xfId="20" applyFont="1" applyBorder="1" applyAlignment="1">
      <alignment horizontal="center" vertical="center"/>
      <protection/>
    </xf>
    <xf numFmtId="0" fontId="14" fillId="0" borderId="15" xfId="0" applyFont="1" applyBorder="1" applyAlignment="1">
      <alignment horizontal="center" vertical="center"/>
    </xf>
    <xf numFmtId="0" fontId="162" fillId="0" borderId="12" xfId="20" applyFont="1" applyBorder="1" applyAlignment="1">
      <alignment horizontal="left" vertical="center" wrapText="1"/>
      <protection/>
    </xf>
    <xf numFmtId="0" fontId="0" fillId="0" borderId="7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39" xfId="0" applyBorder="1"/>
    <xf numFmtId="0" fontId="16" fillId="10" borderId="38" xfId="20" applyFont="1" applyFill="1" applyBorder="1" applyAlignment="1" applyProtection="1">
      <alignment horizontal="center" vertical="center"/>
      <protection hidden="1"/>
    </xf>
    <xf numFmtId="0" fontId="16" fillId="10" borderId="53" xfId="0" applyFont="1" applyFill="1" applyBorder="1" applyAlignment="1">
      <alignment horizontal="center" vertical="center"/>
    </xf>
    <xf numFmtId="0" fontId="20" fillId="6" borderId="24" xfId="20" applyFont="1" applyFill="1" applyBorder="1" applyAlignment="1">
      <alignment horizontal="center" vertical="center" wrapText="1"/>
      <protection/>
    </xf>
    <xf numFmtId="0" fontId="0" fillId="0" borderId="55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6" fillId="8" borderId="81" xfId="20" applyFont="1" applyFill="1" applyBorder="1" applyAlignment="1">
      <alignment horizontal="center" vertical="center"/>
      <protection/>
    </xf>
    <xf numFmtId="0" fontId="6" fillId="0" borderId="82" xfId="0" applyFont="1" applyBorder="1" applyAlignment="1">
      <alignment horizontal="center" vertical="center"/>
    </xf>
    <xf numFmtId="0" fontId="14" fillId="8" borderId="36" xfId="20" applyFont="1" applyFill="1" applyBorder="1" applyAlignment="1">
      <alignment horizontal="center" vertical="center"/>
      <protection/>
    </xf>
    <xf numFmtId="0" fontId="14" fillId="0" borderId="62" xfId="0" applyFont="1" applyBorder="1" applyAlignment="1">
      <alignment horizontal="center" vertical="center"/>
    </xf>
    <xf numFmtId="0" fontId="14" fillId="8" borderId="27" xfId="20" applyFont="1" applyFill="1" applyBorder="1" applyAlignment="1">
      <alignment horizontal="center" vertical="center"/>
      <protection/>
    </xf>
    <xf numFmtId="0" fontId="14" fillId="0" borderId="61" xfId="0" applyFont="1" applyBorder="1" applyAlignment="1">
      <alignment horizontal="center" vertical="center"/>
    </xf>
    <xf numFmtId="0" fontId="16" fillId="10" borderId="19" xfId="20" applyFont="1" applyFill="1" applyBorder="1" applyAlignment="1" applyProtection="1">
      <alignment horizontal="center" vertical="center"/>
      <protection hidden="1"/>
    </xf>
    <xf numFmtId="0" fontId="16" fillId="10" borderId="12" xfId="20" applyFont="1" applyFill="1" applyBorder="1" applyAlignment="1" applyProtection="1">
      <alignment horizontal="center" vertical="center"/>
      <protection hidden="1"/>
    </xf>
    <xf numFmtId="0" fontId="16" fillId="10" borderId="15" xfId="0" applyFont="1" applyFill="1" applyBorder="1" applyAlignment="1">
      <alignment horizontal="center" vertical="center"/>
    </xf>
    <xf numFmtId="0" fontId="16" fillId="10" borderId="13" xfId="20" applyFont="1" applyFill="1" applyBorder="1" applyAlignment="1" applyProtection="1">
      <alignment horizontal="center" vertical="center"/>
      <protection hidden="1"/>
    </xf>
    <xf numFmtId="0" fontId="16" fillId="10" borderId="26" xfId="0" applyFont="1" applyFill="1" applyBorder="1" applyAlignment="1">
      <alignment horizontal="center" vertical="center"/>
    </xf>
    <xf numFmtId="0" fontId="156" fillId="22" borderId="21" xfId="20" applyFont="1" applyFill="1" applyBorder="1" applyAlignment="1" applyProtection="1">
      <alignment horizontal="center" vertical="center"/>
      <protection hidden="1"/>
    </xf>
    <xf numFmtId="0" fontId="156" fillId="22" borderId="22" xfId="20" applyFont="1" applyFill="1" applyBorder="1" applyAlignment="1" applyProtection="1">
      <alignment horizontal="center" vertical="center"/>
      <protection hidden="1"/>
    </xf>
    <xf numFmtId="0" fontId="1" fillId="0" borderId="22" xfId="20" applyFont="1" applyBorder="1" applyProtection="1">
      <alignment/>
      <protection hidden="1"/>
    </xf>
    <xf numFmtId="0" fontId="1" fillId="0" borderId="39" xfId="20" applyFont="1" applyBorder="1" applyProtection="1">
      <alignment/>
      <protection hidden="1"/>
    </xf>
    <xf numFmtId="0" fontId="53" fillId="11" borderId="67" xfId="20" applyFont="1" applyFill="1" applyBorder="1" applyAlignment="1" applyProtection="1">
      <alignment horizontal="center" vertical="center" wrapText="1"/>
      <protection hidden="1"/>
    </xf>
    <xf numFmtId="0" fontId="53" fillId="11" borderId="56" xfId="20" applyFont="1" applyFill="1" applyBorder="1" applyAlignment="1" applyProtection="1">
      <alignment horizontal="center" vertical="center" wrapText="1"/>
      <protection hidden="1"/>
    </xf>
    <xf numFmtId="0" fontId="53" fillId="11" borderId="82" xfId="20" applyFont="1" applyFill="1" applyBorder="1" applyAlignment="1" applyProtection="1">
      <alignment horizontal="center" vertical="center" wrapText="1"/>
      <protection hidden="1"/>
    </xf>
    <xf numFmtId="0" fontId="136" fillId="32" borderId="80" xfId="20" applyFont="1" applyFill="1" applyBorder="1" applyAlignment="1" applyProtection="1">
      <alignment horizontal="center" vertical="center" wrapText="1"/>
      <protection hidden="1"/>
    </xf>
    <xf numFmtId="0" fontId="136" fillId="32" borderId="32" xfId="20" applyFont="1" applyFill="1" applyBorder="1" applyAlignment="1" applyProtection="1">
      <alignment horizontal="center" vertical="center" wrapText="1"/>
      <protection hidden="1"/>
    </xf>
    <xf numFmtId="0" fontId="136" fillId="32" borderId="62" xfId="20" applyFont="1" applyFill="1" applyBorder="1" applyAlignment="1" applyProtection="1">
      <alignment wrapText="1"/>
      <protection hidden="1"/>
    </xf>
    <xf numFmtId="0" fontId="48" fillId="8" borderId="0" xfId="20" applyFont="1" applyFill="1" applyAlignment="1" applyProtection="1">
      <alignment horizontal="center" vertical="center" wrapText="1"/>
      <protection hidden="1"/>
    </xf>
    <xf numFmtId="0" fontId="0" fillId="8" borderId="0" xfId="20" applyFill="1" applyAlignment="1" applyProtection="1">
      <alignment wrapText="1"/>
      <protection hidden="1"/>
    </xf>
    <xf numFmtId="0" fontId="53" fillId="8" borderId="0" xfId="20" applyFont="1" applyFill="1" applyAlignment="1" applyProtection="1">
      <alignment horizontal="center" vertical="center" wrapText="1"/>
      <protection hidden="1"/>
    </xf>
    <xf numFmtId="0" fontId="59" fillId="8" borderId="0" xfId="20" applyFont="1" applyFill="1" applyAlignment="1" applyProtection="1">
      <alignment horizontal="center" vertical="center" wrapText="1"/>
      <protection hidden="1"/>
    </xf>
    <xf numFmtId="0" fontId="7" fillId="32" borderId="21" xfId="20" applyFont="1" applyFill="1" applyBorder="1" applyAlignment="1" applyProtection="1">
      <alignment vertical="center"/>
      <protection hidden="1"/>
    </xf>
    <xf numFmtId="0" fontId="0" fillId="32" borderId="39" xfId="20" applyFill="1" applyBorder="1" applyAlignment="1" applyProtection="1">
      <alignment vertical="center"/>
      <protection hidden="1"/>
    </xf>
    <xf numFmtId="0" fontId="9" fillId="32" borderId="21" xfId="20" applyFont="1" applyFill="1" applyBorder="1" applyAlignment="1" applyProtection="1">
      <alignment vertical="center" wrapText="1"/>
      <protection hidden="1"/>
    </xf>
    <xf numFmtId="0" fontId="14" fillId="32" borderId="39" xfId="20" applyFont="1" applyFill="1" applyBorder="1" applyAlignment="1" applyProtection="1">
      <alignment vertical="center" wrapText="1"/>
      <protection hidden="1"/>
    </xf>
    <xf numFmtId="0" fontId="136" fillId="32" borderId="68" xfId="20" applyFont="1" applyFill="1" applyBorder="1" applyAlignment="1" applyProtection="1">
      <alignment horizontal="center" vertical="center" wrapText="1"/>
      <protection hidden="1"/>
    </xf>
    <xf numFmtId="0" fontId="136" fillId="32" borderId="83" xfId="20" applyFont="1" applyFill="1" applyBorder="1" applyAlignment="1" applyProtection="1">
      <alignment horizontal="center" vertical="center" wrapText="1"/>
      <protection hidden="1"/>
    </xf>
    <xf numFmtId="0" fontId="136" fillId="32" borderId="84" xfId="20" applyFont="1" applyFill="1" applyBorder="1" applyAlignment="1" applyProtection="1">
      <alignment wrapText="1"/>
      <protection hidden="1"/>
    </xf>
    <xf numFmtId="0" fontId="15" fillId="0" borderId="82" xfId="0" applyFont="1" applyBorder="1" applyAlignment="1">
      <alignment horizontal="center" vertical="center" wrapText="1"/>
    </xf>
    <xf numFmtId="0" fontId="14" fillId="8" borderId="78" xfId="20" applyFont="1" applyFill="1" applyBorder="1" applyAlignment="1">
      <alignment horizontal="center" vertical="center"/>
      <protection/>
    </xf>
    <xf numFmtId="0" fontId="14" fillId="0" borderId="85" xfId="0" applyFont="1" applyBorder="1" applyAlignment="1">
      <alignment horizontal="center" vertical="center"/>
    </xf>
    <xf numFmtId="0" fontId="38" fillId="0" borderId="67" xfId="20" applyFont="1" applyBorder="1" applyAlignment="1">
      <alignment horizontal="center" vertical="center" wrapText="1"/>
      <protection/>
    </xf>
    <xf numFmtId="0" fontId="38" fillId="0" borderId="56" xfId="20" applyFont="1" applyBorder="1" applyAlignment="1">
      <alignment horizontal="center" vertical="center" wrapText="1"/>
      <protection/>
    </xf>
    <xf numFmtId="0" fontId="6" fillId="0" borderId="56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0" fontId="162" fillId="0" borderId="38" xfId="20" applyFont="1" applyBorder="1" applyAlignment="1">
      <alignment horizontal="left" vertical="center" wrapText="1"/>
      <protection/>
    </xf>
    <xf numFmtId="0" fontId="162" fillId="0" borderId="25" xfId="20" applyFont="1" applyBorder="1" applyAlignment="1">
      <alignment horizontal="left" vertical="center" wrapText="1"/>
      <protection/>
    </xf>
    <xf numFmtId="0" fontId="14" fillId="0" borderId="25" xfId="0" applyFont="1" applyBorder="1" applyAlignment="1">
      <alignment horizontal="left" vertical="center" wrapText="1"/>
    </xf>
    <xf numFmtId="0" fontId="14" fillId="0" borderId="53" xfId="0" applyFont="1" applyBorder="1" applyAlignment="1">
      <alignment horizontal="left" vertical="center" wrapText="1"/>
    </xf>
    <xf numFmtId="0" fontId="162" fillId="0" borderId="7" xfId="20" applyFont="1" applyBorder="1" applyAlignment="1">
      <alignment horizontal="left" vertical="center" wrapText="1"/>
      <protection/>
    </xf>
    <xf numFmtId="0" fontId="14" fillId="0" borderId="7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0" fontId="6" fillId="0" borderId="21" xfId="20" applyFont="1" applyBorder="1" applyAlignment="1">
      <alignment horizontal="center" vertical="center"/>
      <protection/>
    </xf>
    <xf numFmtId="0" fontId="6" fillId="0" borderId="39" xfId="0" applyFont="1" applyBorder="1" applyAlignment="1">
      <alignment horizontal="center" vertical="center"/>
    </xf>
    <xf numFmtId="0" fontId="14" fillId="0" borderId="38" xfId="20" applyFont="1" applyBorder="1" applyAlignment="1">
      <alignment horizontal="center" vertical="center"/>
      <protection/>
    </xf>
    <xf numFmtId="0" fontId="14" fillId="0" borderId="53" xfId="0" applyFont="1" applyBorder="1" applyAlignment="1">
      <alignment horizontal="center" vertical="center"/>
    </xf>
    <xf numFmtId="0" fontId="14" fillId="0" borderId="13" xfId="20" applyFont="1" applyBorder="1" applyAlignment="1">
      <alignment horizontal="center" vertical="center"/>
      <protection/>
    </xf>
    <xf numFmtId="0" fontId="14" fillId="0" borderId="26" xfId="0" applyFont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62" fillId="0" borderId="13" xfId="20" applyFont="1" applyBorder="1" applyAlignment="1">
      <alignment horizontal="left" vertical="center" wrapText="1"/>
      <protection/>
    </xf>
    <xf numFmtId="0" fontId="162" fillId="0" borderId="8" xfId="20" applyFont="1" applyBorder="1" applyAlignment="1">
      <alignment horizontal="left" vertical="center" wrapText="1"/>
      <protection/>
    </xf>
    <xf numFmtId="0" fontId="14" fillId="0" borderId="8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20" fillId="6" borderId="67" xfId="0" applyFont="1" applyFill="1" applyBorder="1" applyAlignment="1">
      <alignment horizontal="center" vertical="center"/>
    </xf>
    <xf numFmtId="0" fontId="20" fillId="6" borderId="81" xfId="0" applyFont="1" applyFill="1" applyBorder="1" applyAlignment="1">
      <alignment horizontal="center" vertical="center"/>
    </xf>
    <xf numFmtId="0" fontId="20" fillId="6" borderId="56" xfId="0" applyFont="1" applyFill="1" applyBorder="1" applyAlignment="1">
      <alignment horizontal="center" vertical="center"/>
    </xf>
    <xf numFmtId="0" fontId="20" fillId="6" borderId="82" xfId="0" applyFont="1" applyFill="1" applyBorder="1" applyAlignment="1">
      <alignment horizontal="center" vertical="center"/>
    </xf>
    <xf numFmtId="0" fontId="0" fillId="0" borderId="39" xfId="0" applyBorder="1" applyAlignment="1">
      <alignment horizontal="left" vertical="center" wrapText="1"/>
    </xf>
    <xf numFmtId="0" fontId="8" fillId="22" borderId="9" xfId="0" applyFont="1" applyFill="1" applyBorder="1" applyAlignment="1" applyProtection="1">
      <alignment horizontal="center" vertical="center"/>
      <protection hidden="1"/>
    </xf>
    <xf numFmtId="0" fontId="8" fillId="22" borderId="16" xfId="0" applyFont="1" applyFill="1" applyBorder="1" applyAlignment="1" applyProtection="1">
      <alignment horizontal="center" vertical="center"/>
      <protection hidden="1"/>
    </xf>
    <xf numFmtId="0" fontId="0" fillId="0" borderId="16" xfId="0" applyBorder="1" applyProtection="1">
      <protection hidden="1"/>
    </xf>
    <xf numFmtId="0" fontId="20" fillId="6" borderId="64" xfId="0" applyFont="1" applyFill="1" applyBorder="1" applyAlignment="1">
      <alignment horizontal="center" vertical="center"/>
    </xf>
    <xf numFmtId="0" fontId="20" fillId="6" borderId="86" xfId="0" applyFont="1" applyFill="1" applyBorder="1" applyAlignment="1">
      <alignment horizontal="center" vertical="center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8" borderId="55" xfId="0" applyFont="1" applyFill="1" applyBorder="1" applyAlignment="1" applyProtection="1">
      <alignment horizontal="center" vertical="center"/>
      <protection hidden="1"/>
    </xf>
    <xf numFmtId="0" fontId="14" fillId="0" borderId="55" xfId="0" applyFont="1" applyBorder="1" applyAlignment="1" applyProtection="1">
      <alignment horizontal="center" vertical="center"/>
      <protection hidden="1"/>
    </xf>
    <xf numFmtId="0" fontId="65" fillId="11" borderId="24" xfId="0" applyFont="1" applyFill="1" applyBorder="1" applyAlignment="1" applyProtection="1">
      <alignment horizontal="center" vertical="center"/>
      <protection hidden="1"/>
    </xf>
    <xf numFmtId="0" fontId="65" fillId="11" borderId="9" xfId="0" applyFont="1" applyFill="1" applyBorder="1" applyAlignment="1" applyProtection="1">
      <alignment horizontal="center" vertical="center"/>
      <protection hidden="1"/>
    </xf>
    <xf numFmtId="0" fontId="0" fillId="0" borderId="52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0" fillId="2" borderId="21" xfId="0" applyFont="1" applyFill="1" applyBorder="1" applyAlignment="1" applyProtection="1">
      <alignment horizontal="left" vertical="center"/>
      <protection hidden="1"/>
    </xf>
    <xf numFmtId="0" fontId="0" fillId="0" borderId="39" xfId="0" applyBorder="1" applyAlignment="1">
      <alignment horizontal="left" vertical="center"/>
    </xf>
    <xf numFmtId="0" fontId="16" fillId="2" borderId="21" xfId="0" applyFont="1" applyFill="1" applyBorder="1" applyAlignment="1" applyProtection="1">
      <alignment horizontal="left" vertical="center"/>
      <protection hidden="1"/>
    </xf>
    <xf numFmtId="0" fontId="53" fillId="35" borderId="21" xfId="0" applyFont="1" applyFill="1" applyBorder="1" applyAlignment="1" applyProtection="1">
      <alignment horizontal="center" vertical="center"/>
      <protection hidden="1"/>
    </xf>
    <xf numFmtId="0" fontId="15" fillId="8" borderId="24" xfId="0" applyFont="1" applyFill="1" applyBorder="1" applyAlignment="1" applyProtection="1">
      <alignment horizontal="center" vertical="center" wrapText="1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 vertical="center"/>
    </xf>
    <xf numFmtId="0" fontId="65" fillId="11" borderId="21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Alignment="1">
      <alignment horizontal="center" vertical="center"/>
    </xf>
    <xf numFmtId="0" fontId="21" fillId="0" borderId="21" xfId="0" applyFont="1" applyBorder="1" applyAlignment="1" applyProtection="1">
      <alignment horizontal="center" vertical="center"/>
      <protection hidden="1"/>
    </xf>
    <xf numFmtId="0" fontId="15" fillId="15" borderId="24" xfId="0" applyFont="1" applyFill="1" applyBorder="1" applyAlignment="1" applyProtection="1">
      <alignment horizontal="center" vertical="center" wrapText="1"/>
      <protection hidden="1"/>
    </xf>
    <xf numFmtId="0" fontId="0" fillId="15" borderId="54" xfId="0" applyFont="1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 wrapText="1"/>
    </xf>
    <xf numFmtId="0" fontId="0" fillId="15" borderId="52" xfId="0" applyFill="1" applyBorder="1" applyAlignment="1">
      <alignment horizontal="center" vertical="center" wrapText="1"/>
    </xf>
    <xf numFmtId="0" fontId="0" fillId="15" borderId="54" xfId="0" applyFill="1" applyBorder="1" applyAlignment="1">
      <alignment horizontal="center" vertical="center" wrapText="1"/>
    </xf>
    <xf numFmtId="0" fontId="17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20" fillId="6" borderId="79" xfId="0" applyFont="1" applyFill="1" applyBorder="1" applyAlignment="1">
      <alignment horizontal="center" vertical="center"/>
    </xf>
    <xf numFmtId="0" fontId="20" fillId="6" borderId="87" xfId="0" applyFont="1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left" vertical="center"/>
      <protection hidden="1"/>
    </xf>
    <xf numFmtId="0" fontId="0" fillId="4" borderId="39" xfId="0" applyFill="1" applyBorder="1" applyAlignment="1">
      <alignment horizontal="left" vertical="center"/>
    </xf>
    <xf numFmtId="0" fontId="6" fillId="4" borderId="21" xfId="0" applyFont="1" applyFill="1" applyBorder="1" applyAlignment="1" applyProtection="1">
      <alignment horizontal="left" vertical="center" wrapText="1"/>
      <protection hidden="1"/>
    </xf>
    <xf numFmtId="0" fontId="0" fillId="4" borderId="39" xfId="0" applyFill="1" applyBorder="1" applyAlignment="1">
      <alignment horizontal="left" vertical="center" wrapText="1"/>
    </xf>
    <xf numFmtId="0" fontId="20" fillId="6" borderId="21" xfId="0" applyFont="1" applyFill="1" applyBorder="1" applyAlignment="1">
      <alignment horizontal="center" vertical="center"/>
    </xf>
    <xf numFmtId="0" fontId="48" fillId="11" borderId="39" xfId="0" applyFont="1" applyFill="1" applyBorder="1" applyAlignment="1" applyProtection="1">
      <alignment horizontal="center" vertical="center"/>
      <protection hidden="1"/>
    </xf>
    <xf numFmtId="0" fontId="48" fillId="11" borderId="6" xfId="0" applyFont="1" applyFill="1" applyBorder="1" applyAlignment="1" applyProtection="1">
      <alignment horizontal="center" vertical="center"/>
      <protection hidden="1"/>
    </xf>
    <xf numFmtId="0" fontId="64" fillId="0" borderId="9" xfId="0" applyFont="1" applyBorder="1" applyAlignment="1" applyProtection="1">
      <alignment horizontal="center" vertical="center"/>
      <protection hidden="1"/>
    </xf>
    <xf numFmtId="0" fontId="64" fillId="0" borderId="16" xfId="0" applyFont="1" applyBorder="1" applyAlignment="1" applyProtection="1">
      <alignment horizontal="center" vertical="center"/>
      <protection hidden="1"/>
    </xf>
    <xf numFmtId="0" fontId="14" fillId="0" borderId="16" xfId="0" applyFont="1" applyBorder="1" applyAlignment="1" applyProtection="1">
      <alignment horizontal="center" vertical="center"/>
      <protection hidden="1"/>
    </xf>
    <xf numFmtId="0" fontId="14" fillId="0" borderId="52" xfId="0" applyFont="1" applyBorder="1" applyAlignment="1" applyProtection="1">
      <alignment horizontal="center" vertical="center"/>
      <protection hidden="1"/>
    </xf>
    <xf numFmtId="0" fontId="48" fillId="11" borderId="24" xfId="0" applyFont="1" applyFill="1" applyBorder="1" applyAlignment="1" applyProtection="1">
      <alignment horizontal="center" vertical="center"/>
      <protection hidden="1"/>
    </xf>
    <xf numFmtId="0" fontId="48" fillId="11" borderId="9" xfId="0" applyFont="1" applyFill="1" applyBorder="1" applyAlignment="1" applyProtection="1">
      <alignment horizontal="center" vertical="center"/>
      <protection hidden="1"/>
    </xf>
    <xf numFmtId="0" fontId="8" fillId="22" borderId="24" xfId="0" applyFont="1" applyFill="1" applyBorder="1" applyAlignment="1">
      <alignment horizontal="center" vertical="center"/>
    </xf>
    <xf numFmtId="0" fontId="8" fillId="22" borderId="55" xfId="0" applyFont="1" applyFill="1" applyBorder="1" applyAlignment="1">
      <alignment horizontal="center" vertical="center"/>
    </xf>
    <xf numFmtId="0" fontId="9" fillId="8" borderId="32" xfId="0" applyFont="1" applyFill="1" applyBorder="1" applyAlignment="1" applyProtection="1">
      <alignment horizontal="center" vertical="center"/>
      <protection hidden="1"/>
    </xf>
    <xf numFmtId="0" fontId="0" fillId="0" borderId="32" xfId="0" applyBorder="1" applyAlignment="1">
      <alignment horizontal="center" vertical="center"/>
    </xf>
    <xf numFmtId="0" fontId="48" fillId="11" borderId="24" xfId="0" applyFont="1" applyFill="1" applyBorder="1" applyAlignment="1" applyProtection="1">
      <alignment horizontal="center" vertical="center" wrapText="1"/>
      <protection hidden="1"/>
    </xf>
    <xf numFmtId="0" fontId="48" fillId="11" borderId="55" xfId="0" applyFont="1" applyFill="1" applyBorder="1" applyAlignment="1" applyProtection="1">
      <alignment horizontal="center" vertical="center" wrapText="1"/>
      <protection hidden="1"/>
    </xf>
    <xf numFmtId="0" fontId="48" fillId="11" borderId="9" xfId="0" applyFont="1" applyFill="1" applyBorder="1" applyAlignment="1" applyProtection="1">
      <alignment horizontal="center" vertical="center" wrapText="1"/>
      <protection hidden="1"/>
    </xf>
    <xf numFmtId="0" fontId="48" fillId="11" borderId="16" xfId="0" applyFont="1" applyFill="1" applyBorder="1" applyAlignment="1" applyProtection="1">
      <alignment horizontal="center" vertical="center" wrapText="1"/>
      <protection hidden="1"/>
    </xf>
    <xf numFmtId="0" fontId="0" fillId="0" borderId="5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7" fillId="9" borderId="21" xfId="0" applyFont="1" applyFill="1" applyBorder="1" applyAlignment="1" applyProtection="1">
      <alignment horizontal="left" vertical="center"/>
      <protection hidden="1"/>
    </xf>
    <xf numFmtId="0" fontId="9" fillId="4" borderId="21" xfId="0" applyFont="1" applyFill="1" applyBorder="1" applyAlignment="1" applyProtection="1">
      <alignment horizontal="left" vertical="center" wrapText="1"/>
      <protection hidden="1"/>
    </xf>
    <xf numFmtId="0" fontId="20" fillId="6" borderId="20" xfId="0" applyFont="1" applyFill="1" applyBorder="1" applyAlignment="1">
      <alignment horizontal="center" vertical="center"/>
    </xf>
    <xf numFmtId="0" fontId="0" fillId="0" borderId="0" xfId="0"/>
    <xf numFmtId="0" fontId="0" fillId="0" borderId="5" xfId="0" applyFont="1" applyBorder="1" applyAlignment="1">
      <alignment horizontal="center" vertical="center"/>
    </xf>
    <xf numFmtId="0" fontId="0" fillId="0" borderId="5" xfId="0" applyBorder="1"/>
    <xf numFmtId="0" fontId="17" fillId="0" borderId="5" xfId="0" applyFont="1" applyBorder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8" borderId="28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6" fillId="5" borderId="67" xfId="0" applyFont="1" applyFill="1" applyBorder="1" applyAlignment="1" applyProtection="1">
      <alignment horizontal="center" vertical="center" wrapText="1"/>
      <protection hidden="1"/>
    </xf>
    <xf numFmtId="0" fontId="6" fillId="5" borderId="82" xfId="0" applyFont="1" applyFill="1" applyBorder="1" applyAlignment="1" applyProtection="1">
      <alignment horizontal="center" vertical="center" wrapText="1"/>
      <protection hidden="1"/>
    </xf>
    <xf numFmtId="0" fontId="6" fillId="4" borderId="63" xfId="0" applyFont="1" applyFill="1" applyBorder="1" applyAlignment="1" applyProtection="1">
      <alignment horizontal="center" vertical="center" wrapText="1"/>
      <protection hidden="1"/>
    </xf>
    <xf numFmtId="0" fontId="6" fillId="4" borderId="88" xfId="0" applyFont="1" applyFill="1" applyBorder="1" applyAlignment="1" applyProtection="1">
      <alignment horizontal="center" vertical="center" wrapText="1"/>
      <protection hidden="1"/>
    </xf>
    <xf numFmtId="0" fontId="0" fillId="0" borderId="28" xfId="0" applyFont="1" applyBorder="1" applyAlignment="1">
      <alignment horizontal="center" vertical="center" wrapText="1"/>
    </xf>
    <xf numFmtId="0" fontId="10" fillId="5" borderId="21" xfId="0" applyFont="1" applyFill="1" applyBorder="1" applyAlignment="1" applyProtection="1">
      <alignment horizontal="left" vertical="center"/>
      <protection hidden="1"/>
    </xf>
    <xf numFmtId="0" fontId="10" fillId="4" borderId="31" xfId="0" applyFont="1" applyFill="1" applyBorder="1" applyAlignment="1" applyProtection="1">
      <alignment horizontal="left" vertical="center"/>
      <protection hidden="1"/>
    </xf>
    <xf numFmtId="0" fontId="0" fillId="0" borderId="22" xfId="0" applyBorder="1" applyAlignment="1">
      <alignment horizontal="left" vertical="center"/>
    </xf>
    <xf numFmtId="0" fontId="8" fillId="22" borderId="37" xfId="0" applyFont="1" applyFill="1" applyBorder="1" applyAlignment="1" applyProtection="1">
      <alignment horizontal="center" vertical="center"/>
      <protection hidden="1"/>
    </xf>
    <xf numFmtId="0" fontId="8" fillId="22" borderId="34" xfId="0" applyFont="1" applyFill="1" applyBorder="1" applyAlignment="1" applyProtection="1">
      <alignment horizontal="center" vertical="center"/>
      <protection hidden="1"/>
    </xf>
    <xf numFmtId="0" fontId="0" fillId="0" borderId="34" xfId="0" applyBorder="1" applyProtection="1">
      <protection hidden="1"/>
    </xf>
    <xf numFmtId="0" fontId="0" fillId="0" borderId="78" xfId="0" applyBorder="1" applyProtection="1">
      <protection hidden="1"/>
    </xf>
    <xf numFmtId="0" fontId="20" fillId="6" borderId="65" xfId="0" applyFont="1" applyFill="1" applyBorder="1" applyAlignment="1">
      <alignment horizontal="center" vertical="center"/>
    </xf>
    <xf numFmtId="0" fontId="20" fillId="6" borderId="55" xfId="0" applyFont="1" applyFill="1" applyBorder="1" applyAlignment="1">
      <alignment horizontal="center" vertical="center"/>
    </xf>
    <xf numFmtId="0" fontId="0" fillId="6" borderId="55" xfId="0" applyFill="1" applyBorder="1"/>
    <xf numFmtId="0" fontId="0" fillId="6" borderId="86" xfId="0" applyFill="1" applyBorder="1"/>
    <xf numFmtId="0" fontId="48" fillId="11" borderId="64" xfId="0" applyFont="1" applyFill="1" applyBorder="1" applyAlignment="1" applyProtection="1">
      <alignment horizontal="center" vertical="center"/>
      <protection hidden="1"/>
    </xf>
    <xf numFmtId="0" fontId="50" fillId="11" borderId="87" xfId="0" applyFont="1" applyFill="1" applyBorder="1" applyAlignment="1" applyProtection="1">
      <alignment vertical="center"/>
      <protection hidden="1"/>
    </xf>
    <xf numFmtId="0" fontId="48" fillId="11" borderId="21" xfId="0" applyFont="1" applyFill="1" applyBorder="1" applyAlignment="1" applyProtection="1">
      <alignment horizontal="center" vertical="center"/>
      <protection hidden="1"/>
    </xf>
    <xf numFmtId="0" fontId="16" fillId="2" borderId="32" xfId="0" applyFont="1" applyFill="1" applyBorder="1" applyAlignment="1" applyProtection="1">
      <alignment horizontal="center" vertical="center"/>
      <protection hidden="1"/>
    </xf>
    <xf numFmtId="0" fontId="64" fillId="0" borderId="31" xfId="0" applyFont="1" applyBorder="1" applyAlignment="1" applyProtection="1">
      <alignment horizontal="center" vertical="center" wrapText="1"/>
      <protection hidden="1"/>
    </xf>
    <xf numFmtId="0" fontId="64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0" fillId="0" borderId="30" xfId="0" applyBorder="1" applyAlignment="1" applyProtection="1">
      <alignment wrapText="1"/>
      <protection hidden="1"/>
    </xf>
    <xf numFmtId="0" fontId="6" fillId="4" borderId="67" xfId="0" applyFont="1" applyFill="1" applyBorder="1" applyAlignment="1" applyProtection="1">
      <alignment horizontal="center" vertical="center" wrapText="1"/>
      <protection hidden="1"/>
    </xf>
    <xf numFmtId="0" fontId="6" fillId="4" borderId="82" xfId="0" applyFont="1" applyFill="1" applyBorder="1" applyAlignment="1" applyProtection="1">
      <alignment horizontal="center" vertical="center" wrapText="1"/>
      <protection hidden="1"/>
    </xf>
    <xf numFmtId="0" fontId="6" fillId="5" borderId="66" xfId="0" applyFont="1" applyFill="1" applyBorder="1" applyAlignment="1" applyProtection="1">
      <alignment horizontal="center" vertical="center" wrapText="1"/>
      <protection hidden="1"/>
    </xf>
    <xf numFmtId="0" fontId="6" fillId="5" borderId="61" xfId="0" applyFont="1" applyFill="1" applyBorder="1" applyAlignment="1" applyProtection="1">
      <alignment horizontal="center" vertical="center" wrapText="1"/>
      <protection hidden="1"/>
    </xf>
    <xf numFmtId="0" fontId="6" fillId="4" borderId="75" xfId="0" applyFont="1" applyFill="1" applyBorder="1" applyAlignment="1" applyProtection="1">
      <alignment horizontal="center" vertical="center" wrapText="1"/>
      <protection hidden="1"/>
    </xf>
    <xf numFmtId="0" fontId="6" fillId="4" borderId="89" xfId="0" applyFont="1" applyFill="1" applyBorder="1" applyAlignment="1" applyProtection="1">
      <alignment horizontal="center" vertical="center" wrapText="1"/>
      <protection hidden="1"/>
    </xf>
    <xf numFmtId="0" fontId="48" fillId="11" borderId="73" xfId="0" applyFont="1" applyFill="1" applyBorder="1" applyAlignment="1" applyProtection="1">
      <alignment horizontal="center" vertical="center" wrapText="1"/>
      <protection hidden="1"/>
    </xf>
    <xf numFmtId="0" fontId="0" fillId="0" borderId="73" xfId="0" applyBorder="1" applyAlignment="1">
      <alignment horizontal="center" vertical="center" wrapText="1"/>
    </xf>
    <xf numFmtId="0" fontId="48" fillId="11" borderId="90" xfId="0" applyFont="1" applyFill="1" applyBorder="1" applyAlignment="1" applyProtection="1">
      <alignment horizontal="center" vertical="center" wrapText="1"/>
      <protection hidden="1"/>
    </xf>
    <xf numFmtId="0" fontId="0" fillId="0" borderId="90" xfId="0" applyBorder="1" applyAlignment="1">
      <alignment horizontal="center" vertical="center" wrapText="1"/>
    </xf>
    <xf numFmtId="0" fontId="9" fillId="8" borderId="5" xfId="0" applyFont="1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>
      <alignment horizontal="center" vertical="center" wrapText="1"/>
    </xf>
    <xf numFmtId="0" fontId="9" fillId="8" borderId="90" xfId="0" applyFont="1" applyFill="1" applyBorder="1" applyAlignment="1" applyProtection="1">
      <alignment horizontal="center" vertical="center" wrapText="1"/>
      <protection hidden="1"/>
    </xf>
    <xf numFmtId="0" fontId="17" fillId="0" borderId="29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53" fillId="11" borderId="24" xfId="0" applyFont="1" applyFill="1" applyBorder="1" applyAlignment="1" applyProtection="1">
      <alignment horizontal="center" vertical="center"/>
      <protection hidden="1"/>
    </xf>
    <xf numFmtId="0" fontId="0" fillId="0" borderId="86" xfId="0" applyBorder="1" applyAlignment="1">
      <alignment horizontal="center" vertical="center"/>
    </xf>
    <xf numFmtId="0" fontId="53" fillId="11" borderId="9" xfId="0" applyFont="1" applyFill="1" applyBorder="1" applyAlignment="1" applyProtection="1">
      <alignment horizontal="center" vertical="center"/>
      <protection hidden="1"/>
    </xf>
    <xf numFmtId="0" fontId="0" fillId="0" borderId="91" xfId="0" applyBorder="1" applyAlignment="1">
      <alignment horizontal="center" vertical="center"/>
    </xf>
    <xf numFmtId="0" fontId="6" fillId="8" borderId="12" xfId="0" applyFont="1" applyFill="1" applyBorder="1" applyAlignment="1" applyProtection="1">
      <alignment horizontal="left" vertical="center" wrapText="1"/>
      <protection hidden="1"/>
    </xf>
    <xf numFmtId="0" fontId="0" fillId="0" borderId="27" xfId="0" applyBorder="1" applyAlignment="1">
      <alignment horizontal="left" vertical="center" wrapText="1"/>
    </xf>
    <xf numFmtId="0" fontId="6" fillId="8" borderId="13" xfId="0" applyFont="1" applyFill="1" applyBorder="1" applyAlignment="1" applyProtection="1">
      <alignment horizontal="left" vertical="center" wrapText="1"/>
      <protection hidden="1"/>
    </xf>
    <xf numFmtId="0" fontId="0" fillId="0" borderId="78" xfId="0" applyBorder="1" applyAlignment="1">
      <alignment horizontal="left" vertical="center" wrapText="1"/>
    </xf>
    <xf numFmtId="0" fontId="159" fillId="6" borderId="21" xfId="0" applyFont="1" applyFill="1" applyBorder="1" applyAlignment="1">
      <alignment horizontal="center" vertical="center"/>
    </xf>
    <xf numFmtId="0" fontId="67" fillId="0" borderId="22" xfId="0" applyFont="1" applyBorder="1" applyAlignment="1">
      <alignment horizontal="center" vertical="center"/>
    </xf>
    <xf numFmtId="0" fontId="67" fillId="0" borderId="22" xfId="0" applyFont="1" applyBorder="1"/>
    <xf numFmtId="0" fontId="67" fillId="0" borderId="39" xfId="0" applyFont="1" applyBorder="1"/>
    <xf numFmtId="0" fontId="146" fillId="8" borderId="19" xfId="0" applyFont="1" applyFill="1" applyBorder="1" applyAlignment="1" applyProtection="1">
      <alignment horizontal="center" textRotation="90" wrapText="1"/>
      <protection hidden="1"/>
    </xf>
    <xf numFmtId="0" fontId="147" fillId="8" borderId="19" xfId="0" applyFont="1" applyFill="1" applyBorder="1" applyAlignment="1" applyProtection="1">
      <alignment horizontal="center" textRotation="90" wrapText="1"/>
      <protection hidden="1"/>
    </xf>
    <xf numFmtId="0" fontId="0" fillId="0" borderId="76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144" fillId="0" borderId="20" xfId="0" applyFont="1" applyBorder="1" applyAlignment="1" applyProtection="1">
      <alignment vertical="center" wrapText="1"/>
      <protection hidden="1"/>
    </xf>
    <xf numFmtId="0" fontId="50" fillId="0" borderId="9" xfId="0" applyFont="1" applyBorder="1" applyAlignment="1" applyProtection="1">
      <alignment vertical="center" wrapText="1"/>
      <protection hidden="1"/>
    </xf>
    <xf numFmtId="0" fontId="9" fillId="4" borderId="21" xfId="0" applyFont="1" applyFill="1" applyBorder="1" applyAlignment="1" applyProtection="1">
      <alignment horizontal="center" vertical="center" wrapText="1"/>
      <protection hidden="1"/>
    </xf>
    <xf numFmtId="0" fontId="9" fillId="4" borderId="22" xfId="0" applyFont="1" applyFill="1" applyBorder="1" applyAlignment="1" applyProtection="1">
      <alignment horizontal="center" vertical="center" wrapText="1"/>
      <protection hidden="1"/>
    </xf>
    <xf numFmtId="0" fontId="9" fillId="4" borderId="39" xfId="0" applyFont="1" applyFill="1" applyBorder="1" applyAlignment="1" applyProtection="1">
      <alignment horizontal="center" vertical="center" wrapText="1"/>
      <protection hidden="1"/>
    </xf>
    <xf numFmtId="0" fontId="9" fillId="5" borderId="21" xfId="0" applyFont="1" applyFill="1" applyBorder="1" applyAlignment="1" applyProtection="1">
      <alignment horizontal="center" vertical="center" wrapText="1"/>
      <protection hidden="1"/>
    </xf>
    <xf numFmtId="0" fontId="9" fillId="5" borderId="22" xfId="0" applyFont="1" applyFill="1" applyBorder="1" applyAlignment="1" applyProtection="1">
      <alignment horizontal="center" vertical="center" wrapText="1"/>
      <protection hidden="1"/>
    </xf>
    <xf numFmtId="0" fontId="9" fillId="5" borderId="39" xfId="0" applyFont="1" applyFill="1" applyBorder="1" applyAlignment="1" applyProtection="1">
      <alignment horizontal="center" vertical="center" wrapText="1"/>
      <protection hidden="1"/>
    </xf>
    <xf numFmtId="0" fontId="112" fillId="0" borderId="55" xfId="0" applyFont="1" applyBorder="1" applyAlignment="1" applyProtection="1">
      <alignment horizontal="left" vertical="center"/>
      <protection hidden="1"/>
    </xf>
    <xf numFmtId="0" fontId="0" fillId="0" borderId="55" xfId="0" applyBorder="1" applyAlignment="1" applyProtection="1">
      <alignment horizontal="left"/>
      <protection hidden="1"/>
    </xf>
    <xf numFmtId="0" fontId="13" fillId="5" borderId="21" xfId="0" applyFont="1" applyFill="1" applyBorder="1" applyAlignment="1" applyProtection="1">
      <alignment horizontal="left" vertical="center"/>
      <protection hidden="1"/>
    </xf>
    <xf numFmtId="0" fontId="67" fillId="0" borderId="22" xfId="0" applyFont="1" applyBorder="1" applyProtection="1">
      <protection hidden="1"/>
    </xf>
    <xf numFmtId="0" fontId="67" fillId="0" borderId="39" xfId="0" applyFont="1" applyBorder="1" applyProtection="1">
      <protection hidden="1"/>
    </xf>
    <xf numFmtId="0" fontId="13" fillId="4" borderId="21" xfId="0" applyFont="1" applyFill="1" applyBorder="1" applyAlignment="1" applyProtection="1">
      <alignment horizontal="left" vertical="center" wrapText="1"/>
      <protection hidden="1"/>
    </xf>
    <xf numFmtId="0" fontId="0" fillId="0" borderId="22" xfId="0" applyBorder="1" applyAlignment="1">
      <alignment horizontal="left" vertical="center" wrapText="1"/>
    </xf>
    <xf numFmtId="0" fontId="32" fillId="0" borderId="5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left" vertical="center" wrapText="1"/>
    </xf>
    <xf numFmtId="0" fontId="142" fillId="0" borderId="12" xfId="0" applyFont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 wrapText="1"/>
    </xf>
    <xf numFmtId="0" fontId="32" fillId="0" borderId="76" xfId="0" applyFont="1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14" fillId="0" borderId="28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0" fontId="32" fillId="0" borderId="20" xfId="0" applyFont="1" applyBorder="1" applyAlignment="1" applyProtection="1">
      <alignment horizontal="left" vertical="center"/>
      <protection hidden="1"/>
    </xf>
    <xf numFmtId="0" fontId="0" fillId="0" borderId="20" xfId="0" applyBorder="1" applyAlignment="1" applyProtection="1">
      <alignment horizontal="left" vertical="center"/>
      <protection hidden="1"/>
    </xf>
    <xf numFmtId="0" fontId="0" fillId="0" borderId="5" xfId="0" applyBorder="1" applyAlignment="1">
      <alignment horizontal="left" vertical="center" wrapText="1"/>
    </xf>
    <xf numFmtId="0" fontId="143" fillId="12" borderId="12" xfId="0" applyFont="1" applyFill="1" applyBorder="1" applyAlignment="1">
      <alignment horizontal="left" vertical="center" wrapText="1"/>
    </xf>
    <xf numFmtId="0" fontId="143" fillId="12" borderId="27" xfId="0" applyFont="1" applyFill="1" applyBorder="1" applyAlignment="1">
      <alignment horizontal="left" vertical="center" wrapText="1"/>
    </xf>
    <xf numFmtId="0" fontId="145" fillId="12" borderId="28" xfId="0" applyFont="1" applyFill="1" applyBorder="1" applyAlignment="1">
      <alignment horizontal="left" vertical="center" wrapText="1"/>
    </xf>
    <xf numFmtId="0" fontId="145" fillId="12" borderId="15" xfId="0" applyFont="1" applyFill="1" applyBorder="1" applyAlignment="1">
      <alignment horizontal="left" vertical="center" wrapText="1"/>
    </xf>
    <xf numFmtId="0" fontId="13" fillId="2" borderId="21" xfId="0" applyFont="1" applyFill="1" applyBorder="1" applyAlignment="1" applyProtection="1">
      <alignment horizontal="left" vertical="center" wrapText="1"/>
      <protection hidden="1"/>
    </xf>
    <xf numFmtId="0" fontId="16" fillId="5" borderId="21" xfId="0" applyFont="1" applyFill="1" applyBorder="1" applyAlignment="1" applyProtection="1">
      <alignment horizontal="left" vertical="center" wrapText="1"/>
      <protection hidden="1"/>
    </xf>
    <xf numFmtId="0" fontId="15" fillId="0" borderId="22" xfId="0" applyFont="1" applyBorder="1" applyAlignment="1" applyProtection="1">
      <alignment wrapText="1"/>
      <protection hidden="1"/>
    </xf>
    <xf numFmtId="0" fontId="15" fillId="0" borderId="39" xfId="0" applyFont="1" applyBorder="1" applyAlignment="1" applyProtection="1">
      <alignment wrapText="1"/>
      <protection hidden="1"/>
    </xf>
    <xf numFmtId="0" fontId="49" fillId="11" borderId="55" xfId="0" applyFont="1" applyFill="1" applyBorder="1" applyAlignment="1" applyProtection="1">
      <alignment horizontal="center" vertical="center" wrapText="1"/>
      <protection hidden="1"/>
    </xf>
    <xf numFmtId="0" fontId="49" fillId="11" borderId="9" xfId="0" applyFont="1" applyFill="1" applyBorder="1" applyAlignment="1" applyProtection="1">
      <alignment horizontal="center" vertical="center" wrapText="1"/>
      <protection hidden="1"/>
    </xf>
    <xf numFmtId="0" fontId="49" fillId="11" borderId="16" xfId="0" applyFont="1" applyFill="1" applyBorder="1" applyAlignment="1" applyProtection="1">
      <alignment horizontal="center" vertical="center" wrapText="1"/>
      <protection hidden="1"/>
    </xf>
    <xf numFmtId="0" fontId="45" fillId="0" borderId="77" xfId="0" applyFont="1" applyBorder="1" applyAlignment="1" applyProtection="1">
      <alignment horizontal="center" vertical="center"/>
      <protection hidden="1"/>
    </xf>
    <xf numFmtId="0" fontId="45" fillId="0" borderId="73" xfId="0" applyFont="1" applyBorder="1" applyAlignment="1" applyProtection="1">
      <alignment horizontal="center" vertical="center"/>
      <protection hidden="1"/>
    </xf>
    <xf numFmtId="0" fontId="58" fillId="6" borderId="24" xfId="0" applyFont="1" applyFill="1" applyBorder="1" applyAlignment="1">
      <alignment horizontal="center" vertical="center" wrapText="1"/>
    </xf>
    <xf numFmtId="0" fontId="58" fillId="0" borderId="55" xfId="0" applyFont="1" applyBorder="1" applyAlignment="1">
      <alignment horizontal="center" vertical="center" wrapText="1"/>
    </xf>
    <xf numFmtId="0" fontId="58" fillId="0" borderId="54" xfId="0" applyFont="1" applyBorder="1" applyAlignment="1">
      <alignment horizontal="center" vertical="center" wrapText="1"/>
    </xf>
    <xf numFmtId="0" fontId="160" fillId="6" borderId="24" xfId="0" applyFont="1" applyFill="1" applyBorder="1" applyAlignment="1">
      <alignment horizontal="center" vertical="center" wrapText="1"/>
    </xf>
    <xf numFmtId="0" fontId="67" fillId="0" borderId="55" xfId="0" applyFont="1" applyBorder="1" applyAlignment="1">
      <alignment horizontal="center" vertical="center" wrapText="1"/>
    </xf>
    <xf numFmtId="0" fontId="67" fillId="0" borderId="54" xfId="0" applyFont="1" applyBorder="1" applyAlignment="1">
      <alignment horizontal="center" vertical="center" wrapText="1"/>
    </xf>
    <xf numFmtId="0" fontId="145" fillId="12" borderId="12" xfId="0" applyFont="1" applyFill="1" applyBorder="1" applyAlignment="1">
      <alignment horizontal="left" vertical="center" wrapText="1"/>
    </xf>
    <xf numFmtId="0" fontId="145" fillId="12" borderId="7" xfId="0" applyFont="1" applyFill="1" applyBorder="1" applyAlignment="1">
      <alignment horizontal="left" vertical="center" wrapText="1"/>
    </xf>
    <xf numFmtId="0" fontId="145" fillId="12" borderId="27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58" fillId="6" borderId="11" xfId="0" applyFont="1" applyFill="1" applyBorder="1" applyAlignment="1">
      <alignment horizontal="center" vertical="center" wrapText="1"/>
    </xf>
    <xf numFmtId="0" fontId="58" fillId="0" borderId="23" xfId="0" applyFont="1" applyBorder="1" applyAlignment="1">
      <alignment wrapText="1"/>
    </xf>
    <xf numFmtId="0" fontId="31" fillId="0" borderId="14" xfId="0" applyFont="1" applyBorder="1" applyAlignment="1">
      <alignment wrapText="1"/>
    </xf>
    <xf numFmtId="0" fontId="53" fillId="11" borderId="21" xfId="0" applyFont="1" applyFill="1" applyBorder="1" applyAlignment="1" applyProtection="1">
      <alignment horizontal="center" vertical="center" wrapText="1"/>
      <protection hidden="1"/>
    </xf>
    <xf numFmtId="0" fontId="13" fillId="2" borderId="22" xfId="0" applyFont="1" applyFill="1" applyBorder="1" applyAlignment="1" applyProtection="1">
      <alignment horizontal="left" vertical="center" wrapText="1"/>
      <protection hidden="1"/>
    </xf>
    <xf numFmtId="0" fontId="13" fillId="2" borderId="39" xfId="0" applyFont="1" applyFill="1" applyBorder="1" applyAlignment="1" applyProtection="1">
      <alignment horizontal="left" vertical="center" wrapText="1"/>
      <protection hidden="1"/>
    </xf>
    <xf numFmtId="0" fontId="13" fillId="4" borderId="21" xfId="0" applyFont="1" applyFill="1" applyBorder="1" applyAlignment="1" applyProtection="1">
      <alignment horizontal="left" vertical="center"/>
      <protection hidden="1"/>
    </xf>
    <xf numFmtId="0" fontId="13" fillId="4" borderId="22" xfId="0" applyFont="1" applyFill="1" applyBorder="1" applyAlignment="1" applyProtection="1">
      <alignment horizontal="left" vertical="center"/>
      <protection hidden="1"/>
    </xf>
    <xf numFmtId="0" fontId="13" fillId="4" borderId="39" xfId="0" applyFont="1" applyFill="1" applyBorder="1" applyAlignment="1" applyProtection="1">
      <alignment horizontal="left" vertical="center"/>
      <protection hidden="1"/>
    </xf>
    <xf numFmtId="0" fontId="27" fillId="6" borderId="20" xfId="0" applyFont="1" applyFill="1" applyBorder="1" applyAlignment="1" applyProtection="1">
      <alignment horizontal="center"/>
      <protection hidden="1"/>
    </xf>
    <xf numFmtId="0" fontId="27" fillId="6" borderId="0" xfId="0" applyFont="1" applyFill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66" fillId="0" borderId="0" xfId="0" applyFont="1" applyAlignment="1" applyProtection="1">
      <alignment horizontal="center" vertical="center" wrapText="1"/>
      <protection hidden="1"/>
    </xf>
    <xf numFmtId="0" fontId="45" fillId="0" borderId="92" xfId="0" applyFont="1" applyBorder="1" applyAlignment="1" applyProtection="1">
      <alignment horizontal="center" vertical="center"/>
      <protection hidden="1"/>
    </xf>
    <xf numFmtId="0" fontId="45" fillId="0" borderId="78" xfId="0" applyFont="1" applyBorder="1" applyAlignment="1" applyProtection="1">
      <alignment horizontal="center" vertical="center"/>
      <protection hidden="1"/>
    </xf>
    <xf numFmtId="0" fontId="45" fillId="0" borderId="90" xfId="0" applyFont="1" applyBorder="1" applyAlignment="1" applyProtection="1">
      <alignment horizontal="center" vertical="center"/>
      <protection hidden="1"/>
    </xf>
    <xf numFmtId="0" fontId="45" fillId="0" borderId="85" xfId="0" applyFont="1" applyBorder="1" applyAlignment="1" applyProtection="1">
      <alignment horizontal="center" vertical="center"/>
      <protection hidden="1"/>
    </xf>
    <xf numFmtId="0" fontId="45" fillId="0" borderId="36" xfId="0" applyFont="1" applyBorder="1" applyAlignment="1" applyProtection="1">
      <alignment horizontal="center" vertical="center"/>
      <protection hidden="1"/>
    </xf>
    <xf numFmtId="0" fontId="45" fillId="0" borderId="32" xfId="0" applyFont="1" applyBorder="1" applyAlignment="1" applyProtection="1">
      <alignment horizontal="center" vertical="center"/>
      <protection hidden="1"/>
    </xf>
    <xf numFmtId="0" fontId="45" fillId="0" borderId="62" xfId="0" applyFont="1" applyBorder="1" applyAlignment="1" applyProtection="1">
      <alignment horizontal="center" vertical="center"/>
      <protection hidden="1"/>
    </xf>
    <xf numFmtId="0" fontId="48" fillId="11" borderId="54" xfId="0" applyFont="1" applyFill="1" applyBorder="1" applyAlignment="1" applyProtection="1">
      <alignment horizontal="center" vertical="center" wrapText="1"/>
      <protection hidden="1"/>
    </xf>
    <xf numFmtId="0" fontId="50" fillId="11" borderId="9" xfId="0" applyFont="1" applyFill="1" applyBorder="1" applyAlignment="1" applyProtection="1">
      <alignment horizontal="center" vertical="center" wrapText="1"/>
      <protection hidden="1"/>
    </xf>
    <xf numFmtId="0" fontId="50" fillId="11" borderId="16" xfId="0" applyFont="1" applyFill="1" applyBorder="1" applyAlignment="1" applyProtection="1">
      <alignment horizontal="center" vertical="center" wrapText="1"/>
      <protection hidden="1"/>
    </xf>
    <xf numFmtId="0" fontId="50" fillId="11" borderId="52" xfId="0" applyFont="1" applyFill="1" applyBorder="1" applyAlignment="1" applyProtection="1">
      <alignment horizontal="center" vertical="center" wrapText="1"/>
      <protection hidden="1"/>
    </xf>
    <xf numFmtId="0" fontId="51" fillId="11" borderId="67" xfId="0" applyFont="1" applyFill="1" applyBorder="1" applyAlignment="1" applyProtection="1">
      <alignment horizontal="center"/>
      <protection hidden="1"/>
    </xf>
    <xf numFmtId="0" fontId="51" fillId="11" borderId="56" xfId="0" applyFont="1" applyFill="1" applyBorder="1" applyAlignment="1" applyProtection="1">
      <alignment horizontal="center"/>
      <protection hidden="1"/>
    </xf>
    <xf numFmtId="0" fontId="51" fillId="11" borderId="82" xfId="0" applyFont="1" applyFill="1" applyBorder="1" applyAlignment="1" applyProtection="1">
      <alignment horizontal="center"/>
      <protection hidden="1"/>
    </xf>
    <xf numFmtId="0" fontId="52" fillId="11" borderId="67" xfId="0" applyFont="1" applyFill="1" applyBorder="1" applyAlignment="1" applyProtection="1">
      <alignment horizontal="center" vertical="center"/>
      <protection hidden="1"/>
    </xf>
    <xf numFmtId="0" fontId="52" fillId="11" borderId="56" xfId="0" applyFont="1" applyFill="1" applyBorder="1" applyAlignment="1" applyProtection="1">
      <alignment horizontal="center" vertical="center"/>
      <protection hidden="1"/>
    </xf>
    <xf numFmtId="0" fontId="52" fillId="11" borderId="82" xfId="0" applyFont="1" applyFill="1" applyBorder="1" applyAlignment="1" applyProtection="1">
      <alignment horizontal="center" vertical="center"/>
      <protection hidden="1"/>
    </xf>
    <xf numFmtId="0" fontId="52" fillId="11" borderId="58" xfId="0" applyFont="1" applyFill="1" applyBorder="1" applyAlignment="1" applyProtection="1">
      <alignment horizontal="center" vertical="center"/>
      <protection hidden="1"/>
    </xf>
    <xf numFmtId="0" fontId="45" fillId="0" borderId="74" xfId="0" applyFont="1" applyBorder="1" applyAlignment="1" applyProtection="1">
      <alignment horizontal="center" vertical="center"/>
      <protection hidden="1"/>
    </xf>
    <xf numFmtId="0" fontId="0" fillId="0" borderId="2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45" fillId="0" borderId="57" xfId="0" applyFont="1" applyBorder="1" applyAlignment="1" applyProtection="1">
      <alignment horizontal="center" vertical="center"/>
      <protection hidden="1"/>
    </xf>
    <xf numFmtId="0" fontId="0" fillId="0" borderId="8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48" fillId="11" borderId="21" xfId="0" applyFont="1" applyFill="1" applyBorder="1" applyAlignment="1" applyProtection="1">
      <alignment horizontal="center" vertical="center" wrapText="1"/>
      <protection hidden="1"/>
    </xf>
    <xf numFmtId="0" fontId="50" fillId="11" borderId="22" xfId="0" applyFont="1" applyFill="1" applyBorder="1" applyAlignment="1" applyProtection="1">
      <alignment horizontal="center" vertical="center" wrapText="1"/>
      <protection hidden="1"/>
    </xf>
    <xf numFmtId="0" fontId="50" fillId="11" borderId="39" xfId="0" applyFont="1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>
      <alignment vertical="center" wrapText="1"/>
    </xf>
    <xf numFmtId="0" fontId="29" fillId="0" borderId="5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" xfId="0" applyFont="1" applyBorder="1"/>
    <xf numFmtId="0" fontId="14" fillId="0" borderId="5" xfId="0" applyFont="1" applyBorder="1" applyAlignment="1">
      <alignment wrapText="1"/>
    </xf>
    <xf numFmtId="0" fontId="92" fillId="22" borderId="24" xfId="21" applyFont="1" applyFill="1" applyBorder="1" applyAlignment="1" applyProtection="1">
      <alignment horizontal="left" vertical="center"/>
      <protection hidden="1"/>
    </xf>
    <xf numFmtId="0" fontId="8" fillId="22" borderId="55" xfId="21" applyFont="1" applyFill="1" applyBorder="1" applyAlignment="1" applyProtection="1">
      <alignment horizontal="left" vertical="center"/>
      <protection hidden="1"/>
    </xf>
    <xf numFmtId="0" fontId="2" fillId="0" borderId="55" xfId="21" applyBorder="1" applyAlignment="1" applyProtection="1">
      <alignment horizontal="left"/>
      <protection hidden="1"/>
    </xf>
    <xf numFmtId="0" fontId="2" fillId="0" borderId="54" xfId="21" applyBorder="1" applyAlignment="1" applyProtection="1">
      <alignment horizontal="left"/>
      <protection hidden="1"/>
    </xf>
    <xf numFmtId="0" fontId="2" fillId="0" borderId="5" xfId="21" applyBorder="1" applyAlignment="1" applyProtection="1">
      <alignment horizontal="center"/>
      <protection hidden="1"/>
    </xf>
    <xf numFmtId="0" fontId="85" fillId="0" borderId="20" xfId="21" applyFont="1" applyBorder="1" applyAlignment="1" applyProtection="1">
      <alignment horizontal="left" vertical="center" wrapText="1"/>
      <protection hidden="1"/>
    </xf>
    <xf numFmtId="0" fontId="85" fillId="0" borderId="0" xfId="21" applyFont="1" applyAlignment="1" applyProtection="1">
      <alignment horizontal="left" vertical="center" wrapText="1"/>
      <protection hidden="1"/>
    </xf>
    <xf numFmtId="0" fontId="85" fillId="0" borderId="19" xfId="21" applyFont="1" applyBorder="1" applyAlignment="1" applyProtection="1">
      <alignment horizontal="left" vertical="center" wrapText="1"/>
      <protection hidden="1"/>
    </xf>
    <xf numFmtId="0" fontId="78" fillId="17" borderId="5" xfId="21" applyFont="1" applyFill="1" applyBorder="1" applyAlignment="1" applyProtection="1">
      <alignment horizontal="center" vertical="center" wrapText="1"/>
      <protection hidden="1"/>
    </xf>
    <xf numFmtId="0" fontId="89" fillId="15" borderId="0" xfId="21" applyFont="1" applyFill="1" applyAlignment="1" applyProtection="1">
      <alignment horizontal="center" vertical="center" wrapText="1"/>
      <protection hidden="1"/>
    </xf>
    <xf numFmtId="0" fontId="70" fillId="16" borderId="5" xfId="21" applyFont="1" applyFill="1" applyBorder="1" applyAlignment="1" applyProtection="1">
      <alignment horizontal="left" vertical="center" wrapText="1"/>
      <protection locked="0"/>
    </xf>
    <xf numFmtId="166" fontId="75" fillId="14" borderId="28" xfId="21" applyNumberFormat="1" applyFont="1" applyFill="1" applyBorder="1" applyAlignment="1" applyProtection="1">
      <alignment horizontal="center" vertical="center" wrapText="1"/>
      <protection hidden="1"/>
    </xf>
    <xf numFmtId="166" fontId="75" fillId="14" borderId="7" xfId="21" applyNumberFormat="1" applyFont="1" applyFill="1" applyBorder="1" applyAlignment="1" applyProtection="1">
      <alignment horizontal="center" vertical="center" wrapText="1"/>
      <protection hidden="1"/>
    </xf>
    <xf numFmtId="166" fontId="75" fillId="14" borderId="27" xfId="21" applyNumberFormat="1" applyFont="1" applyFill="1" applyBorder="1" applyAlignment="1" applyProtection="1">
      <alignment horizontal="center" vertical="center" wrapText="1"/>
      <protection hidden="1"/>
    </xf>
    <xf numFmtId="0" fontId="75" fillId="14" borderId="28" xfId="21" applyFont="1" applyFill="1" applyBorder="1" applyAlignment="1" applyProtection="1">
      <alignment horizontal="center" vertical="center" wrapText="1"/>
      <protection hidden="1"/>
    </xf>
    <xf numFmtId="0" fontId="75" fillId="14" borderId="7" xfId="21" applyFont="1" applyFill="1" applyBorder="1" applyAlignment="1" applyProtection="1">
      <alignment horizontal="center" vertical="center" wrapText="1"/>
      <protection hidden="1"/>
    </xf>
    <xf numFmtId="166" fontId="78" fillId="14" borderId="5" xfId="21" applyNumberFormat="1" applyFont="1" applyFill="1" applyBorder="1" applyAlignment="1" applyProtection="1">
      <alignment horizontal="center" vertical="center" wrapText="1"/>
      <protection hidden="1"/>
    </xf>
    <xf numFmtId="0" fontId="86" fillId="10" borderId="37" xfId="21" applyFont="1" applyFill="1" applyBorder="1" applyAlignment="1" applyProtection="1">
      <alignment horizontal="center" vertical="center" wrapText="1"/>
      <protection hidden="1"/>
    </xf>
    <xf numFmtId="0" fontId="86" fillId="10" borderId="34" xfId="21" applyFont="1" applyFill="1" applyBorder="1" applyAlignment="1" applyProtection="1">
      <alignment horizontal="center" vertical="center" wrapText="1"/>
      <protection hidden="1"/>
    </xf>
    <xf numFmtId="0" fontId="86" fillId="10" borderId="33" xfId="21" applyFont="1" applyFill="1" applyBorder="1" applyAlignment="1" applyProtection="1">
      <alignment horizontal="center" vertical="center" wrapText="1"/>
      <protection hidden="1"/>
    </xf>
    <xf numFmtId="0" fontId="86" fillId="10" borderId="29" xfId="21" applyFont="1" applyFill="1" applyBorder="1" applyAlignment="1" applyProtection="1">
      <alignment horizontal="center" vertical="center" wrapText="1"/>
      <protection hidden="1"/>
    </xf>
    <xf numFmtId="0" fontId="86" fillId="10" borderId="25" xfId="21" applyFont="1" applyFill="1" applyBorder="1" applyAlignment="1" applyProtection="1">
      <alignment horizontal="center" vertical="center" wrapText="1"/>
      <protection hidden="1"/>
    </xf>
    <xf numFmtId="0" fontId="86" fillId="10" borderId="36" xfId="21" applyFont="1" applyFill="1" applyBorder="1" applyAlignment="1" applyProtection="1">
      <alignment horizontal="center" vertical="center" wrapText="1"/>
      <protection hidden="1"/>
    </xf>
    <xf numFmtId="0" fontId="78" fillId="17" borderId="37" xfId="21" applyFont="1" applyFill="1" applyBorder="1" applyAlignment="1" applyProtection="1">
      <alignment horizontal="center" vertical="center" wrapText="1"/>
      <protection hidden="1"/>
    </xf>
    <xf numFmtId="0" fontId="78" fillId="17" borderId="34" xfId="21" applyFont="1" applyFill="1" applyBorder="1" applyAlignment="1" applyProtection="1">
      <alignment horizontal="center" vertical="center" wrapText="1"/>
      <protection hidden="1"/>
    </xf>
    <xf numFmtId="0" fontId="78" fillId="17" borderId="33" xfId="21" applyFont="1" applyFill="1" applyBorder="1" applyAlignment="1" applyProtection="1">
      <alignment horizontal="center" vertical="center" wrapText="1"/>
      <protection hidden="1"/>
    </xf>
    <xf numFmtId="0" fontId="77" fillId="15" borderId="25" xfId="21" applyFont="1" applyFill="1" applyBorder="1" applyAlignment="1" applyProtection="1">
      <alignment horizontal="left" vertical="center" wrapText="1"/>
      <protection hidden="1"/>
    </xf>
    <xf numFmtId="0" fontId="75" fillId="18" borderId="5" xfId="21" applyFont="1" applyFill="1" applyBorder="1" applyAlignment="1" applyProtection="1">
      <alignment horizontal="center" vertical="center" wrapText="1"/>
      <protection locked="0"/>
    </xf>
    <xf numFmtId="0" fontId="2" fillId="0" borderId="5" xfId="21" applyBorder="1" applyAlignment="1">
      <alignment vertical="center" wrapText="1"/>
      <protection/>
    </xf>
    <xf numFmtId="0" fontId="77" fillId="15" borderId="31" xfId="21" applyFont="1" applyFill="1" applyBorder="1" applyAlignment="1" applyProtection="1">
      <alignment horizontal="left" vertical="center" wrapText="1"/>
      <protection hidden="1"/>
    </xf>
    <xf numFmtId="0" fontId="77" fillId="15" borderId="0" xfId="21" applyFont="1" applyFill="1" applyAlignment="1" applyProtection="1">
      <alignment horizontal="left" vertical="center" wrapText="1"/>
      <protection hidden="1"/>
    </xf>
    <xf numFmtId="0" fontId="85" fillId="15" borderId="31" xfId="21" applyFont="1" applyFill="1" applyBorder="1" applyAlignment="1">
      <alignment horizontal="left" vertical="center" wrapText="1"/>
      <protection/>
    </xf>
    <xf numFmtId="0" fontId="85" fillId="15" borderId="0" xfId="21" applyFont="1" applyFill="1" applyAlignment="1">
      <alignment horizontal="left" vertical="center" wrapText="1"/>
      <protection/>
    </xf>
    <xf numFmtId="0" fontId="70" fillId="8" borderId="35" xfId="21" applyFont="1" applyFill="1" applyBorder="1" applyAlignment="1" applyProtection="1">
      <alignment horizontal="left" vertical="center" wrapText="1"/>
      <protection hidden="1"/>
    </xf>
    <xf numFmtId="0" fontId="70" fillId="8" borderId="32" xfId="21" applyFont="1" applyFill="1" applyBorder="1" applyAlignment="1" applyProtection="1">
      <alignment horizontal="left" vertical="center" wrapText="1"/>
      <protection hidden="1"/>
    </xf>
    <xf numFmtId="0" fontId="75" fillId="16" borderId="5" xfId="21" applyFont="1" applyFill="1" applyBorder="1" applyAlignment="1" applyProtection="1">
      <alignment horizontal="center" vertical="center" wrapText="1"/>
      <protection locked="0"/>
    </xf>
    <xf numFmtId="0" fontId="75" fillId="18" borderId="35" xfId="21" applyFont="1" applyFill="1" applyBorder="1" applyAlignment="1" applyProtection="1">
      <alignment horizontal="center" vertical="center" wrapText="1"/>
      <protection locked="0"/>
    </xf>
    <xf numFmtId="0" fontId="82" fillId="10" borderId="5" xfId="21" applyFont="1" applyFill="1" applyBorder="1" applyAlignment="1" applyProtection="1">
      <alignment horizontal="center" vertical="center" wrapText="1"/>
      <protection hidden="1"/>
    </xf>
    <xf numFmtId="0" fontId="73" fillId="14" borderId="7" xfId="21" applyFont="1" applyFill="1" applyBorder="1" applyAlignment="1" applyProtection="1">
      <alignment horizontal="right" vertical="center" wrapText="1"/>
      <protection hidden="1"/>
    </xf>
    <xf numFmtId="0" fontId="74" fillId="15" borderId="34" xfId="21" applyFont="1" applyFill="1" applyBorder="1" applyAlignment="1" applyProtection="1">
      <alignment horizontal="center" vertical="center" wrapText="1"/>
      <protection hidden="1"/>
    </xf>
    <xf numFmtId="0" fontId="74" fillId="15" borderId="0" xfId="21" applyFont="1" applyFill="1" applyAlignment="1" applyProtection="1">
      <alignment horizontal="center" vertical="center" wrapText="1"/>
      <protection hidden="1"/>
    </xf>
    <xf numFmtId="0" fontId="87" fillId="10" borderId="37" xfId="21" applyFont="1" applyFill="1" applyBorder="1" applyAlignment="1" applyProtection="1">
      <alignment horizontal="center" vertical="center" wrapText="1"/>
      <protection hidden="1"/>
    </xf>
    <xf numFmtId="0" fontId="87" fillId="10" borderId="34" xfId="21" applyFont="1" applyFill="1" applyBorder="1" applyAlignment="1" applyProtection="1">
      <alignment horizontal="center" vertical="center" wrapText="1"/>
      <protection hidden="1"/>
    </xf>
    <xf numFmtId="0" fontId="87" fillId="10" borderId="33" xfId="21" applyFont="1" applyFill="1" applyBorder="1" applyAlignment="1" applyProtection="1">
      <alignment horizontal="center" vertical="center" wrapText="1"/>
      <protection hidden="1"/>
    </xf>
    <xf numFmtId="0" fontId="87" fillId="10" borderId="29" xfId="21" applyFont="1" applyFill="1" applyBorder="1" applyAlignment="1" applyProtection="1">
      <alignment horizontal="center" vertical="center" wrapText="1"/>
      <protection hidden="1"/>
    </xf>
    <xf numFmtId="0" fontId="87" fillId="10" borderId="25" xfId="21" applyFont="1" applyFill="1" applyBorder="1" applyAlignment="1" applyProtection="1">
      <alignment horizontal="center" vertical="center" wrapText="1"/>
      <protection hidden="1"/>
    </xf>
    <xf numFmtId="0" fontId="87" fillId="10" borderId="36" xfId="21" applyFont="1" applyFill="1" applyBorder="1" applyAlignment="1" applyProtection="1">
      <alignment horizontal="center" vertical="center" wrapText="1"/>
      <protection hidden="1"/>
    </xf>
    <xf numFmtId="0" fontId="86" fillId="10" borderId="5" xfId="21" applyFont="1" applyFill="1" applyBorder="1" applyAlignment="1" applyProtection="1">
      <alignment horizontal="center" vertical="center" wrapText="1"/>
      <protection hidden="1"/>
    </xf>
    <xf numFmtId="0" fontId="76" fillId="8" borderId="0" xfId="21" applyFont="1" applyFill="1" applyAlignment="1" applyProtection="1">
      <alignment horizontal="left" wrapText="1"/>
      <protection hidden="1"/>
    </xf>
    <xf numFmtId="0" fontId="76" fillId="8" borderId="0" xfId="21" applyFont="1" applyFill="1" applyAlignment="1">
      <alignment horizontal="left" wrapText="1"/>
      <protection/>
    </xf>
    <xf numFmtId="0" fontId="2" fillId="8" borderId="0" xfId="21" applyFill="1" applyAlignment="1">
      <alignment horizontal="left" wrapText="1"/>
      <protection/>
    </xf>
    <xf numFmtId="0" fontId="75" fillId="18" borderId="5" xfId="21" applyFont="1" applyFill="1" applyBorder="1" applyAlignment="1" applyProtection="1">
      <alignment horizontal="center" vertical="center" wrapText="1"/>
      <protection locked="0"/>
    </xf>
    <xf numFmtId="0" fontId="81" fillId="15" borderId="0" xfId="21" applyFont="1" applyFill="1" applyAlignment="1" applyProtection="1">
      <alignment horizontal="left" vertical="center" wrapText="1"/>
      <protection hidden="1"/>
    </xf>
    <xf numFmtId="0" fontId="77" fillId="8" borderId="0" xfId="21" applyFont="1" applyFill="1" applyAlignment="1" applyProtection="1">
      <alignment horizontal="left" vertical="center" wrapText="1"/>
      <protection hidden="1"/>
    </xf>
    <xf numFmtId="0" fontId="79" fillId="15" borderId="30" xfId="21" applyFont="1" applyFill="1" applyBorder="1" applyAlignment="1" applyProtection="1">
      <alignment horizontal="left" vertical="center" textRotation="90" wrapText="1"/>
      <protection hidden="1"/>
    </xf>
    <xf numFmtId="0" fontId="79" fillId="15" borderId="30" xfId="21" applyFont="1" applyFill="1" applyBorder="1" applyAlignment="1">
      <alignment horizontal="left" vertical="center" wrapText="1"/>
      <protection/>
    </xf>
    <xf numFmtId="0" fontId="83" fillId="15" borderId="0" xfId="21" applyFont="1" applyFill="1" applyAlignment="1" applyProtection="1">
      <alignment horizontal="center" vertical="center" wrapText="1"/>
      <protection hidden="1"/>
    </xf>
    <xf numFmtId="0" fontId="68" fillId="0" borderId="30" xfId="21" applyFont="1" applyBorder="1" applyAlignment="1">
      <alignment vertical="center" wrapText="1"/>
      <protection/>
    </xf>
    <xf numFmtId="0" fontId="85" fillId="15" borderId="0" xfId="21" applyFont="1" applyFill="1" applyAlignment="1" applyProtection="1">
      <alignment horizontal="center" vertical="center" wrapText="1"/>
      <protection hidden="1"/>
    </xf>
    <xf numFmtId="0" fontId="73" fillId="14" borderId="7" xfId="21" applyFont="1" applyFill="1" applyBorder="1" applyAlignment="1" applyProtection="1">
      <alignment horizontal="left" vertical="center" wrapText="1"/>
      <protection hidden="1"/>
    </xf>
    <xf numFmtId="0" fontId="76" fillId="26" borderId="24" xfId="21" applyFont="1" applyFill="1" applyBorder="1" applyAlignment="1" applyProtection="1">
      <alignment horizontal="center" vertical="center" wrapText="1"/>
      <protection hidden="1"/>
    </xf>
    <xf numFmtId="0" fontId="158" fillId="26" borderId="55" xfId="0" applyFont="1" applyFill="1" applyBorder="1" applyAlignment="1">
      <alignment horizontal="center" wrapText="1"/>
    </xf>
    <xf numFmtId="0" fontId="158" fillId="26" borderId="54" xfId="0" applyFont="1" applyFill="1" applyBorder="1" applyAlignment="1">
      <alignment horizontal="center" wrapText="1"/>
    </xf>
    <xf numFmtId="0" fontId="158" fillId="26" borderId="9" xfId="0" applyFont="1" applyFill="1" applyBorder="1" applyAlignment="1">
      <alignment horizontal="center" wrapText="1"/>
    </xf>
    <xf numFmtId="0" fontId="158" fillId="26" borderId="16" xfId="0" applyFont="1" applyFill="1" applyBorder="1" applyAlignment="1">
      <alignment horizontal="center" wrapText="1"/>
    </xf>
    <xf numFmtId="0" fontId="158" fillId="26" borderId="52" xfId="0" applyFont="1" applyFill="1" applyBorder="1" applyAlignment="1">
      <alignment horizontal="center" wrapText="1"/>
    </xf>
    <xf numFmtId="0" fontId="73" fillId="0" borderId="5" xfId="21" applyFont="1" applyBorder="1" applyAlignment="1" applyProtection="1">
      <alignment horizontal="left" vertical="center" wrapText="1"/>
      <protection hidden="1"/>
    </xf>
    <xf numFmtId="0" fontId="73" fillId="0" borderId="5" xfId="21" applyFont="1" applyBorder="1" applyAlignment="1">
      <alignment horizontal="left" vertical="center" wrapText="1"/>
      <protection/>
    </xf>
    <xf numFmtId="0" fontId="72" fillId="0" borderId="5" xfId="21" applyFont="1" applyBorder="1" applyAlignment="1">
      <alignment horizontal="left" vertical="center" wrapText="1"/>
      <protection/>
    </xf>
    <xf numFmtId="0" fontId="72" fillId="0" borderId="5" xfId="21" applyFont="1" applyBorder="1" applyAlignment="1" applyProtection="1">
      <alignment vertical="center" wrapText="1"/>
      <protection hidden="1"/>
    </xf>
    <xf numFmtId="0" fontId="72" fillId="0" borderId="5" xfId="21" applyFont="1" applyBorder="1" applyAlignment="1">
      <alignment vertical="center" wrapText="1"/>
      <protection/>
    </xf>
    <xf numFmtId="0" fontId="72" fillId="0" borderId="0" xfId="21" applyFont="1" applyAlignment="1" applyProtection="1">
      <alignment vertical="center" wrapText="1"/>
      <protection hidden="1"/>
    </xf>
    <xf numFmtId="0" fontId="72" fillId="0" borderId="0" xfId="21" applyFont="1" applyAlignment="1">
      <alignment vertical="center" wrapText="1"/>
      <protection/>
    </xf>
    <xf numFmtId="0" fontId="73" fillId="0" borderId="0" xfId="21" applyFont="1" applyAlignment="1" applyProtection="1">
      <alignment horizontal="left" vertical="center" wrapText="1"/>
      <protection hidden="1"/>
    </xf>
    <xf numFmtId="0" fontId="73" fillId="0" borderId="0" xfId="21" applyFont="1" applyAlignment="1">
      <alignment horizontal="left" vertical="center" wrapText="1"/>
      <protection/>
    </xf>
    <xf numFmtId="0" fontId="72" fillId="0" borderId="0" xfId="21" applyFont="1" applyAlignment="1">
      <alignment horizontal="left" vertical="center" wrapText="1"/>
      <protection/>
    </xf>
    <xf numFmtId="0" fontId="71" fillId="0" borderId="0" xfId="21" applyFont="1" applyAlignment="1" applyProtection="1">
      <alignment horizontal="left" vertical="center" wrapText="1"/>
      <protection hidden="1"/>
    </xf>
    <xf numFmtId="0" fontId="75" fillId="19" borderId="7" xfId="21" applyFont="1" applyFill="1" applyBorder="1" applyAlignment="1" applyProtection="1">
      <alignment horizontal="right" vertical="center" wrapText="1"/>
      <protection hidden="1"/>
    </xf>
    <xf numFmtId="0" fontId="75" fillId="19" borderId="7" xfId="21" applyFont="1" applyFill="1" applyBorder="1" applyAlignment="1" applyProtection="1">
      <alignment horizontal="left" vertical="center" wrapText="1"/>
      <protection hidden="1"/>
    </xf>
    <xf numFmtId="0" fontId="101" fillId="8" borderId="0" xfId="21" applyFont="1" applyFill="1" applyAlignment="1" applyProtection="1">
      <alignment horizontal="left" vertical="center" wrapText="1"/>
      <protection hidden="1"/>
    </xf>
    <xf numFmtId="0" fontId="101" fillId="8" borderId="0" xfId="21" applyFont="1" applyFill="1" applyAlignment="1" applyProtection="1">
      <alignment horizontal="left" vertical="top" wrapText="1"/>
      <protection hidden="1"/>
    </xf>
    <xf numFmtId="0" fontId="87" fillId="10" borderId="28" xfId="21" applyFont="1" applyFill="1" applyBorder="1" applyAlignment="1" applyProtection="1">
      <alignment horizontal="center" vertical="center" wrapText="1"/>
      <protection hidden="1"/>
    </xf>
    <xf numFmtId="0" fontId="87" fillId="10" borderId="7" xfId="21" applyFont="1" applyFill="1" applyBorder="1" applyAlignment="1" applyProtection="1">
      <alignment horizontal="center" vertical="center" wrapText="1"/>
      <protection hidden="1"/>
    </xf>
    <xf numFmtId="0" fontId="87" fillId="10" borderId="27" xfId="21" applyFont="1" applyFill="1" applyBorder="1" applyAlignment="1" applyProtection="1">
      <alignment horizontal="center" vertical="center" wrapText="1"/>
      <protection hidden="1"/>
    </xf>
    <xf numFmtId="0" fontId="74" fillId="15" borderId="25" xfId="21" applyFont="1" applyFill="1" applyBorder="1" applyAlignment="1" applyProtection="1">
      <alignment horizontal="center" vertical="center" wrapText="1"/>
      <protection hidden="1"/>
    </xf>
    <xf numFmtId="0" fontId="97" fillId="15" borderId="59" xfId="21" applyFont="1" applyFill="1" applyBorder="1" applyAlignment="1" applyProtection="1">
      <alignment horizontal="center" vertical="center" textRotation="90" wrapText="1"/>
      <protection hidden="1"/>
    </xf>
    <xf numFmtId="0" fontId="97" fillId="0" borderId="59" xfId="21" applyFont="1" applyBorder="1" applyAlignment="1">
      <alignment horizontal="center" vertical="center" textRotation="90" wrapText="1"/>
      <protection/>
    </xf>
    <xf numFmtId="0" fontId="97" fillId="15" borderId="31" xfId="21" applyFont="1" applyFill="1" applyBorder="1" applyAlignment="1" applyProtection="1">
      <alignment horizontal="center" vertical="center" wrapText="1"/>
      <protection hidden="1"/>
    </xf>
    <xf numFmtId="0" fontId="97" fillId="0" borderId="30" xfId="21" applyFont="1" applyBorder="1" applyAlignment="1">
      <alignment vertical="center" wrapText="1"/>
      <protection/>
    </xf>
    <xf numFmtId="0" fontId="78" fillId="17" borderId="28" xfId="21" applyFont="1" applyFill="1" applyBorder="1" applyAlignment="1" applyProtection="1">
      <alignment horizontal="center" vertical="center" wrapText="1"/>
      <protection hidden="1"/>
    </xf>
    <xf numFmtId="0" fontId="78" fillId="17" borderId="27" xfId="21" applyFont="1" applyFill="1" applyBorder="1" applyAlignment="1" applyProtection="1">
      <alignment horizontal="center" vertical="center" wrapText="1"/>
      <protection hidden="1"/>
    </xf>
    <xf numFmtId="0" fontId="99" fillId="10" borderId="37" xfId="21" applyFont="1" applyFill="1" applyBorder="1" applyAlignment="1" applyProtection="1">
      <alignment horizontal="center" vertical="center" wrapText="1"/>
      <protection hidden="1"/>
    </xf>
    <xf numFmtId="0" fontId="99" fillId="10" borderId="34" xfId="21" applyFont="1" applyFill="1" applyBorder="1" applyAlignment="1" applyProtection="1">
      <alignment horizontal="center" vertical="center" wrapText="1"/>
      <protection hidden="1"/>
    </xf>
    <xf numFmtId="0" fontId="99" fillId="10" borderId="33" xfId="21" applyFont="1" applyFill="1" applyBorder="1" applyAlignment="1" applyProtection="1">
      <alignment horizontal="center" vertical="center" wrapText="1"/>
      <protection hidden="1"/>
    </xf>
    <xf numFmtId="0" fontId="99" fillId="10" borderId="31" xfId="21" applyFont="1" applyFill="1" applyBorder="1" applyAlignment="1" applyProtection="1">
      <alignment horizontal="center" vertical="center" wrapText="1"/>
      <protection hidden="1"/>
    </xf>
    <xf numFmtId="0" fontId="99" fillId="10" borderId="0" xfId="21" applyFont="1" applyFill="1" applyAlignment="1" applyProtection="1">
      <alignment horizontal="center" vertical="center" wrapText="1"/>
      <protection hidden="1"/>
    </xf>
    <xf numFmtId="0" fontId="99" fillId="10" borderId="30" xfId="21" applyFont="1" applyFill="1" applyBorder="1" applyAlignment="1" applyProtection="1">
      <alignment horizontal="center" vertical="center" wrapText="1"/>
      <protection hidden="1"/>
    </xf>
    <xf numFmtId="166" fontId="96" fillId="19" borderId="28" xfId="21" applyNumberFormat="1" applyFont="1" applyFill="1" applyBorder="1" applyAlignment="1" applyProtection="1">
      <alignment horizontal="center" vertical="center" wrapText="1"/>
      <protection hidden="1"/>
    </xf>
    <xf numFmtId="166" fontId="96" fillId="19" borderId="7" xfId="21" applyNumberFormat="1" applyFont="1" applyFill="1" applyBorder="1" applyAlignment="1" applyProtection="1">
      <alignment horizontal="center" vertical="center" wrapText="1"/>
      <protection hidden="1"/>
    </xf>
    <xf numFmtId="166" fontId="96" fillId="19" borderId="27" xfId="21" applyNumberFormat="1" applyFont="1" applyFill="1" applyBorder="1" applyAlignment="1" applyProtection="1">
      <alignment horizontal="center" vertical="center" wrapText="1"/>
      <protection hidden="1"/>
    </xf>
    <xf numFmtId="0" fontId="73" fillId="16" borderId="5" xfId="21" applyFont="1" applyFill="1" applyBorder="1" applyAlignment="1" applyProtection="1">
      <alignment horizontal="left" vertical="center" wrapText="1"/>
      <protection locked="0"/>
    </xf>
    <xf numFmtId="0" fontId="96" fillId="15" borderId="34" xfId="21" applyFont="1" applyFill="1" applyBorder="1" applyAlignment="1" applyProtection="1">
      <alignment horizontal="center" vertical="center" wrapText="1"/>
      <protection hidden="1"/>
    </xf>
    <xf numFmtId="0" fontId="96" fillId="15" borderId="0" xfId="21" applyFont="1" applyFill="1" applyAlignment="1" applyProtection="1">
      <alignment horizontal="center" vertical="center" wrapText="1"/>
      <protection hidden="1"/>
    </xf>
    <xf numFmtId="0" fontId="96" fillId="19" borderId="28" xfId="21" applyFont="1" applyFill="1" applyBorder="1" applyAlignment="1" applyProtection="1">
      <alignment horizontal="center" vertical="center" wrapText="1"/>
      <protection hidden="1"/>
    </xf>
    <xf numFmtId="0" fontId="96" fillId="19" borderId="7" xfId="21" applyFont="1" applyFill="1" applyBorder="1" applyAlignment="1" applyProtection="1">
      <alignment horizontal="center" vertical="center" wrapText="1"/>
      <protection hidden="1"/>
    </xf>
    <xf numFmtId="0" fontId="96" fillId="19" borderId="27" xfId="21" applyFont="1" applyFill="1" applyBorder="1" applyAlignment="1" applyProtection="1">
      <alignment horizontal="center" vertical="center" wrapText="1"/>
      <protection hidden="1"/>
    </xf>
    <xf numFmtId="0" fontId="73" fillId="21" borderId="35" xfId="21" applyFont="1" applyFill="1" applyBorder="1" applyAlignment="1" applyProtection="1">
      <alignment horizontal="left" vertical="center" textRotation="180" wrapText="1"/>
      <protection hidden="1"/>
    </xf>
    <xf numFmtId="0" fontId="73" fillId="21" borderId="59" xfId="21" applyFont="1" applyFill="1" applyBorder="1" applyAlignment="1" applyProtection="1">
      <alignment horizontal="left" vertical="center" textRotation="180" wrapText="1"/>
      <protection hidden="1"/>
    </xf>
    <xf numFmtId="0" fontId="78" fillId="17" borderId="29" xfId="21" applyFont="1" applyFill="1" applyBorder="1" applyAlignment="1" applyProtection="1">
      <alignment horizontal="center" vertical="center" wrapText="1"/>
      <protection hidden="1"/>
    </xf>
    <xf numFmtId="0" fontId="78" fillId="17" borderId="36" xfId="21" applyFont="1" applyFill="1" applyBorder="1" applyAlignment="1" applyProtection="1">
      <alignment horizontal="center" vertical="center" wrapText="1"/>
      <protection hidden="1"/>
    </xf>
    <xf numFmtId="0" fontId="88" fillId="0" borderId="0" xfId="21" applyFont="1" applyAlignment="1" applyProtection="1">
      <alignment horizontal="left" vertical="center" wrapText="1"/>
      <protection hidden="1"/>
    </xf>
    <xf numFmtId="0" fontId="106" fillId="15" borderId="0" xfId="21" applyFont="1" applyFill="1" applyAlignment="1" applyProtection="1">
      <alignment horizontal="center" vertical="center" wrapText="1"/>
      <protection hidden="1"/>
    </xf>
    <xf numFmtId="0" fontId="94" fillId="0" borderId="0" xfId="21" applyFont="1" applyAlignment="1" applyProtection="1">
      <alignment vertical="center" wrapText="1"/>
      <protection hidden="1"/>
    </xf>
    <xf numFmtId="0" fontId="2" fillId="0" borderId="0" xfId="21" applyAlignment="1">
      <alignment vertical="center" wrapText="1"/>
      <protection/>
    </xf>
    <xf numFmtId="0" fontId="94" fillId="0" borderId="0" xfId="21" applyFont="1" applyAlignment="1" applyProtection="1">
      <alignment horizontal="left" vertical="center" wrapText="1"/>
      <protection hidden="1"/>
    </xf>
    <xf numFmtId="0" fontId="2" fillId="0" borderId="0" xfId="21" applyAlignment="1">
      <alignment horizontal="left" vertical="center" wrapText="1"/>
      <protection/>
    </xf>
    <xf numFmtId="0" fontId="2" fillId="0" borderId="0" xfId="21" applyFont="1" applyAlignment="1">
      <alignment vertical="center" wrapText="1"/>
      <protection/>
    </xf>
    <xf numFmtId="0" fontId="8" fillId="23" borderId="37" xfId="21" applyFont="1" applyFill="1" applyBorder="1" applyAlignment="1" applyProtection="1">
      <alignment horizontal="center" vertical="center"/>
      <protection hidden="1"/>
    </xf>
    <xf numFmtId="0" fontId="8" fillId="23" borderId="34" xfId="21" applyFont="1" applyFill="1" applyBorder="1" applyAlignment="1" applyProtection="1">
      <alignment horizontal="center" vertical="center"/>
      <protection hidden="1"/>
    </xf>
    <xf numFmtId="0" fontId="2" fillId="23" borderId="34" xfId="21" applyFill="1" applyBorder="1" applyProtection="1">
      <alignment/>
      <protection hidden="1"/>
    </xf>
    <xf numFmtId="0" fontId="105" fillId="0" borderId="37" xfId="21" applyFont="1" applyBorder="1" applyAlignment="1" applyProtection="1">
      <alignment horizontal="left" vertical="center" wrapText="1"/>
      <protection hidden="1"/>
    </xf>
    <xf numFmtId="0" fontId="105" fillId="0" borderId="34" xfId="21" applyFont="1" applyBorder="1" applyAlignment="1" applyProtection="1">
      <alignment horizontal="left" vertical="center" wrapText="1"/>
      <protection hidden="1"/>
    </xf>
    <xf numFmtId="0" fontId="105" fillId="0" borderId="0" xfId="21" applyFont="1" applyAlignment="1" applyProtection="1">
      <alignment horizontal="left" vertical="center" wrapText="1"/>
      <protection hidden="1"/>
    </xf>
    <xf numFmtId="0" fontId="78" fillId="17" borderId="31" xfId="21" applyFont="1" applyFill="1" applyBorder="1" applyAlignment="1" applyProtection="1">
      <alignment horizontal="center" vertical="center" wrapText="1"/>
      <protection hidden="1"/>
    </xf>
    <xf numFmtId="0" fontId="78" fillId="17" borderId="0" xfId="21" applyFont="1" applyFill="1" applyAlignment="1" applyProtection="1">
      <alignment horizontal="center" vertical="center" wrapText="1"/>
      <protection hidden="1"/>
    </xf>
    <xf numFmtId="0" fontId="78" fillId="17" borderId="30" xfId="21" applyFont="1" applyFill="1" applyBorder="1" applyAlignment="1" applyProtection="1">
      <alignment horizontal="center" vertical="center" wrapText="1"/>
      <protection hidden="1"/>
    </xf>
    <xf numFmtId="0" fontId="70" fillId="17" borderId="0" xfId="21" applyFont="1" applyFill="1" applyAlignment="1" applyProtection="1">
      <alignment horizontal="center" vertical="center" wrapText="1"/>
      <protection hidden="1"/>
    </xf>
    <xf numFmtId="0" fontId="73" fillId="36" borderId="28" xfId="21" applyFont="1" applyFill="1" applyBorder="1" applyAlignment="1" applyProtection="1">
      <alignment horizontal="center" vertical="center" wrapText="1"/>
      <protection hidden="1"/>
    </xf>
    <xf numFmtId="0" fontId="73" fillId="36" borderId="7" xfId="21" applyFont="1" applyFill="1" applyBorder="1" applyAlignment="1" applyProtection="1">
      <alignment horizontal="center" vertical="center" wrapText="1"/>
      <protection hidden="1"/>
    </xf>
    <xf numFmtId="0" fontId="73" fillId="21" borderId="35" xfId="21" applyFont="1" applyFill="1" applyBorder="1" applyAlignment="1" applyProtection="1">
      <alignment horizontal="center" vertical="center" textRotation="90" wrapText="1"/>
      <protection hidden="1"/>
    </xf>
    <xf numFmtId="0" fontId="73" fillId="21" borderId="59" xfId="21" applyFont="1" applyFill="1" applyBorder="1" applyAlignment="1" applyProtection="1">
      <alignment horizontal="center" vertical="center" textRotation="90" wrapText="1"/>
      <protection hidden="1"/>
    </xf>
    <xf numFmtId="0" fontId="100" fillId="8" borderId="31" xfId="21" applyFont="1" applyFill="1" applyBorder="1" applyAlignment="1" applyProtection="1">
      <alignment horizontal="center" vertical="center" wrapText="1"/>
      <protection hidden="1"/>
    </xf>
    <xf numFmtId="0" fontId="100" fillId="0" borderId="0" xfId="21" applyFont="1" applyAlignment="1">
      <alignment horizontal="center" vertical="center" wrapText="1"/>
      <protection/>
    </xf>
    <xf numFmtId="0" fontId="76" fillId="8" borderId="0" xfId="21" applyFont="1" applyFill="1" applyAlignment="1" applyProtection="1">
      <alignment horizontal="center" wrapText="1"/>
      <protection hidden="1"/>
    </xf>
    <xf numFmtId="0" fontId="76" fillId="8" borderId="0" xfId="21" applyFont="1" applyFill="1" applyAlignment="1">
      <alignment horizontal="center" wrapText="1"/>
      <protection/>
    </xf>
    <xf numFmtId="0" fontId="2" fillId="8" borderId="0" xfId="21" applyFill="1" applyAlignment="1">
      <alignment horizontal="center" wrapText="1"/>
      <protection/>
    </xf>
    <xf numFmtId="0" fontId="70" fillId="0" borderId="0" xfId="21" applyFont="1" applyAlignment="1" applyProtection="1">
      <alignment horizontal="left" vertical="center" wrapText="1"/>
      <protection hidden="1"/>
    </xf>
    <xf numFmtId="0" fontId="70" fillId="0" borderId="0" xfId="21" applyFont="1" applyAlignment="1">
      <alignment horizontal="left" vertical="center" wrapText="1"/>
      <protection/>
    </xf>
    <xf numFmtId="0" fontId="71" fillId="0" borderId="0" xfId="21" applyFont="1" applyAlignment="1">
      <alignment horizontal="left" vertical="center" wrapText="1"/>
      <protection/>
    </xf>
    <xf numFmtId="0" fontId="161" fillId="26" borderId="72" xfId="0" applyFont="1" applyFill="1" applyBorder="1" applyAlignment="1">
      <alignment horizontal="center" vertical="center" wrapText="1"/>
    </xf>
    <xf numFmtId="0" fontId="0" fillId="26" borderId="73" xfId="0" applyFill="1" applyBorder="1" applyAlignment="1">
      <alignment wrapText="1"/>
    </xf>
    <xf numFmtId="0" fontId="0" fillId="26" borderId="92" xfId="0" applyFill="1" applyBorder="1" applyAlignment="1">
      <alignment wrapText="1"/>
    </xf>
    <xf numFmtId="0" fontId="0" fillId="26" borderId="93" xfId="0" applyFill="1" applyBorder="1" applyAlignment="1">
      <alignment wrapText="1"/>
    </xf>
    <xf numFmtId="0" fontId="0" fillId="26" borderId="90" xfId="0" applyFill="1" applyBorder="1" applyAlignment="1">
      <alignment wrapText="1"/>
    </xf>
    <xf numFmtId="0" fontId="0" fillId="26" borderId="85" xfId="0" applyFill="1" applyBorder="1" applyAlignment="1">
      <alignment wrapText="1"/>
    </xf>
    <xf numFmtId="0" fontId="70" fillId="16" borderId="28" xfId="21" applyFont="1" applyFill="1" applyBorder="1" applyAlignment="1" applyProtection="1">
      <alignment horizontal="center" vertical="center" wrapText="1"/>
      <protection locked="0"/>
    </xf>
    <xf numFmtId="0" fontId="70" fillId="16" borderId="27" xfId="21" applyFont="1" applyFill="1" applyBorder="1" applyAlignment="1" applyProtection="1">
      <alignment horizontal="center" vertical="center" wrapText="1"/>
      <protection locked="0"/>
    </xf>
    <xf numFmtId="0" fontId="94" fillId="0" borderId="0" xfId="21" applyFont="1" applyAlignment="1" applyProtection="1">
      <alignment horizontal="center" vertical="center" wrapText="1"/>
      <protection hidden="1"/>
    </xf>
    <xf numFmtId="0" fontId="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8" fillId="22" borderId="21" xfId="0" applyFont="1" applyFill="1" applyBorder="1" applyAlignment="1">
      <alignment horizontal="center" vertical="center"/>
    </xf>
    <xf numFmtId="0" fontId="8" fillId="22" borderId="22" xfId="0" applyFont="1" applyFill="1" applyBorder="1" applyAlignment="1">
      <alignment horizontal="center" vertical="center"/>
    </xf>
    <xf numFmtId="0" fontId="8" fillId="22" borderId="39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125" fillId="0" borderId="44" xfId="21" applyFont="1" applyBorder="1" applyAlignment="1">
      <alignment vertical="center" wrapText="1"/>
      <protection/>
    </xf>
    <xf numFmtId="0" fontId="15" fillId="0" borderId="45" xfId="0" applyFont="1" applyBorder="1" applyAlignment="1">
      <alignment vertical="center" wrapText="1"/>
    </xf>
    <xf numFmtId="0" fontId="15" fillId="0" borderId="46" xfId="0" applyFont="1" applyBorder="1" applyAlignment="1">
      <alignment vertical="center" wrapText="1"/>
    </xf>
    <xf numFmtId="0" fontId="15" fillId="0" borderId="47" xfId="0" applyFont="1" applyBorder="1" applyAlignment="1">
      <alignment vertical="center" wrapText="1"/>
    </xf>
    <xf numFmtId="0" fontId="15" fillId="0" borderId="49" xfId="0" applyFont="1" applyBorder="1" applyAlignment="1">
      <alignment vertical="center" wrapText="1"/>
    </xf>
    <xf numFmtId="0" fontId="15" fillId="0" borderId="51" xfId="0" applyFont="1" applyBorder="1" applyAlignment="1">
      <alignment vertical="center" wrapText="1"/>
    </xf>
    <xf numFmtId="0" fontId="2" fillId="0" borderId="44" xfId="21" applyBorder="1">
      <alignment/>
      <protection/>
    </xf>
    <xf numFmtId="0" fontId="0" fillId="0" borderId="45" xfId="0" applyBorder="1"/>
    <xf numFmtId="0" fontId="0" fillId="0" borderId="46" xfId="0" applyBorder="1"/>
    <xf numFmtId="0" fontId="0" fillId="0" borderId="47" xfId="0" applyBorder="1"/>
    <xf numFmtId="0" fontId="0" fillId="0" borderId="49" xfId="0" applyBorder="1"/>
    <xf numFmtId="0" fontId="0" fillId="0" borderId="51" xfId="0" applyBorder="1"/>
    <xf numFmtId="0" fontId="125" fillId="0" borderId="48" xfId="21" applyFont="1" applyBorder="1" applyAlignment="1">
      <alignment vertical="center" wrapText="1"/>
      <protection/>
    </xf>
    <xf numFmtId="0" fontId="15" fillId="0" borderId="0" xfId="0" applyFont="1" applyAlignment="1">
      <alignment vertical="center" wrapText="1"/>
    </xf>
    <xf numFmtId="0" fontId="15" fillId="0" borderId="50" xfId="0" applyFont="1" applyBorder="1" applyAlignment="1">
      <alignment vertical="center" wrapText="1"/>
    </xf>
    <xf numFmtId="0" fontId="125" fillId="0" borderId="94" xfId="21" applyFont="1" applyBorder="1" applyAlignment="1">
      <alignment vertical="center" wrapText="1"/>
      <protection/>
    </xf>
    <xf numFmtId="0" fontId="15" fillId="0" borderId="94" xfId="0" applyFont="1" applyBorder="1" applyAlignment="1">
      <alignment vertical="center" wrapText="1"/>
    </xf>
    <xf numFmtId="0" fontId="15" fillId="0" borderId="95" xfId="0" applyFont="1" applyBorder="1" applyAlignment="1">
      <alignment vertical="center" wrapText="1"/>
    </xf>
    <xf numFmtId="0" fontId="2" fillId="37" borderId="48" xfId="21" applyFill="1" applyBorder="1">
      <alignment/>
      <protection/>
    </xf>
    <xf numFmtId="0" fontId="0" fillId="37" borderId="45" xfId="0" applyFill="1" applyBorder="1"/>
    <xf numFmtId="0" fontId="0" fillId="37" borderId="0" xfId="0" applyFill="1"/>
    <xf numFmtId="0" fontId="0" fillId="37" borderId="47" xfId="0" applyFill="1" applyBorder="1"/>
    <xf numFmtId="0" fontId="0" fillId="37" borderId="50" xfId="0" applyFill="1" applyBorder="1"/>
    <xf numFmtId="0" fontId="0" fillId="37" borderId="51" xfId="0" applyFill="1" applyBorder="1"/>
    <xf numFmtId="0" fontId="2" fillId="0" borderId="96" xfId="21" applyBorder="1">
      <alignment/>
      <protection/>
    </xf>
    <xf numFmtId="0" fontId="0" fillId="0" borderId="94" xfId="0" applyBorder="1"/>
    <xf numFmtId="0" fontId="0" fillId="0" borderId="95" xfId="0" applyBorder="1"/>
    <xf numFmtId="0" fontId="125" fillId="17" borderId="32" xfId="21" applyFont="1" applyFill="1" applyBorder="1" applyAlignment="1" applyProtection="1">
      <alignment horizontal="center" vertical="center" wrapText="1"/>
      <protection hidden="1"/>
    </xf>
    <xf numFmtId="0" fontId="125" fillId="17" borderId="5" xfId="21" applyFont="1" applyFill="1" applyBorder="1" applyAlignment="1" applyProtection="1">
      <alignment horizontal="center" vertical="center" wrapText="1"/>
      <protection hidden="1"/>
    </xf>
    <xf numFmtId="0" fontId="125" fillId="17" borderId="5" xfId="21" applyFont="1" applyFill="1" applyBorder="1" applyAlignment="1">
      <alignment horizontal="center" vertical="center" wrapText="1"/>
      <protection/>
    </xf>
    <xf numFmtId="0" fontId="151" fillId="26" borderId="21" xfId="21" applyFont="1" applyFill="1" applyBorder="1" applyAlignment="1">
      <alignment horizontal="center" vertical="center" wrapText="1"/>
      <protection/>
    </xf>
    <xf numFmtId="0" fontId="152" fillId="26" borderId="22" xfId="0" applyFont="1" applyFill="1" applyBorder="1" applyAlignment="1">
      <alignment horizontal="center" vertical="center" wrapText="1"/>
    </xf>
    <xf numFmtId="0" fontId="152" fillId="26" borderId="39" xfId="0" applyFont="1" applyFill="1" applyBorder="1" applyAlignment="1">
      <alignment horizontal="center" vertical="center" wrapText="1"/>
    </xf>
  </cellXfs>
  <cellStyles count="9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Обычный 2" xfId="20"/>
    <cellStyle name="Обычный 3" xfId="21"/>
    <cellStyle name="Гиперссылка" xfId="22" builtinId="8"/>
  </cellStyles>
  <dxfs count="10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149949997663498"/>
      </font>
      <fill>
        <patternFill>
          <bgColor theme="0" tint="-0.149949997663498"/>
        </patternFill>
      </fill>
      <border>
        <top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149949997663498"/>
      </font>
      <fill>
        <patternFill>
          <bgColor theme="0" tint="-0.149949997663498"/>
        </patternFill>
      </fill>
      <border>
        <top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149949997663498"/>
      </font>
      <fill>
        <patternFill>
          <bgColor theme="0" tint="-0.149949997663498"/>
        </patternFill>
      </fill>
      <border>
        <top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styles" Target="styles.xml" /><Relationship Id="rId14" Type="http://schemas.openxmlformats.org/officeDocument/2006/relationships/worksheet" Target="worksheets/sheet13.xml" /><Relationship Id="rId1" Type="http://schemas.openxmlformats.org/officeDocument/2006/relationships/theme" Target="theme/theme1.xml" /><Relationship Id="rId18" Type="http://schemas.openxmlformats.org/officeDocument/2006/relationships/calcChain" Target="calcChain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17" Type="http://schemas.openxmlformats.org/officeDocument/2006/relationships/sharedStrings" Target="sharedStrings.xml" /><Relationship Id="rId6" Type="http://schemas.openxmlformats.org/officeDocument/2006/relationships/worksheet" Target="worksheets/sheet5.xml" /><Relationship Id="rId15" Type="http://schemas.openxmlformats.org/officeDocument/2006/relationships/worksheet" Target="worksheets/sheet14.xml" /><Relationship Id="rId2" Type="http://schemas.openxmlformats.org/officeDocument/2006/relationships/worksheet" Target="worksheets/sheet1.xml" /><Relationship Id="rId4" Type="http://schemas.openxmlformats.org/officeDocument/2006/relationships/worksheet" Target="worksheets/sheet3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3" Type="http://schemas.openxmlformats.org/officeDocument/2006/relationships/worksheet" Target="worksheets/sheet2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/Relationships>
</file>

<file path=xl/ctrProps/ctrProp1.xml><?xml version="1.0" encoding="utf-8"?>
<formControlPr xmlns="http://schemas.microsoft.com/office/spreadsheetml/2009/9/main" objectType="Drop" dropLines="8" dropStyle="Combo" dx="15" sel="1"/>
</file>

<file path=xl/ctrProps/ctrProp2.xml><?xml version="1.0" encoding="utf-8"?>
<formControlPr xmlns="http://schemas.microsoft.com/office/spreadsheetml/2009/9/main" objectType="Drop" dropLines="32" dropStyle="Combo" dx="15" sel="18"/>
</file>

<file path=xl/ctrProps/ctrProp3.xml><?xml version="1.0" encoding="utf-8"?>
<formControlPr xmlns="http://schemas.microsoft.com/office/spreadsheetml/2009/9/main" objectType="Drop" dropLines="30" dropStyle="Combo" dx="15" sel="16"/>
</file>

<file path=xl/ctrProps/ctrProp4.xml><?xml version="1.0" encoding="utf-8"?>
<formControlPr xmlns="http://schemas.microsoft.com/office/spreadsheetml/2009/9/main" objectType="Drop" dropLines="30" dropStyle="Combo" dx="15" sel="16"/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35.jpeg" /><Relationship Id="rId4" Type="http://schemas.openxmlformats.org/officeDocument/2006/relationships/image" Target="../media/image36.jpeg" /><Relationship Id="rId2" Type="http://schemas.openxmlformats.org/officeDocument/2006/relationships/image" Target="../media/image34.jpeg" /><Relationship Id="rId9" Type="http://schemas.openxmlformats.org/officeDocument/2006/relationships/image" Target="../media/image41.jpeg" /><Relationship Id="rId1" Type="http://schemas.openxmlformats.org/officeDocument/2006/relationships/image" Target="../media/image33.jpeg" /><Relationship Id="rId8" Type="http://schemas.openxmlformats.org/officeDocument/2006/relationships/image" Target="../media/image40.jpeg" /><Relationship Id="rId6" Type="http://schemas.openxmlformats.org/officeDocument/2006/relationships/image" Target="../media/image38.jpeg" /><Relationship Id="rId7" Type="http://schemas.openxmlformats.org/officeDocument/2006/relationships/image" Target="../media/image39.jpeg" /><Relationship Id="rId10" Type="http://schemas.openxmlformats.org/officeDocument/2006/relationships/image" Target="../media/image42.jpeg" /><Relationship Id="rId5" Type="http://schemas.openxmlformats.org/officeDocument/2006/relationships/image" Target="../media/image37.jpeg" /></Relationships>
</file>

<file path=xl/drawings/_rels/drawing10.xml.rels><?xml version="1.0" encoding="UTF-8" standalone="yes"?><Relationships xmlns="http://schemas.openxmlformats.org/package/2006/relationships"><Relationship Id="rId4" Type="http://schemas.openxmlformats.org/officeDocument/2006/relationships/image" Target="../media/image23.png" /><Relationship Id="rId2" Type="http://schemas.openxmlformats.org/officeDocument/2006/relationships/image" Target="../media/image26.png" /><Relationship Id="rId3" Type="http://schemas.openxmlformats.org/officeDocument/2006/relationships/image" Target="../media/image24.png" /><Relationship Id="rId1" Type="http://schemas.openxmlformats.org/officeDocument/2006/relationships/image" Target="../media/image25.png" /></Relationships>
</file>

<file path=xl/drawings/_rels/drawing11.xml.rels><?xml version="1.0" encoding="UTF-8" standalone="yes"?><Relationships xmlns="http://schemas.openxmlformats.org/package/2006/relationships"><Relationship Id="rId2" Type="http://schemas.openxmlformats.org/officeDocument/2006/relationships/image" Target="../media/image27.png" /><Relationship Id="rId1" Type="http://schemas.openxmlformats.org/officeDocument/2006/relationships/image" Target="../media/image28.png" /></Relationships>
</file>

<file path=xl/drawings/_rels/drawing12.xml.rels><?xml version="1.0" encoding="UTF-8" standalone="yes"?><Relationships xmlns="http://schemas.openxmlformats.org/package/2006/relationships"><Relationship Id="rId2" Type="http://schemas.openxmlformats.org/officeDocument/2006/relationships/image" Target="../media/image29.wmf" /><Relationship Id="rId3" Type="http://schemas.openxmlformats.org/officeDocument/2006/relationships/image" Target="../media/image28.wmf" /><Relationship Id="rId1" Type="http://schemas.openxmlformats.org/officeDocument/2006/relationships/image" Target="../media/image29.png" /></Relationships>
</file>

<file path=xl/drawings/_rels/drawing13.xml.rels><?xml version="1.0" encoding="UTF-8" standalone="yes"?><Relationships xmlns="http://schemas.openxmlformats.org/package/2006/relationships"><Relationship Id="rId4" Type="http://schemas.openxmlformats.org/officeDocument/2006/relationships/image" Target="../media/image30.png" /><Relationship Id="rId2" Type="http://schemas.openxmlformats.org/officeDocument/2006/relationships/image" Target="../media/image33.png" /><Relationship Id="rId3" Type="http://schemas.openxmlformats.org/officeDocument/2006/relationships/image" Target="../media/image31.png" /><Relationship Id="rId1" Type="http://schemas.openxmlformats.org/officeDocument/2006/relationships/image" Target="../media/image32.png" /></Relationships>
</file>

<file path=xl/drawings/_rels/drawing2.xml.rels><?xml version="1.0" encoding="UTF-8" standalone="yes"?><Relationships xmlns="http://schemas.openxmlformats.org/package/2006/relationships"><Relationship Id="rId3" Type="http://schemas.openxmlformats.org/officeDocument/2006/relationships/image" Target="../media/image45.jpeg" /><Relationship Id="rId4" Type="http://schemas.openxmlformats.org/officeDocument/2006/relationships/image" Target="../media/image46.jpeg" /><Relationship Id="rId2" Type="http://schemas.openxmlformats.org/officeDocument/2006/relationships/image" Target="../media/image44.jpeg" /><Relationship Id="rId1" Type="http://schemas.openxmlformats.org/officeDocument/2006/relationships/image" Target="../media/image43.jpeg" /><Relationship Id="rId6" Type="http://schemas.openxmlformats.org/officeDocument/2006/relationships/image" Target="../media/image48.jpeg" /><Relationship Id="rId5" Type="http://schemas.openxmlformats.org/officeDocument/2006/relationships/image" Target="../media/image47.jpeg" /></Relationships>
</file>

<file path=xl/drawings/_rels/drawing3.xml.rels><?xml version="1.0" encoding="UTF-8" standalone="yes"?><Relationships xmlns="http://schemas.openxmlformats.org/package/2006/relationships"><Relationship Id="rId3" Type="http://schemas.openxmlformats.org/officeDocument/2006/relationships/image" Target="../media/image51.jpeg" /><Relationship Id="rId4" Type="http://schemas.openxmlformats.org/officeDocument/2006/relationships/image" Target="../media/image52.jpeg" /><Relationship Id="rId2" Type="http://schemas.openxmlformats.org/officeDocument/2006/relationships/image" Target="../media/image50.jpeg" /><Relationship Id="rId1" Type="http://schemas.openxmlformats.org/officeDocument/2006/relationships/image" Target="../media/image49.jpeg" /><Relationship Id="rId8" Type="http://schemas.openxmlformats.org/officeDocument/2006/relationships/image" Target="../media/image56.jpeg" /><Relationship Id="rId6" Type="http://schemas.openxmlformats.org/officeDocument/2006/relationships/image" Target="../media/image54.jpeg" /><Relationship Id="rId7" Type="http://schemas.openxmlformats.org/officeDocument/2006/relationships/image" Target="../media/image55.jpeg" /><Relationship Id="rId5" Type="http://schemas.openxmlformats.org/officeDocument/2006/relationships/image" Target="../media/image53.jpeg" /></Relationships>
</file>

<file path=xl/drawings/_rels/drawing4.xml.rels><?xml version="1.0" encoding="UTF-8" standalone="yes"?><Relationships xmlns="http://schemas.openxmlformats.org/package/2006/relationships"><Relationship Id="rId5" Type="http://schemas.openxmlformats.org/officeDocument/2006/relationships/image" Target="../media/image61.jpeg" /><Relationship Id="rId4" Type="http://schemas.openxmlformats.org/officeDocument/2006/relationships/image" Target="../media/image60.jpeg" /><Relationship Id="rId2" Type="http://schemas.openxmlformats.org/officeDocument/2006/relationships/image" Target="../media/image58.jpeg" /><Relationship Id="rId3" Type="http://schemas.openxmlformats.org/officeDocument/2006/relationships/image" Target="../media/image59.jpeg" /><Relationship Id="rId1" Type="http://schemas.openxmlformats.org/officeDocument/2006/relationships/image" Target="../media/image57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image" Target="../media/image63.jpeg" /><Relationship Id="rId3" Type="http://schemas.openxmlformats.org/officeDocument/2006/relationships/image" Target="../media/image64.jpeg" /><Relationship Id="rId1" Type="http://schemas.openxmlformats.org/officeDocument/2006/relationships/image" Target="../media/image62.jpeg" /></Relationships>
</file>

<file path=xl/drawings/_rels/drawing6.xml.rels><?xml version="1.0" encoding="UTF-8" standalone="yes"?><Relationships xmlns="http://schemas.openxmlformats.org/package/2006/relationships"><Relationship Id="rId3" Type="http://schemas.openxmlformats.org/officeDocument/2006/relationships/image" Target="../media/image1.png" /><Relationship Id="rId4" Type="http://schemas.openxmlformats.org/officeDocument/2006/relationships/image" Target="../media/image2.png" /><Relationship Id="rId2" Type="http://schemas.openxmlformats.org/officeDocument/2006/relationships/image" Target="../media/image2.emf" /><Relationship Id="rId1" Type="http://schemas.openxmlformats.org/officeDocument/2006/relationships/image" Target="../media/image3.emf" /><Relationship Id="rId8" Type="http://schemas.openxmlformats.org/officeDocument/2006/relationships/image" Target="../media/image3.png" /><Relationship Id="rId6" Type="http://schemas.openxmlformats.org/officeDocument/2006/relationships/image" Target="../media/image4.png" /><Relationship Id="rId7" Type="http://schemas.openxmlformats.org/officeDocument/2006/relationships/image" Target="../media/image6.png" /><Relationship Id="rId5" Type="http://schemas.openxmlformats.org/officeDocument/2006/relationships/image" Target="../media/image5.png" /></Relationships>
</file>

<file path=xl/drawings/_rels/drawing7.xml.rels><?xml version="1.0" encoding="UTF-8" standalone="yes"?><Relationships xmlns="http://schemas.openxmlformats.org/package/2006/relationships"><Relationship Id="rId3" Type="http://schemas.openxmlformats.org/officeDocument/2006/relationships/image" Target="../media/image6.jpeg" /><Relationship Id="rId4" Type="http://schemas.openxmlformats.org/officeDocument/2006/relationships/image" Target="../media/image6.emf" /><Relationship Id="rId2" Type="http://schemas.openxmlformats.org/officeDocument/2006/relationships/image" Target="../media/image7.jpeg" /><Relationship Id="rId9" Type="http://schemas.openxmlformats.org/officeDocument/2006/relationships/image" Target="../media/image7.emf" /><Relationship Id="rId1" Type="http://schemas.openxmlformats.org/officeDocument/2006/relationships/image" Target="../media/image7.png" /><Relationship Id="rId8" Type="http://schemas.openxmlformats.org/officeDocument/2006/relationships/image" Target="../media/image8.emf" /><Relationship Id="rId6" Type="http://schemas.openxmlformats.org/officeDocument/2006/relationships/image" Target="../media/image9.emf" /><Relationship Id="rId7" Type="http://schemas.openxmlformats.org/officeDocument/2006/relationships/image" Target="../media/image11.emf" /><Relationship Id="rId5" Type="http://schemas.openxmlformats.org/officeDocument/2006/relationships/image" Target="../media/image10.emf" /></Relationships>
</file>

<file path=xl/drawings/_rels/drawing8.xml.rels><?xml version="1.0" encoding="UTF-8" standalone="yes"?><Relationships xmlns="http://schemas.openxmlformats.org/package/2006/relationships"><Relationship Id="rId4" Type="http://schemas.openxmlformats.org/officeDocument/2006/relationships/image" Target="../media/image11.png" /><Relationship Id="rId2" Type="http://schemas.openxmlformats.org/officeDocument/2006/relationships/image" Target="../media/image7.png" /><Relationship Id="rId3" Type="http://schemas.openxmlformats.org/officeDocument/2006/relationships/image" Target="../media/image12.png" /><Relationship Id="rId1" Type="http://schemas.openxmlformats.org/officeDocument/2006/relationships/image" Target="../media/image12.jpeg" /></Relationships>
</file>

<file path=xl/drawings/_rels/drawing9.xml.rels><?xml version="1.0" encoding="UTF-8" standalone="yes"?><Relationships xmlns="http://schemas.openxmlformats.org/package/2006/relationships"><Relationship Id="rId14" Type="http://schemas.openxmlformats.org/officeDocument/2006/relationships/image" Target="../media/image15.emf" /><Relationship Id="rId1" Type="http://schemas.openxmlformats.org/officeDocument/2006/relationships/image" Target="../media/image12.emf" /><Relationship Id="rId5" Type="http://schemas.openxmlformats.org/officeDocument/2006/relationships/image" Target="../media/image13.png" /><Relationship Id="rId9" Type="http://schemas.openxmlformats.org/officeDocument/2006/relationships/image" Target="../media/image14.png" /><Relationship Id="rId6" Type="http://schemas.openxmlformats.org/officeDocument/2006/relationships/image" Target="../media/image21.png" /><Relationship Id="rId15" Type="http://schemas.openxmlformats.org/officeDocument/2006/relationships/image" Target="../media/image16.emf" /><Relationship Id="rId2" Type="http://schemas.openxmlformats.org/officeDocument/2006/relationships/image" Target="../media/image16.png" /><Relationship Id="rId4" Type="http://schemas.openxmlformats.org/officeDocument/2006/relationships/image" Target="../media/image17.png" /><Relationship Id="rId10" Type="http://schemas.openxmlformats.org/officeDocument/2006/relationships/image" Target="../media/image17.emf" /><Relationship Id="rId11" Type="http://schemas.openxmlformats.org/officeDocument/2006/relationships/image" Target="../media/image18.emf" /><Relationship Id="rId12" Type="http://schemas.openxmlformats.org/officeDocument/2006/relationships/image" Target="../media/image19.emf" /><Relationship Id="rId13" Type="http://schemas.openxmlformats.org/officeDocument/2006/relationships/image" Target="../media/image20.emf" /><Relationship Id="rId3" Type="http://schemas.openxmlformats.org/officeDocument/2006/relationships/image" Target="../media/image20.png" /><Relationship Id="rId7" Type="http://schemas.openxmlformats.org/officeDocument/2006/relationships/image" Target="../media/image15.png" /><Relationship Id="rId8" Type="http://schemas.openxmlformats.org/officeDocument/2006/relationships/image" Target="../media/image22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9</xdr:col>
      <xdr:colOff>1276349</xdr:colOff>
      <xdr:row>31</xdr:row>
      <xdr:rowOff>9525</xdr:rowOff>
    </xdr:from>
    <xdr:to>
      <xdr:col>10</xdr:col>
      <xdr:colOff>2396025</xdr:colOff>
      <xdr:row>49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86850" y="8448675"/>
          <a:ext cx="3857625" cy="4067175"/>
        </a:xfrm>
        <a:prstGeom prst="rect"/>
      </xdr:spPr>
    </xdr:pic>
    <xdr:clientData/>
  </xdr:twoCellAnchor>
  <xdr:twoCellAnchor editAs="oneCell">
    <xdr:from>
      <xdr:col>4</xdr:col>
      <xdr:colOff>419100</xdr:colOff>
      <xdr:row>52</xdr:row>
      <xdr:rowOff>85725</xdr:rowOff>
    </xdr:from>
    <xdr:to>
      <xdr:col>9</xdr:col>
      <xdr:colOff>2580988</xdr:colOff>
      <xdr:row>66</xdr:row>
      <xdr:rowOff>19051</xdr:rowOff>
    </xdr:to>
    <xdr:pic>
      <xdr:nvPicPr>
        <xdr:cNvPr id="23" name="Рисунок 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10075" y="13173075"/>
          <a:ext cx="5981700" cy="3781425"/>
        </a:xfrm>
        <a:prstGeom prst="rect"/>
      </xdr:spPr>
    </xdr:pic>
    <xdr:clientData/>
  </xdr:twoCellAnchor>
  <xdr:twoCellAnchor editAs="oneCell">
    <xdr:from>
      <xdr:col>4</xdr:col>
      <xdr:colOff>609600</xdr:colOff>
      <xdr:row>31</xdr:row>
      <xdr:rowOff>19049</xdr:rowOff>
    </xdr:from>
    <xdr:to>
      <xdr:col>9</xdr:col>
      <xdr:colOff>1170560</xdr:colOff>
      <xdr:row>48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00575" y="8458200"/>
          <a:ext cx="4381500" cy="3886200"/>
        </a:xfrm>
        <a:prstGeom prst="rect"/>
      </xdr:spPr>
    </xdr:pic>
    <xdr:clientData/>
  </xdr:twoCellAnchor>
  <xdr:oneCellAnchor>
    <xdr:from>
      <xdr:col>0</xdr:col>
      <xdr:colOff>647700</xdr:colOff>
      <xdr:row>0</xdr:row>
      <xdr:rowOff>0</xdr:rowOff>
    </xdr:from>
    <xdr:ext cx="10029825" cy="600075"/>
    <xdr:sp macro="" fLocksText="0">
      <xdr:nvSpPr>
        <xdr:cNvPr id="3" name="Прямоугольник 2"/>
        <xdr:cNvSpPr/>
      </xdr:nvSpPr>
      <xdr:spPr>
        <a:xfrm>
          <a:off x="647700" y="0"/>
          <a:ext cx="10029825" cy="600075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HF</a:t>
          </a:r>
          <a:r>
            <a:rPr lang="ru-RU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 </a:t>
          </a:r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top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>
    <xdr:from>
      <xdr:col>10</xdr:col>
      <xdr:colOff>2014566</xdr:colOff>
      <xdr:row>37</xdr:row>
      <xdr:rowOff>92848</xdr:rowOff>
    </xdr:from>
    <xdr:to>
      <xdr:col>11</xdr:col>
      <xdr:colOff>479258</xdr:colOff>
      <xdr:row>37</xdr:row>
      <xdr:rowOff>93245</xdr:rowOff>
    </xdr:to>
    <xdr:cxnSp macro="">
      <xdr:nvCxnSpPr>
        <xdr:cNvPr id="7" name="Прямая соединительная линия 6"/>
        <xdr:cNvCxnSpPr/>
      </xdr:nvCxnSpPr>
      <xdr:spPr>
        <a:xfrm>
          <a:off x="12563475" y="10267950"/>
          <a:ext cx="904875" cy="0"/>
        </a:xfrm>
        <a:prstGeom prst="line"/>
        <a:ln w="15875">
          <a:solidFill>
            <a:schemeClr val="tx1">
              <a:shade val="95000"/>
              <a:satMod val="105000"/>
            </a:schemeClr>
          </a:solidFill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342900</xdr:colOff>
      <xdr:row>37</xdr:row>
      <xdr:rowOff>114300</xdr:rowOff>
    </xdr:from>
    <xdr:to>
      <xdr:col>11</xdr:col>
      <xdr:colOff>352425</xdr:colOff>
      <xdr:row>43</xdr:row>
      <xdr:rowOff>219075</xdr:rowOff>
    </xdr:to>
    <xdr:cxnSp macro="">
      <xdr:nvCxnSpPr>
        <xdr:cNvPr id="8" name="Прямая со стрелкой 7"/>
        <xdr:cNvCxnSpPr/>
      </xdr:nvCxnSpPr>
      <xdr:spPr>
        <a:xfrm flipH="1" flipV="1">
          <a:off x="13335000" y="10287000"/>
          <a:ext cx="9525" cy="1228725"/>
        </a:xfrm>
        <a:prstGeom prst="straightConnector1"/>
        <a:ln>
          <a:solidFill>
            <a:schemeClr val="tx1">
              <a:shade val="95000"/>
              <a:satMod val="105000"/>
            </a:schemeClr>
          </a:solidFill>
          <a:headEnd type="triangle"/>
          <a:tailEnd type="triangle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2164880</xdr:colOff>
      <xdr:row>48</xdr:row>
      <xdr:rowOff>94154</xdr:rowOff>
    </xdr:from>
    <xdr:to>
      <xdr:col>11</xdr:col>
      <xdr:colOff>618367</xdr:colOff>
      <xdr:row>48</xdr:row>
      <xdr:rowOff>95478</xdr:rowOff>
    </xdr:to>
    <xdr:cxnSp macro="">
      <xdr:nvCxnSpPr>
        <xdr:cNvPr id="9" name="Прямая соединительная линия 8"/>
        <xdr:cNvCxnSpPr/>
      </xdr:nvCxnSpPr>
      <xdr:spPr>
        <a:xfrm flipV="1">
          <a:off x="12706350" y="12430125"/>
          <a:ext cx="904875" cy="0"/>
        </a:xfrm>
        <a:prstGeom prst="line"/>
        <a:ln w="9525">
          <a:solidFill>
            <a:schemeClr val="tx1">
              <a:shade val="95000"/>
              <a:satMod val="105000"/>
            </a:schemeClr>
          </a:solidFill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2028160</xdr:colOff>
      <xdr:row>43</xdr:row>
      <xdr:rowOff>237357</xdr:rowOff>
    </xdr:from>
    <xdr:to>
      <xdr:col>11</xdr:col>
      <xdr:colOff>499310</xdr:colOff>
      <xdr:row>43</xdr:row>
      <xdr:rowOff>238627</xdr:rowOff>
    </xdr:to>
    <xdr:cxnSp macro="">
      <xdr:nvCxnSpPr>
        <xdr:cNvPr id="10" name="Прямая соединительная линия 9"/>
        <xdr:cNvCxnSpPr/>
      </xdr:nvCxnSpPr>
      <xdr:spPr>
        <a:xfrm>
          <a:off x="12573000" y="11534775"/>
          <a:ext cx="914400" cy="0"/>
        </a:xfrm>
        <a:prstGeom prst="line"/>
        <a:ln w="15875">
          <a:solidFill>
            <a:schemeClr val="tx1">
              <a:shade val="95000"/>
              <a:satMod val="105000"/>
            </a:schemeClr>
          </a:solidFill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532772</xdr:colOff>
      <xdr:row>52</xdr:row>
      <xdr:rowOff>190500</xdr:rowOff>
    </xdr:from>
    <xdr:to>
      <xdr:col>4</xdr:col>
      <xdr:colOff>542925</xdr:colOff>
      <xdr:row>57</xdr:row>
      <xdr:rowOff>19050</xdr:rowOff>
    </xdr:to>
    <xdr:cxnSp macro="">
      <xdr:nvCxnSpPr>
        <xdr:cNvPr id="12" name="Прямая со стрелкой 11"/>
        <xdr:cNvCxnSpPr/>
      </xdr:nvCxnSpPr>
      <xdr:spPr>
        <a:xfrm>
          <a:off x="4524375" y="13277850"/>
          <a:ext cx="9525" cy="1543050"/>
        </a:xfrm>
        <a:prstGeom prst="straightConnector1"/>
        <a:ln w="22225">
          <a:solidFill>
            <a:schemeClr val="tx1">
              <a:shade val="95000"/>
              <a:satMod val="105000"/>
            </a:schemeClr>
          </a:solidFill>
          <a:headEnd type="triangle"/>
          <a:tailEnd type="triangle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1647825</xdr:colOff>
      <xdr:row>2</xdr:row>
      <xdr:rowOff>12435</xdr:rowOff>
    </xdr:from>
    <xdr:to>
      <xdr:col>11</xdr:col>
      <xdr:colOff>280</xdr:colOff>
      <xdr:row>13</xdr:row>
      <xdr:rowOff>32657</xdr:rowOff>
    </xdr:to>
    <xdr:pic>
      <xdr:nvPicPr>
        <xdr:cNvPr id="15" name="Grafik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58325" y="609600"/>
          <a:ext cx="3533775" cy="2600325"/>
        </a:xfrm>
        <a:prstGeom prst="rect"/>
      </xdr:spPr>
    </xdr:pic>
    <xdr:clientData/>
  </xdr:twoCellAnchor>
  <xdr:twoCellAnchor editAs="oneCell">
    <xdr:from>
      <xdr:col>0</xdr:col>
      <xdr:colOff>0</xdr:colOff>
      <xdr:row>77</xdr:row>
      <xdr:rowOff>76200</xdr:rowOff>
    </xdr:from>
    <xdr:to>
      <xdr:col>4</xdr:col>
      <xdr:colOff>419100</xdr:colOff>
      <xdr:row>101</xdr:row>
      <xdr:rowOff>72028</xdr:rowOff>
    </xdr:to>
    <xdr:pic>
      <xdr:nvPicPr>
        <xdr:cNvPr id="27" name="Рисунок 2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9278600"/>
          <a:ext cx="4410075" cy="4219575"/>
        </a:xfrm>
        <a:prstGeom prst="rect"/>
      </xdr:spPr>
    </xdr:pic>
    <xdr:clientData/>
  </xdr:twoCellAnchor>
  <xdr:twoCellAnchor editAs="oneCell">
    <xdr:from>
      <xdr:col>5</xdr:col>
      <xdr:colOff>152400</xdr:colOff>
      <xdr:row>77</xdr:row>
      <xdr:rowOff>88914</xdr:rowOff>
    </xdr:from>
    <xdr:to>
      <xdr:col>11</xdr:col>
      <xdr:colOff>1604291</xdr:colOff>
      <xdr:row>104</xdr:row>
      <xdr:rowOff>152399</xdr:rowOff>
    </xdr:to>
    <xdr:pic>
      <xdr:nvPicPr>
        <xdr:cNvPr id="29" name="Рисунок 2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829175" y="19288125"/>
          <a:ext cx="9763125" cy="4772025"/>
        </a:xfrm>
        <a:prstGeom prst="rect"/>
      </xdr:spPr>
    </xdr:pic>
    <xdr:clientData/>
  </xdr:twoCellAnchor>
  <xdr:twoCellAnchor editAs="oneCell">
    <xdr:from>
      <xdr:col>0</xdr:col>
      <xdr:colOff>0</xdr:colOff>
      <xdr:row>101</xdr:row>
      <xdr:rowOff>97354</xdr:rowOff>
    </xdr:from>
    <xdr:to>
      <xdr:col>9</xdr:col>
      <xdr:colOff>2047874</xdr:colOff>
      <xdr:row>135</xdr:row>
      <xdr:rowOff>69689</xdr:rowOff>
    </xdr:to>
    <xdr:pic>
      <xdr:nvPicPr>
        <xdr:cNvPr id="30" name="Рисунок 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23517225"/>
          <a:ext cx="9858375" cy="5476875"/>
        </a:xfrm>
        <a:prstGeom prst="rect"/>
      </xdr:spPr>
    </xdr:pic>
    <xdr:clientData/>
  </xdr:twoCellAnchor>
  <xdr:twoCellAnchor editAs="oneCell">
    <xdr:from>
      <xdr:col>0</xdr:col>
      <xdr:colOff>0</xdr:colOff>
      <xdr:row>135</xdr:row>
      <xdr:rowOff>57150</xdr:rowOff>
    </xdr:from>
    <xdr:to>
      <xdr:col>9</xdr:col>
      <xdr:colOff>1743075</xdr:colOff>
      <xdr:row>158</xdr:row>
      <xdr:rowOff>68528</xdr:rowOff>
    </xdr:to>
    <xdr:pic>
      <xdr:nvPicPr>
        <xdr:cNvPr id="2" name="Рисунок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28984575"/>
          <a:ext cx="9553575" cy="3733800"/>
        </a:xfrm>
        <a:prstGeom prst="rect"/>
      </xdr:spPr>
    </xdr:pic>
    <xdr:clientData/>
  </xdr:twoCellAnchor>
  <xdr:twoCellAnchor editAs="oneCell">
    <xdr:from>
      <xdr:col>9</xdr:col>
      <xdr:colOff>1752600</xdr:colOff>
      <xdr:row>135</xdr:row>
      <xdr:rowOff>47625</xdr:rowOff>
    </xdr:from>
    <xdr:to>
      <xdr:col>11</xdr:col>
      <xdr:colOff>824262</xdr:colOff>
      <xdr:row>158</xdr:row>
      <xdr:rowOff>76200</xdr:rowOff>
    </xdr:to>
    <xdr:pic>
      <xdr:nvPicPr>
        <xdr:cNvPr id="5" name="Рисунок 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563100" y="28975050"/>
          <a:ext cx="4257675" cy="3752850"/>
        </a:xfrm>
        <a:prstGeom prst="rect"/>
      </xdr:spPr>
    </xdr:pic>
    <xdr:clientData/>
  </xdr:twoCellAnchor>
  <xdr:twoCellAnchor editAs="oneCell">
    <xdr:from>
      <xdr:col>0</xdr:col>
      <xdr:colOff>0</xdr:colOff>
      <xdr:row>158</xdr:row>
      <xdr:rowOff>47625</xdr:rowOff>
    </xdr:from>
    <xdr:to>
      <xdr:col>11</xdr:col>
      <xdr:colOff>845818</xdr:colOff>
      <xdr:row>198</xdr:row>
      <xdr:rowOff>57149</xdr:rowOff>
    </xdr:to>
    <xdr:pic>
      <xdr:nvPicPr>
        <xdr:cNvPr id="11" name="Рисунок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32699325"/>
          <a:ext cx="13839825" cy="6486525"/>
        </a:xfrm>
        <a:prstGeom prst="rect"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104775</xdr:colOff>
      <xdr:row>16</xdr:row>
      <xdr:rowOff>28575</xdr:rowOff>
    </xdr:from>
    <xdr:to>
      <xdr:col>8</xdr:col>
      <xdr:colOff>695325</xdr:colOff>
      <xdr:row>29</xdr:row>
      <xdr:rowOff>114300</xdr:rowOff>
    </xdr:to>
    <xdr:pic>
      <xdr:nvPicPr>
        <xdr:cNvPr id="15632" name="Рисунок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62475" y="3695700"/>
          <a:ext cx="3981450" cy="22288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1514475</xdr:colOff>
      <xdr:row>0</xdr:row>
      <xdr:rowOff>9525</xdr:rowOff>
    </xdr:from>
    <xdr:ext cx="8115300" cy="533400"/>
    <xdr:sp macro="" fLocksText="0">
      <xdr:nvSpPr>
        <xdr:cNvPr id="2" name="Прямоугольник 1"/>
        <xdr:cNvSpPr/>
      </xdr:nvSpPr>
      <xdr:spPr>
        <a:xfrm>
          <a:off x="1514475" y="9525"/>
          <a:ext cx="8115300" cy="53340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endParaRPr lang="ru-RU" sz="54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oneCellAnchor>
    <xdr:from>
      <xdr:col>0</xdr:col>
      <xdr:colOff>19050</xdr:colOff>
      <xdr:row>0</xdr:row>
      <xdr:rowOff>0</xdr:rowOff>
    </xdr:from>
    <xdr:ext cx="8648700" cy="523875"/>
    <xdr:sp macro="" fLocksText="0">
      <xdr:nvSpPr>
        <xdr:cNvPr id="4" name="Прямоугольник 3"/>
        <xdr:cNvSpPr/>
      </xdr:nvSpPr>
      <xdr:spPr>
        <a:xfrm>
          <a:off x="19050" y="0"/>
          <a:ext cx="8648700" cy="523875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2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TANDEMBOX intivo</a:t>
          </a:r>
          <a:endParaRPr lang="ru-RU" sz="32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66675</xdr:colOff>
      <xdr:row>46</xdr:row>
      <xdr:rowOff>38100</xdr:rowOff>
    </xdr:from>
    <xdr:to>
      <xdr:col>8</xdr:col>
      <xdr:colOff>809625</xdr:colOff>
      <xdr:row>59</xdr:row>
      <xdr:rowOff>123825</xdr:rowOff>
    </xdr:to>
    <xdr:pic>
      <xdr:nvPicPr>
        <xdr:cNvPr id="8" name="Рисунок 2"/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24375" y="9344025"/>
          <a:ext cx="4133850" cy="22288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60</xdr:row>
      <xdr:rowOff>28575</xdr:rowOff>
    </xdr:from>
    <xdr:to>
      <xdr:col>8</xdr:col>
      <xdr:colOff>828675</xdr:colOff>
      <xdr:row>73</xdr:row>
      <xdr:rowOff>161925</xdr:rowOff>
    </xdr:to>
    <xdr:pic>
      <xdr:nvPicPr>
        <xdr:cNvPr id="9" name="Рисунок 3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86275" y="11639550"/>
          <a:ext cx="4191000" cy="22383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30</xdr:row>
      <xdr:rowOff>9525</xdr:rowOff>
    </xdr:from>
    <xdr:ext cx="8677275" cy="542925"/>
    <xdr:sp macro="" fLocksText="0">
      <xdr:nvSpPr>
        <xdr:cNvPr id="10" name="Прямоугольник 9"/>
        <xdr:cNvSpPr/>
      </xdr:nvSpPr>
      <xdr:spPr>
        <a:xfrm>
          <a:off x="0" y="5991225"/>
          <a:ext cx="8677275" cy="542925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2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TANDEMBOX antaro</a:t>
          </a:r>
          <a:endParaRPr lang="ru-RU" sz="32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19050</xdr:colOff>
      <xdr:row>90</xdr:row>
      <xdr:rowOff>28575</xdr:rowOff>
    </xdr:from>
    <xdr:to>
      <xdr:col>8</xdr:col>
      <xdr:colOff>800100</xdr:colOff>
      <xdr:row>104</xdr:row>
      <xdr:rowOff>9525</xdr:rowOff>
    </xdr:to>
    <xdr:pic>
      <xdr:nvPicPr>
        <xdr:cNvPr id="11" name="Рисунок 3"/>
        <xdr:cNvPicPr>
          <a:picLocks noChangeArrowheads="1"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6750" y="17230725"/>
          <a:ext cx="4171950" cy="22860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</xdr:colOff>
      <xdr:row>74</xdr:row>
      <xdr:rowOff>38100</xdr:rowOff>
    </xdr:from>
    <xdr:ext cx="8658225" cy="476250"/>
    <xdr:sp macro="" fLocksText="0">
      <xdr:nvSpPr>
        <xdr:cNvPr id="12" name="Прямоугольник 11"/>
        <xdr:cNvSpPr/>
      </xdr:nvSpPr>
      <xdr:spPr>
        <a:xfrm>
          <a:off x="38100" y="13925550"/>
          <a:ext cx="8658225" cy="47625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2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TANDEMBOX</a:t>
          </a:r>
          <a:r>
            <a:rPr lang="en-US" sz="3200" b="0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 plus</a:t>
          </a:r>
          <a:endParaRPr lang="ru-RU" sz="32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9</xdr:row>
      <xdr:rowOff>38100</xdr:rowOff>
    </xdr:from>
    <xdr:to>
      <xdr:col>6</xdr:col>
      <xdr:colOff>781050</xdr:colOff>
      <xdr:row>35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229100"/>
          <a:ext cx="8496300" cy="5086350"/>
        </a:xfrm>
        <a:prstGeom prst="rect"/>
      </xdr:spPr>
    </xdr:pic>
    <xdr:clientData/>
  </xdr:twoCellAnchor>
  <xdr:twoCellAnchor editAs="oneCell">
    <xdr:from>
      <xdr:col>7</xdr:col>
      <xdr:colOff>28576</xdr:colOff>
      <xdr:row>9</xdr:row>
      <xdr:rowOff>38101</xdr:rowOff>
    </xdr:from>
    <xdr:to>
      <xdr:col>8</xdr:col>
      <xdr:colOff>1476375</xdr:colOff>
      <xdr:row>20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43925" y="4229100"/>
          <a:ext cx="2943225" cy="2066925"/>
        </a:xfrm>
        <a:prstGeom prst="rect"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7</xdr:row>
      <xdr:rowOff>40190</xdr:rowOff>
    </xdr:from>
    <xdr:to>
      <xdr:col>6</xdr:col>
      <xdr:colOff>971550</xdr:colOff>
      <xdr:row>32</xdr:row>
      <xdr:rowOff>135968</xdr:rowOff>
    </xdr:to>
    <xdr:pic>
      <xdr:nvPicPr>
        <xdr:cNvPr id="3" name="Рисунок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429000"/>
          <a:ext cx="8715375" cy="4876800"/>
        </a:xfrm>
        <a:prstGeom prst="rect"/>
      </xdr:spPr>
    </xdr:pic>
    <xdr:clientData/>
  </xdr:twoCellAnchor>
  <xdr:twoCellAnchor editAs="oneCell">
    <xdr:from>
      <xdr:col>7</xdr:col>
      <xdr:colOff>304802</xdr:colOff>
      <xdr:row>7</xdr:row>
      <xdr:rowOff>28575</xdr:rowOff>
    </xdr:from>
    <xdr:to>
      <xdr:col>8</xdr:col>
      <xdr:colOff>1219201</xdr:colOff>
      <xdr:row>12</xdr:row>
      <xdr:rowOff>161925</xdr:rowOff>
    </xdr:to>
    <xdr:pic>
      <xdr:nvPicPr>
        <xdr:cNvPr id="5" name="Рисунок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39225" y="3419475"/>
          <a:ext cx="2409825" cy="1085850"/>
        </a:xfrm>
        <a:prstGeom prst="rect"/>
        <a:noFill/>
        <a:ln>
          <a:noFill/>
        </a:ln>
      </xdr:spPr>
    </xdr:pic>
    <xdr:clientData/>
  </xdr:twoCellAnchor>
  <xdr:twoCellAnchor editAs="oneCell">
    <xdr:from>
      <xdr:col>9</xdr:col>
      <xdr:colOff>28575</xdr:colOff>
      <xdr:row>7</xdr:row>
      <xdr:rowOff>19050</xdr:rowOff>
    </xdr:from>
    <xdr:to>
      <xdr:col>10</xdr:col>
      <xdr:colOff>0</xdr:colOff>
      <xdr:row>12</xdr:row>
      <xdr:rowOff>171450</xdr:rowOff>
    </xdr:to>
    <xdr:pic>
      <xdr:nvPicPr>
        <xdr:cNvPr id="9" name="Рисунок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63375" y="3409950"/>
          <a:ext cx="1552575" cy="1104900"/>
        </a:xfrm>
        <a:prstGeom prst="rect"/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19049</xdr:colOff>
      <xdr:row>1</xdr:row>
      <xdr:rowOff>17190</xdr:rowOff>
    </xdr:from>
    <xdr:to>
      <xdr:col>1</xdr:col>
      <xdr:colOff>3087774</xdr:colOff>
      <xdr:row>1</xdr:row>
      <xdr:rowOff>1409699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0" y="571500"/>
          <a:ext cx="3676650" cy="1390650"/>
        </a:xfrm>
        <a:prstGeom prst="rect"/>
      </xdr:spPr>
    </xdr:pic>
    <xdr:clientData/>
  </xdr:twoCellAnchor>
  <xdr:twoCellAnchor editAs="oneCell">
    <xdr:from>
      <xdr:col>3</xdr:col>
      <xdr:colOff>390525</xdr:colOff>
      <xdr:row>1</xdr:row>
      <xdr:rowOff>76200</xdr:rowOff>
    </xdr:from>
    <xdr:to>
      <xdr:col>3</xdr:col>
      <xdr:colOff>1981200</xdr:colOff>
      <xdr:row>1</xdr:row>
      <xdr:rowOff>1390650</xdr:rowOff>
    </xdr:to>
    <xdr:pic>
      <xdr:nvPicPr>
        <xdr:cNvPr id="4" name="Рисунок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48500" y="628650"/>
          <a:ext cx="1590675" cy="1314450"/>
        </a:xfrm>
        <a:prstGeom prst="rect"/>
      </xdr:spPr>
    </xdr:pic>
    <xdr:clientData/>
  </xdr:twoCellAnchor>
  <xdr:twoCellAnchor editAs="oneCell">
    <xdr:from>
      <xdr:col>2</xdr:col>
      <xdr:colOff>419100</xdr:colOff>
      <xdr:row>1</xdr:row>
      <xdr:rowOff>28575</xdr:rowOff>
    </xdr:from>
    <xdr:to>
      <xdr:col>2</xdr:col>
      <xdr:colOff>2047875</xdr:colOff>
      <xdr:row>1</xdr:row>
      <xdr:rowOff>1390650</xdr:rowOff>
    </xdr:to>
    <xdr:pic>
      <xdr:nvPicPr>
        <xdr:cNvPr id="5" name="Рисунок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819650" y="581025"/>
          <a:ext cx="1628775" cy="1362075"/>
        </a:xfrm>
        <a:prstGeom prst="rect"/>
      </xdr:spPr>
    </xdr:pic>
    <xdr:clientData/>
  </xdr:twoCellAnchor>
  <xdr:twoCellAnchor editAs="oneCell">
    <xdr:from>
      <xdr:col>4</xdr:col>
      <xdr:colOff>0</xdr:colOff>
      <xdr:row>1</xdr:row>
      <xdr:rowOff>1</xdr:rowOff>
    </xdr:from>
    <xdr:to>
      <xdr:col>5</xdr:col>
      <xdr:colOff>1</xdr:colOff>
      <xdr:row>2</xdr:row>
      <xdr:rowOff>20935</xdr:rowOff>
    </xdr:to>
    <xdr:pic>
      <xdr:nvPicPr>
        <xdr:cNvPr id="6" name="Рисунок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10700" y="552450"/>
          <a:ext cx="2781300" cy="143827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0</xdr:colOff>
      <xdr:row>0</xdr:row>
      <xdr:rowOff>0</xdr:rowOff>
    </xdr:from>
    <xdr:ext cx="12134850" cy="609600"/>
    <xdr:sp macro="" fLocksText="0">
      <xdr:nvSpPr>
        <xdr:cNvPr id="3" name="Прямоугольник 2"/>
        <xdr:cNvSpPr/>
      </xdr:nvSpPr>
      <xdr:spPr>
        <a:xfrm>
          <a:off x="0" y="0"/>
          <a:ext cx="12134850" cy="60960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HS top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10</xdr:col>
      <xdr:colOff>17991</xdr:colOff>
      <xdr:row>2</xdr:row>
      <xdr:rowOff>20108</xdr:rowOff>
    </xdr:from>
    <xdr:to>
      <xdr:col>11</xdr:col>
      <xdr:colOff>1589614</xdr:colOff>
      <xdr:row>8</xdr:row>
      <xdr:rowOff>370417</xdr:rowOff>
    </xdr:to>
    <xdr:pic>
      <xdr:nvPicPr>
        <xdr:cNvPr id="7" name="Рисунок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82550" y="866775"/>
          <a:ext cx="3429000" cy="2886075"/>
        </a:xfrm>
        <a:prstGeom prst="rect"/>
      </xdr:spPr>
    </xdr:pic>
    <xdr:clientData/>
  </xdr:twoCellAnchor>
  <xdr:twoCellAnchor editAs="oneCell">
    <xdr:from>
      <xdr:col>0</xdr:col>
      <xdr:colOff>0</xdr:colOff>
      <xdr:row>26</xdr:row>
      <xdr:rowOff>61384</xdr:rowOff>
    </xdr:from>
    <xdr:to>
      <xdr:col>3</xdr:col>
      <xdr:colOff>326055</xdr:colOff>
      <xdr:row>55</xdr:row>
      <xdr:rowOff>99484</xdr:rowOff>
    </xdr:to>
    <xdr:pic>
      <xdr:nvPicPr>
        <xdr:cNvPr id="9" name="Рисунок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8267700"/>
          <a:ext cx="5095875" cy="4733925"/>
        </a:xfrm>
        <a:prstGeom prst="rect"/>
      </xdr:spPr>
    </xdr:pic>
    <xdr:clientData/>
  </xdr:twoCellAnchor>
  <xdr:twoCellAnchor editAs="oneCell">
    <xdr:from>
      <xdr:col>3</xdr:col>
      <xdr:colOff>342900</xdr:colOff>
      <xdr:row>28</xdr:row>
      <xdr:rowOff>50799</xdr:rowOff>
    </xdr:from>
    <xdr:to>
      <xdr:col>8</xdr:col>
      <xdr:colOff>987022</xdr:colOff>
      <xdr:row>58</xdr:row>
      <xdr:rowOff>966</xdr:rowOff>
    </xdr:to>
    <xdr:pic>
      <xdr:nvPicPr>
        <xdr:cNvPr id="10" name="Рисунок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14925" y="8582025"/>
          <a:ext cx="6391275" cy="4810125"/>
        </a:xfrm>
        <a:prstGeom prst="rect"/>
      </xdr:spPr>
    </xdr:pic>
    <xdr:clientData/>
  </xdr:twoCellAnchor>
  <xdr:twoCellAnchor editAs="oneCell">
    <xdr:from>
      <xdr:col>0</xdr:col>
      <xdr:colOff>0</xdr:colOff>
      <xdr:row>89</xdr:row>
      <xdr:rowOff>97366</xdr:rowOff>
    </xdr:from>
    <xdr:to>
      <xdr:col>8</xdr:col>
      <xdr:colOff>1001514</xdr:colOff>
      <xdr:row>116</xdr:row>
      <xdr:rowOff>47625</xdr:rowOff>
    </xdr:to>
    <xdr:pic>
      <xdr:nvPicPr>
        <xdr:cNvPr id="12" name="Рисунок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507075"/>
          <a:ext cx="11515725" cy="4324350"/>
        </a:xfrm>
        <a:prstGeom prst="rect"/>
      </xdr:spPr>
    </xdr:pic>
    <xdr:clientData/>
  </xdr:twoCellAnchor>
  <xdr:twoCellAnchor editAs="oneCell">
    <xdr:from>
      <xdr:col>0</xdr:col>
      <xdr:colOff>1</xdr:colOff>
      <xdr:row>55</xdr:row>
      <xdr:rowOff>114299</xdr:rowOff>
    </xdr:from>
    <xdr:to>
      <xdr:col>8</xdr:col>
      <xdr:colOff>1011021</xdr:colOff>
      <xdr:row>89</xdr:row>
      <xdr:rowOff>110602</xdr:rowOff>
    </xdr:to>
    <xdr:pic>
      <xdr:nvPicPr>
        <xdr:cNvPr id="14" name="Рисунок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3020675"/>
          <a:ext cx="11525250" cy="5505450"/>
        </a:xfrm>
        <a:prstGeom prst="rect"/>
      </xdr:spPr>
    </xdr:pic>
    <xdr:clientData/>
  </xdr:twoCellAnchor>
  <xdr:twoCellAnchor editAs="oneCell">
    <xdr:from>
      <xdr:col>0</xdr:col>
      <xdr:colOff>38101</xdr:colOff>
      <xdr:row>116</xdr:row>
      <xdr:rowOff>95251</xdr:rowOff>
    </xdr:from>
    <xdr:to>
      <xdr:col>3</xdr:col>
      <xdr:colOff>832785</xdr:colOff>
      <xdr:row>146</xdr:row>
      <xdr:rowOff>133350</xdr:rowOff>
    </xdr:to>
    <xdr:pic>
      <xdr:nvPicPr>
        <xdr:cNvPr id="15" name="Рисунок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100" y="22879050"/>
          <a:ext cx="5562600" cy="48958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0</xdr:colOff>
      <xdr:row>0</xdr:row>
      <xdr:rowOff>0</xdr:rowOff>
    </xdr:from>
    <xdr:ext cx="8629650" cy="514350"/>
    <xdr:sp macro="" fLocksText="0">
      <xdr:nvSpPr>
        <xdr:cNvPr id="2" name="Прямоугольник 1"/>
        <xdr:cNvSpPr/>
      </xdr:nvSpPr>
      <xdr:spPr>
        <a:xfrm>
          <a:off x="0" y="0"/>
          <a:ext cx="8629650" cy="51435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HL top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28575</xdr:colOff>
      <xdr:row>8</xdr:row>
      <xdr:rowOff>28575</xdr:rowOff>
    </xdr:from>
    <xdr:to>
      <xdr:col>8</xdr:col>
      <xdr:colOff>1762124</xdr:colOff>
      <xdr:row>15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372725" y="2562225"/>
          <a:ext cx="1733550" cy="2895600"/>
        </a:xfrm>
        <a:prstGeom prst="rect"/>
      </xdr:spPr>
    </xdr:pic>
    <xdr:clientData/>
  </xdr:twoCellAnchor>
  <xdr:twoCellAnchor editAs="oneCell">
    <xdr:from>
      <xdr:col>0</xdr:col>
      <xdr:colOff>0</xdr:colOff>
      <xdr:row>29</xdr:row>
      <xdr:rowOff>26456</xdr:rowOff>
    </xdr:from>
    <xdr:to>
      <xdr:col>3</xdr:col>
      <xdr:colOff>709083</xdr:colOff>
      <xdr:row>56</xdr:row>
      <xdr:rowOff>116364</xdr:rowOff>
    </xdr:to>
    <xdr:pic>
      <xdr:nvPicPr>
        <xdr:cNvPr id="3" name="Рисунок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9610725"/>
          <a:ext cx="5067300" cy="4457700"/>
        </a:xfrm>
        <a:prstGeom prst="rect"/>
      </xdr:spPr>
    </xdr:pic>
    <xdr:clientData/>
  </xdr:twoCellAnchor>
  <xdr:twoCellAnchor editAs="oneCell">
    <xdr:from>
      <xdr:col>4</xdr:col>
      <xdr:colOff>67735</xdr:colOff>
      <xdr:row>30</xdr:row>
      <xdr:rowOff>124883</xdr:rowOff>
    </xdr:from>
    <xdr:to>
      <xdr:col>7</xdr:col>
      <xdr:colOff>889001</xdr:colOff>
      <xdr:row>53</xdr:row>
      <xdr:rowOff>131426</xdr:rowOff>
    </xdr:to>
    <xdr:pic>
      <xdr:nvPicPr>
        <xdr:cNvPr id="7" name="Рисунок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67325" y="9867900"/>
          <a:ext cx="4257675" cy="3733800"/>
        </a:xfrm>
        <a:prstGeom prst="rect"/>
      </xdr:spPr>
    </xdr:pic>
    <xdr:clientData/>
  </xdr:twoCellAnchor>
  <xdr:twoCellAnchor editAs="oneCell">
    <xdr:from>
      <xdr:col>0</xdr:col>
      <xdr:colOff>0</xdr:colOff>
      <xdr:row>56</xdr:row>
      <xdr:rowOff>98424</xdr:rowOff>
    </xdr:from>
    <xdr:to>
      <xdr:col>3</xdr:col>
      <xdr:colOff>761999</xdr:colOff>
      <xdr:row>77</xdr:row>
      <xdr:rowOff>117406</xdr:rowOff>
    </xdr:to>
    <xdr:pic>
      <xdr:nvPicPr>
        <xdr:cNvPr id="9" name="Рисунок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4049375"/>
          <a:ext cx="5124450" cy="3419475"/>
        </a:xfrm>
        <a:prstGeom prst="rect"/>
      </xdr:spPr>
    </xdr:pic>
    <xdr:clientData/>
  </xdr:twoCellAnchor>
  <xdr:twoCellAnchor editAs="oneCell">
    <xdr:from>
      <xdr:col>0</xdr:col>
      <xdr:colOff>0</xdr:colOff>
      <xdr:row>77</xdr:row>
      <xdr:rowOff>124884</xdr:rowOff>
    </xdr:from>
    <xdr:to>
      <xdr:col>7</xdr:col>
      <xdr:colOff>712186</xdr:colOff>
      <xdr:row>108</xdr:row>
      <xdr:rowOff>42334</xdr:rowOff>
    </xdr:to>
    <xdr:pic>
      <xdr:nvPicPr>
        <xdr:cNvPr id="10" name="Рисунок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7478375"/>
          <a:ext cx="9353550" cy="4933950"/>
        </a:xfrm>
        <a:prstGeom prst="rect"/>
      </xdr:spPr>
    </xdr:pic>
    <xdr:clientData/>
  </xdr:twoCellAnchor>
  <xdr:twoCellAnchor editAs="oneCell">
    <xdr:from>
      <xdr:col>0</xdr:col>
      <xdr:colOff>42333</xdr:colOff>
      <xdr:row>108</xdr:row>
      <xdr:rowOff>119549</xdr:rowOff>
    </xdr:from>
    <xdr:to>
      <xdr:col>7</xdr:col>
      <xdr:colOff>746752</xdr:colOff>
      <xdr:row>143</xdr:row>
      <xdr:rowOff>148167</xdr:rowOff>
    </xdr:to>
    <xdr:pic>
      <xdr:nvPicPr>
        <xdr:cNvPr id="12" name="Рисунок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100" y="22498050"/>
          <a:ext cx="9344025" cy="5695950"/>
        </a:xfrm>
        <a:prstGeom prst="rect"/>
      </xdr:spPr>
    </xdr:pic>
    <xdr:clientData/>
  </xdr:twoCellAnchor>
  <xdr:twoCellAnchor editAs="oneCell">
    <xdr:from>
      <xdr:col>0</xdr:col>
      <xdr:colOff>126999</xdr:colOff>
      <xdr:row>144</xdr:row>
      <xdr:rowOff>87353</xdr:rowOff>
    </xdr:from>
    <xdr:to>
      <xdr:col>7</xdr:col>
      <xdr:colOff>762104</xdr:colOff>
      <xdr:row>168</xdr:row>
      <xdr:rowOff>21167</xdr:rowOff>
    </xdr:to>
    <xdr:pic>
      <xdr:nvPicPr>
        <xdr:cNvPr id="14" name="Рисунок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3825" y="28289250"/>
          <a:ext cx="9277350" cy="3819525"/>
        </a:xfrm>
        <a:prstGeom prst="rect"/>
      </xdr:spPr>
    </xdr:pic>
    <xdr:clientData/>
  </xdr:twoCellAnchor>
  <xdr:twoCellAnchor editAs="oneCell">
    <xdr:from>
      <xdr:col>0</xdr:col>
      <xdr:colOff>0</xdr:colOff>
      <xdr:row>169</xdr:row>
      <xdr:rowOff>125941</xdr:rowOff>
    </xdr:from>
    <xdr:to>
      <xdr:col>5</xdr:col>
      <xdr:colOff>31750</xdr:colOff>
      <xdr:row>194</xdr:row>
      <xdr:rowOff>108305</xdr:rowOff>
    </xdr:to>
    <xdr:pic>
      <xdr:nvPicPr>
        <xdr:cNvPr id="15" name="Рисунок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32375475"/>
          <a:ext cx="6029325" cy="402907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19050</xdr:colOff>
      <xdr:row>0</xdr:row>
      <xdr:rowOff>9525</xdr:rowOff>
    </xdr:from>
    <xdr:ext cx="9048750" cy="600075"/>
    <xdr:sp macro="" fLocksText="0">
      <xdr:nvSpPr>
        <xdr:cNvPr id="2" name="Прямоугольник 1"/>
        <xdr:cNvSpPr/>
      </xdr:nvSpPr>
      <xdr:spPr>
        <a:xfrm>
          <a:off x="19050" y="9525"/>
          <a:ext cx="9048750" cy="600075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HK top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>
    <xdr:from>
      <xdr:col>7</xdr:col>
      <xdr:colOff>19050</xdr:colOff>
      <xdr:row>1</xdr:row>
      <xdr:rowOff>19050</xdr:rowOff>
    </xdr:from>
    <xdr:to>
      <xdr:col>7</xdr:col>
      <xdr:colOff>2076450</xdr:colOff>
      <xdr:row>6</xdr:row>
      <xdr:rowOff>228600</xdr:rowOff>
    </xdr:to>
    <xdr:pic>
      <xdr:nvPicPr>
        <xdr:cNvPr id="5" name="Рисунок 4" descr="Blum_KLA0582_#SALL_#AOF4_#V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53400" y="619125"/>
          <a:ext cx="2057400" cy="15430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11205</xdr:rowOff>
    </xdr:from>
    <xdr:to>
      <xdr:col>7</xdr:col>
      <xdr:colOff>2125182</xdr:colOff>
      <xdr:row>57</xdr:row>
      <xdr:rowOff>49695</xdr:rowOff>
    </xdr:to>
    <xdr:pic>
      <xdr:nvPicPr>
        <xdr:cNvPr id="16" name="Рисунок 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543550"/>
          <a:ext cx="10258425" cy="6000750"/>
        </a:xfrm>
        <a:prstGeom prst="rect"/>
      </xdr:spPr>
    </xdr:pic>
    <xdr:clientData/>
  </xdr:twoCellAnchor>
  <xdr:twoCellAnchor editAs="oneCell">
    <xdr:from>
      <xdr:col>0</xdr:col>
      <xdr:colOff>0</xdr:colOff>
      <xdr:row>59</xdr:row>
      <xdr:rowOff>57150</xdr:rowOff>
    </xdr:from>
    <xdr:to>
      <xdr:col>8</xdr:col>
      <xdr:colOff>5807</xdr:colOff>
      <xdr:row>115</xdr:row>
      <xdr:rowOff>6626</xdr:rowOff>
    </xdr:to>
    <xdr:pic>
      <xdr:nvPicPr>
        <xdr:cNvPr id="3" name="Рисунок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2030075"/>
          <a:ext cx="10296525" cy="9020175"/>
        </a:xfrm>
        <a:prstGeom prst="rect"/>
      </xdr:spPr>
    </xdr:pic>
    <xdr:clientData/>
  </xdr:twoCellAnchor>
  <xdr:twoCellAnchor editAs="oneCell">
    <xdr:from>
      <xdr:col>0</xdr:col>
      <xdr:colOff>0</xdr:colOff>
      <xdr:row>115</xdr:row>
      <xdr:rowOff>24641</xdr:rowOff>
    </xdr:from>
    <xdr:to>
      <xdr:col>7</xdr:col>
      <xdr:colOff>2143125</xdr:colOff>
      <xdr:row>159</xdr:row>
      <xdr:rowOff>77384</xdr:rowOff>
    </xdr:to>
    <xdr:pic>
      <xdr:nvPicPr>
        <xdr:cNvPr id="6" name="Рисунок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1069300"/>
          <a:ext cx="10277475" cy="7181850"/>
        </a:xfrm>
        <a:prstGeom prst="rect"/>
      </xdr:spPr>
    </xdr:pic>
    <xdr:clientData/>
  </xdr:twoCellAnchor>
  <xdr:twoCellAnchor editAs="oneCell">
    <xdr:from>
      <xdr:col>0</xdr:col>
      <xdr:colOff>1</xdr:colOff>
      <xdr:row>159</xdr:row>
      <xdr:rowOff>107797</xdr:rowOff>
    </xdr:from>
    <xdr:to>
      <xdr:col>7</xdr:col>
      <xdr:colOff>2133601</xdr:colOff>
      <xdr:row>195</xdr:row>
      <xdr:rowOff>15057</xdr:rowOff>
    </xdr:to>
    <xdr:pic>
      <xdr:nvPicPr>
        <xdr:cNvPr id="8" name="Рисунок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8270200"/>
          <a:ext cx="10267950" cy="57340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8</xdr:col>
      <xdr:colOff>9525</xdr:colOff>
      <xdr:row>1</xdr:row>
      <xdr:rowOff>0</xdr:rowOff>
    </xdr:from>
    <xdr:to>
      <xdr:col>8</xdr:col>
      <xdr:colOff>2419350</xdr:colOff>
      <xdr:row>6</xdr:row>
      <xdr:rowOff>361950</xdr:rowOff>
    </xdr:to>
    <xdr:pic>
      <xdr:nvPicPr>
        <xdr:cNvPr id="10313" name="Рисунок 4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77375" y="628650"/>
          <a:ext cx="2409825" cy="18478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182225" cy="628650"/>
    <xdr:sp macro="" fLocksText="0">
      <xdr:nvSpPr>
        <xdr:cNvPr id="2" name="Прямоугольник 1"/>
        <xdr:cNvSpPr/>
      </xdr:nvSpPr>
      <xdr:spPr>
        <a:xfrm>
          <a:off x="0" y="0"/>
          <a:ext cx="10182225" cy="62865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6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HK-S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76200</xdr:colOff>
      <xdr:row>26</xdr:row>
      <xdr:rowOff>57150</xdr:rowOff>
    </xdr:from>
    <xdr:to>
      <xdr:col>8</xdr:col>
      <xdr:colOff>57150</xdr:colOff>
      <xdr:row>93</xdr:row>
      <xdr:rowOff>108887</xdr:rowOff>
    </xdr:to>
    <xdr:pic>
      <xdr:nvPicPr>
        <xdr:cNvPr id="5" name="Рисунок 4"/>
        <xdr:cNvPicPr>
          <a:picLocks noChangeArrowheads="1" noChangeAspect="1"/>
        </xdr:cNvPicPr>
      </xdr:nvPicPr>
      <xdr:blipFill>
        <a:blip r:embed="rId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200" y="9267825"/>
          <a:ext cx="9448800" cy="108966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6</xdr:col>
      <xdr:colOff>88900</xdr:colOff>
      <xdr:row>115</xdr:row>
      <xdr:rowOff>136525</xdr:rowOff>
    </xdr:to>
    <xdr:pic>
      <xdr:nvPicPr>
        <xdr:cNvPr id="6" name="Рисунок 5"/>
        <xdr:cNvPicPr>
          <a:picLocks noChangeArrowheads="1"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0078700"/>
          <a:ext cx="7496175" cy="3676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9</xdr:col>
      <xdr:colOff>28575</xdr:colOff>
      <xdr:row>1</xdr:row>
      <xdr:rowOff>0</xdr:rowOff>
    </xdr:from>
    <xdr:to>
      <xdr:col>11</xdr:col>
      <xdr:colOff>743857</xdr:colOff>
      <xdr:row>5</xdr:row>
      <xdr:rowOff>130969</xdr:rowOff>
    </xdr:to>
    <xdr:pic>
      <xdr:nvPicPr>
        <xdr:cNvPr id="17742" name="Рисунок 5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53450" y="657225"/>
          <a:ext cx="2238375" cy="139065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5</xdr:row>
      <xdr:rowOff>130970</xdr:rowOff>
    </xdr:from>
    <xdr:to>
      <xdr:col>12</xdr:col>
      <xdr:colOff>4082</xdr:colOff>
      <xdr:row>8</xdr:row>
      <xdr:rowOff>295276</xdr:rowOff>
    </xdr:to>
    <xdr:pic>
      <xdr:nvPicPr>
        <xdr:cNvPr id="17743" name="Рисунок 6"/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34400" y="2047875"/>
          <a:ext cx="2266950" cy="12096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5039975" cy="600075"/>
    <xdr:sp macro="" fLocksText="0">
      <xdr:nvSpPr>
        <xdr:cNvPr id="2" name="Прямоугольник 1"/>
        <xdr:cNvSpPr/>
      </xdr:nvSpPr>
      <xdr:spPr>
        <a:xfrm>
          <a:off x="0" y="0"/>
          <a:ext cx="15039975" cy="600075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r>
            <a:rPr lang="en-US" sz="3900" b="0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prstClr val="black">
                    <a:alpha val="70000"/>
                  </a:prstClr>
                </a:outerShdw>
              </a:effectLst>
            </a:rPr>
            <a:t>AVENTOS HK-XS</a:t>
          </a:r>
          <a:endParaRPr lang="ru-RU" sz="39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482571</xdr:colOff>
      <xdr:row>22</xdr:row>
      <xdr:rowOff>43435</xdr:rowOff>
    </xdr:from>
    <xdr:to>
      <xdr:col>16</xdr:col>
      <xdr:colOff>881257</xdr:colOff>
      <xdr:row>28</xdr:row>
      <xdr:rowOff>332200</xdr:rowOff>
    </xdr:to>
    <xdr:pic>
      <xdr:nvPicPr>
        <xdr:cNvPr id="3" name="Рисунок 2"/>
        <xdr:cNvPicPr>
          <a:picLocks noChangeAspect="1"/>
        </xdr:cNvPicPr>
      </xdr:nvPicPr>
      <xdr:blipFill>
        <a:blip r:embed="rId3"/>
        <a:srcRect l="0" t="0" r="0" b="6610"/>
        <a:stretch>
          <a:fillRect/>
        </a:stretch>
      </xdr:blipFill>
      <xdr:spPr>
        <a:xfrm>
          <a:off x="11591925" y="9401175"/>
          <a:ext cx="2962275" cy="3590925"/>
        </a:xfrm>
        <a:prstGeom prst="rect"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21</xdr:row>
          <xdr:rowOff>9525</xdr:rowOff>
        </xdr:from>
        <xdr:to>
          <xdr:col>15</xdr:col>
          <xdr:colOff>0</xdr:colOff>
          <xdr:row>22</xdr:row>
          <xdr:rowOff>57150</xdr:rowOff>
        </xdr:to>
        <xdr:sp>
          <xdr:nvSpPr>
            <xdr:cNvPr id="17439" name="Drop Down 31" hidden="1">
              <a:extLst>
                <a:ext uri="{63B3BB69-23CF-44E3-9099-C40C66FF867C}">
                  <a14:compatExt spid="_x0000_s17439"/>
                </a:ext>
              </a:extLst>
            </xdr:cNvPr>
            <xdr:cNvSpPr>
              <a:spLocks noRot="1" noTextEdit="1"/>
            </xdr:cNvSpPr>
          </xdr:nvSpPr>
          <xdr:spPr>
            <a:xfrm>
              <a:off x="11106150" y="8943975"/>
              <a:ext cx="1609725" cy="466725"/>
            </a:xfrm>
            <a:prstGeom prst="rect"/>
            <a:ln>
              <a:noFill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762000</xdr:colOff>
          <xdr:row>21</xdr:row>
          <xdr:rowOff>0</xdr:rowOff>
        </xdr:from>
        <xdr:to>
          <xdr:col>16</xdr:col>
          <xdr:colOff>876300</xdr:colOff>
          <xdr:row>22</xdr:row>
          <xdr:rowOff>38100</xdr:rowOff>
        </xdr:to>
        <xdr:sp>
          <xdr:nvSpPr>
            <xdr:cNvPr id="17442" name="Drop Down 34" hidden="1">
              <a:extLst>
                <a:ext uri="{63B3BB69-23CF-44E3-9099-C40C66FF867C}">
                  <a14:compatExt spid="_x0000_s17442"/>
                </a:ext>
              </a:extLst>
            </xdr:cNvPr>
            <xdr:cNvSpPr>
              <a:spLocks noRot="1" noTextEdit="1"/>
            </xdr:cNvSpPr>
          </xdr:nvSpPr>
          <xdr:spPr>
            <a:xfrm>
              <a:off x="12715875" y="8934450"/>
              <a:ext cx="1828800" cy="457200"/>
            </a:xfrm>
            <a:prstGeom prst="rect"/>
            <a:ln>
              <a:noFill/>
            </a:ln>
          </xdr:spPr>
        </xdr:sp>
        <xdr:clientData fLocksWithSheet="0"/>
      </xdr:twoCellAnchor>
    </mc:Choice>
    <mc:Fallback/>
  </mc:AlternateContent>
  <xdr:twoCellAnchor>
    <xdr:from>
      <xdr:col>13</xdr:col>
      <xdr:colOff>504825</xdr:colOff>
      <xdr:row>24</xdr:row>
      <xdr:rowOff>103968</xdr:rowOff>
    </xdr:from>
    <xdr:to>
      <xdr:col>13</xdr:col>
      <xdr:colOff>510337</xdr:colOff>
      <xdr:row>27</xdr:row>
      <xdr:rowOff>47625</xdr:rowOff>
    </xdr:to>
    <xdr:cxnSp macro="">
      <xdr:nvCxnSpPr>
        <xdr:cNvPr id="7" name="Прямая со стрелкой 6"/>
        <xdr:cNvCxnSpPr/>
      </xdr:nvCxnSpPr>
      <xdr:spPr>
        <a:xfrm flipH="1">
          <a:off x="11610975" y="10334625"/>
          <a:ext cx="9525" cy="1885950"/>
        </a:xfrm>
        <a:prstGeom prst="straightConnector1"/>
        <a:ln>
          <a:solidFill>
            <a:schemeClr val="tx1">
              <a:shade val="95000"/>
              <a:satMod val="105000"/>
            </a:schemeClr>
          </a:solidFill>
          <a:headEnd type="triangle"/>
          <a:tailEnd type="triangle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22677</xdr:colOff>
      <xdr:row>22</xdr:row>
      <xdr:rowOff>22679</xdr:rowOff>
    </xdr:from>
    <xdr:to>
      <xdr:col>22</xdr:col>
      <xdr:colOff>73316</xdr:colOff>
      <xdr:row>28</xdr:row>
      <xdr:rowOff>313151</xdr:rowOff>
    </xdr:to>
    <xdr:pic>
      <xdr:nvPicPr>
        <xdr:cNvPr id="5" name="Рисунок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135225" y="9372600"/>
          <a:ext cx="3438525" cy="3590925"/>
        </a:xfrm>
        <a:prstGeom prst="rect"/>
      </xdr:spPr>
    </xdr:pic>
    <xdr:clientData/>
  </xdr:twoCellAnchor>
  <xdr:twoCellAnchor>
    <xdr:from>
      <xdr:col>21</xdr:col>
      <xdr:colOff>1542162</xdr:colOff>
      <xdr:row>26</xdr:row>
      <xdr:rowOff>111331</xdr:rowOff>
    </xdr:from>
    <xdr:to>
      <xdr:col>22</xdr:col>
      <xdr:colOff>606137</xdr:colOff>
      <xdr:row>26</xdr:row>
      <xdr:rowOff>114070</xdr:rowOff>
    </xdr:to>
    <xdr:cxnSp macro="">
      <xdr:nvCxnSpPr>
        <xdr:cNvPr id="8" name="Прямая соединительная линия 7"/>
        <xdr:cNvCxnSpPr/>
      </xdr:nvCxnSpPr>
      <xdr:spPr>
        <a:xfrm flipV="1">
          <a:off x="18449925" y="11734800"/>
          <a:ext cx="666750" cy="0"/>
        </a:xfrm>
        <a:prstGeom prst="line"/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542925</xdr:colOff>
          <xdr:row>21</xdr:row>
          <xdr:rowOff>0</xdr:rowOff>
        </xdr:from>
        <xdr:to>
          <xdr:col>21</xdr:col>
          <xdr:colOff>9525</xdr:colOff>
          <xdr:row>22</xdr:row>
          <xdr:rowOff>19050</xdr:rowOff>
        </xdr:to>
        <xdr:sp>
          <xdr:nvSpPr>
            <xdr:cNvPr id="17448" name="Drop Down 40" hidden="1">
              <a:extLst>
                <a:ext uri="{63B3BB69-23CF-44E3-9099-C40C66FF867C}">
                  <a14:compatExt spid="_x0000_s17448"/>
                </a:ext>
              </a:extLst>
            </xdr:cNvPr>
            <xdr:cNvSpPr>
              <a:spLocks noRot="1" noTextEdit="1"/>
            </xdr:cNvSpPr>
          </xdr:nvSpPr>
          <xdr:spPr>
            <a:xfrm>
              <a:off x="15106650" y="8934450"/>
              <a:ext cx="1809750" cy="438150"/>
            </a:xfrm>
            <a:prstGeom prst="rect"/>
            <a:ln>
              <a:noFill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21</xdr:row>
          <xdr:rowOff>0</xdr:rowOff>
        </xdr:from>
        <xdr:to>
          <xdr:col>22</xdr:col>
          <xdr:colOff>666750</xdr:colOff>
          <xdr:row>22</xdr:row>
          <xdr:rowOff>19050</xdr:rowOff>
        </xdr:to>
        <xdr:sp>
          <xdr:nvSpPr>
            <xdr:cNvPr id="17450" name="Drop Down 42" hidden="1">
              <a:extLst>
                <a:ext uri="{63B3BB69-23CF-44E3-9099-C40C66FF867C}">
                  <a14:compatExt spid="_x0000_s17450"/>
                </a:ext>
              </a:extLst>
            </xdr:cNvPr>
            <xdr:cNvSpPr>
              <a:spLocks noRot="1" noTextEdit="1"/>
            </xdr:cNvSpPr>
          </xdr:nvSpPr>
          <xdr:spPr>
            <a:xfrm>
              <a:off x="16916400" y="8934450"/>
              <a:ext cx="2257425" cy="438150"/>
            </a:xfrm>
            <a:prstGeom prst="rect"/>
            <a:ln>
              <a:noFill/>
            </a:ln>
          </xdr:spPr>
        </xdr:sp>
        <xdr:clientData fLocksWithSheet="0"/>
      </xdr:twoCellAnchor>
    </mc:Choice>
    <mc:Fallback/>
  </mc:AlternateContent>
  <xdr:twoCellAnchor>
    <xdr:from>
      <xdr:col>13</xdr:col>
      <xdr:colOff>342900</xdr:colOff>
      <xdr:row>24</xdr:row>
      <xdr:rowOff>57150</xdr:rowOff>
    </xdr:from>
    <xdr:to>
      <xdr:col>13</xdr:col>
      <xdr:colOff>485777</xdr:colOff>
      <xdr:row>24</xdr:row>
      <xdr:rowOff>85727</xdr:rowOff>
    </xdr:to>
    <xdr:cxnSp macro="">
      <xdr:nvCxnSpPr>
        <xdr:cNvPr id="11" name="Прямая соединительная линия 10"/>
        <xdr:cNvCxnSpPr/>
      </xdr:nvCxnSpPr>
      <xdr:spPr>
        <a:xfrm flipH="1" flipV="1">
          <a:off x="11449050" y="10287000"/>
          <a:ext cx="142875" cy="28575"/>
        </a:xfrm>
        <a:prstGeom prst="line"/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342900</xdr:colOff>
      <xdr:row>27</xdr:row>
      <xdr:rowOff>28575</xdr:rowOff>
    </xdr:from>
    <xdr:to>
      <xdr:col>13</xdr:col>
      <xdr:colOff>476251</xdr:colOff>
      <xdr:row>27</xdr:row>
      <xdr:rowOff>47627</xdr:rowOff>
    </xdr:to>
    <xdr:cxnSp macro="">
      <xdr:nvCxnSpPr>
        <xdr:cNvPr id="29" name="Прямая соединительная линия 28"/>
        <xdr:cNvCxnSpPr/>
      </xdr:nvCxnSpPr>
      <xdr:spPr>
        <a:xfrm flipH="1" flipV="1">
          <a:off x="11449050" y="12201525"/>
          <a:ext cx="133350" cy="19050"/>
        </a:xfrm>
        <a:prstGeom prst="line"/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54307</xdr:colOff>
      <xdr:row>22</xdr:row>
      <xdr:rowOff>268803</xdr:rowOff>
    </xdr:from>
    <xdr:to>
      <xdr:col>22</xdr:col>
      <xdr:colOff>531916</xdr:colOff>
      <xdr:row>22</xdr:row>
      <xdr:rowOff>269547</xdr:rowOff>
    </xdr:to>
    <xdr:cxnSp macro="">
      <xdr:nvCxnSpPr>
        <xdr:cNvPr id="39" name="Прямая соединительная линия 38"/>
        <xdr:cNvCxnSpPr/>
      </xdr:nvCxnSpPr>
      <xdr:spPr>
        <a:xfrm flipV="1">
          <a:off x="18564225" y="9620250"/>
          <a:ext cx="476250" cy="0"/>
        </a:xfrm>
        <a:prstGeom prst="line"/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70266</xdr:colOff>
      <xdr:row>25</xdr:row>
      <xdr:rowOff>378658</xdr:rowOff>
    </xdr:from>
    <xdr:to>
      <xdr:col>22</xdr:col>
      <xdr:colOff>534805</xdr:colOff>
      <xdr:row>25</xdr:row>
      <xdr:rowOff>382561</xdr:rowOff>
    </xdr:to>
    <xdr:cxnSp macro="">
      <xdr:nvCxnSpPr>
        <xdr:cNvPr id="44" name="Прямая соединительная линия 43"/>
        <xdr:cNvCxnSpPr/>
      </xdr:nvCxnSpPr>
      <xdr:spPr>
        <a:xfrm flipV="1">
          <a:off x="18573750" y="11134725"/>
          <a:ext cx="466725" cy="0"/>
        </a:xfrm>
        <a:prstGeom prst="line"/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445325</xdr:colOff>
      <xdr:row>22</xdr:row>
      <xdr:rowOff>284513</xdr:rowOff>
    </xdr:from>
    <xdr:to>
      <xdr:col>22</xdr:col>
      <xdr:colOff>451510</xdr:colOff>
      <xdr:row>25</xdr:row>
      <xdr:rowOff>377289</xdr:rowOff>
    </xdr:to>
    <xdr:cxnSp macro="">
      <xdr:nvCxnSpPr>
        <xdr:cNvPr id="34" name="Прямая со стрелкой 33"/>
        <xdr:cNvCxnSpPr/>
      </xdr:nvCxnSpPr>
      <xdr:spPr>
        <a:xfrm>
          <a:off x="18954750" y="9639300"/>
          <a:ext cx="0" cy="1495425"/>
        </a:xfrm>
        <a:prstGeom prst="straightConnector1"/>
        <a:ln>
          <a:solidFill>
            <a:schemeClr val="tx1">
              <a:shade val="95000"/>
              <a:satMod val="105000"/>
            </a:schemeClr>
          </a:solidFill>
          <a:headEnd type="triangle"/>
          <a:tailEnd type="triangle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40</xdr:row>
      <xdr:rowOff>9525</xdr:rowOff>
    </xdr:from>
    <xdr:to>
      <xdr:col>6</xdr:col>
      <xdr:colOff>302933</xdr:colOff>
      <xdr:row>89</xdr:row>
      <xdr:rowOff>133350</xdr:rowOff>
    </xdr:to>
    <xdr:pic>
      <xdr:nvPicPr>
        <xdr:cNvPr id="4" name="Рисунок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17621250"/>
          <a:ext cx="6391275" cy="8058150"/>
        </a:xfrm>
        <a:prstGeom prst="rect"/>
      </xdr:spPr>
    </xdr:pic>
    <xdr:clientData/>
  </xdr:twoCellAnchor>
  <xdr:twoCellAnchor editAs="oneCell">
    <xdr:from>
      <xdr:col>6</xdr:col>
      <xdr:colOff>333375</xdr:colOff>
      <xdr:row>40</xdr:row>
      <xdr:rowOff>9525</xdr:rowOff>
    </xdr:from>
    <xdr:to>
      <xdr:col>12</xdr:col>
      <xdr:colOff>27890</xdr:colOff>
      <xdr:row>87</xdr:row>
      <xdr:rowOff>28575</xdr:rowOff>
    </xdr:to>
    <xdr:pic>
      <xdr:nvPicPr>
        <xdr:cNvPr id="9" name="Рисунок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19850" y="17621250"/>
          <a:ext cx="4410075" cy="7629525"/>
        </a:xfrm>
        <a:prstGeom prst="rect"/>
      </xdr:spPr>
    </xdr:pic>
    <xdr:clientData/>
  </xdr:twoCellAnchor>
  <xdr:twoCellAnchor editAs="oneCell">
    <xdr:from>
      <xdr:col>0</xdr:col>
      <xdr:colOff>0</xdr:colOff>
      <xdr:row>90</xdr:row>
      <xdr:rowOff>114299</xdr:rowOff>
    </xdr:from>
    <xdr:to>
      <xdr:col>6</xdr:col>
      <xdr:colOff>266700</xdr:colOff>
      <xdr:row>112</xdr:row>
      <xdr:rowOff>60660</xdr:rowOff>
    </xdr:to>
    <xdr:pic>
      <xdr:nvPicPr>
        <xdr:cNvPr id="10" name="Рисунок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25822275"/>
          <a:ext cx="6353175" cy="3505200"/>
        </a:xfrm>
        <a:prstGeom prst="rect"/>
      </xdr:spPr>
    </xdr:pic>
    <xdr:clientData/>
  </xdr:twoCellAnchor>
  <xdr:twoCellAnchor editAs="oneCell">
    <xdr:from>
      <xdr:col>6</xdr:col>
      <xdr:colOff>276224</xdr:colOff>
      <xdr:row>87</xdr:row>
      <xdr:rowOff>95251</xdr:rowOff>
    </xdr:from>
    <xdr:to>
      <xdr:col>12</xdr:col>
      <xdr:colOff>9524</xdr:colOff>
      <xdr:row>113</xdr:row>
      <xdr:rowOff>65144</xdr:rowOff>
    </xdr:to>
    <xdr:pic>
      <xdr:nvPicPr>
        <xdr:cNvPr id="12" name="Рисунок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62700" y="25317450"/>
          <a:ext cx="4448175" cy="41814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0</xdr:colOff>
      <xdr:row>1</xdr:row>
      <xdr:rowOff>0</xdr:rowOff>
    </xdr:from>
    <xdr:ext cx="7019925" cy="1895475"/>
    <xdr:pic>
      <xdr:nvPicPr>
        <xdr:cNvPr id="2" name="Рисунок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7019925" cy="1895475"/>
        </a:xfrm>
        <a:prstGeom prst="rect"/>
      </xdr:spPr>
    </xdr:pic>
    <xdr:clientData/>
  </xdr:oneCellAnchor>
  <xdr:oneCellAnchor>
    <xdr:from>
      <xdr:col>0</xdr:col>
      <xdr:colOff>0</xdr:colOff>
      <xdr:row>0</xdr:row>
      <xdr:rowOff>0</xdr:rowOff>
    </xdr:from>
    <xdr:ext cx="0" cy="533400"/>
    <xdr:sp macro="" fLocksText="0">
      <xdr:nvSpPr>
        <xdr:cNvPr id="3" name="Прямоугольник 2"/>
        <xdr:cNvSpPr/>
      </xdr:nvSpPr>
      <xdr:spPr>
        <a:xfrm flipH="1">
          <a:off x="0" y="0"/>
          <a:ext cx="0" cy="533400"/>
        </a:xfrm>
        <a:prstGeom prst="rect"/>
        <a:noFill/>
      </xdr:spPr>
      <xdr:txBody>
        <a:bodyPr lIns="91440" tIns="45720" rIns="91440" bIns="45720" wrap="none" anchor="ctr">
          <a:noAutofit/>
        </a:bodyPr>
        <a:lstStyle/>
        <a:p>
          <a:pPr algn="ctr" defTabSz="914400" fontAlgn="auto" indent="0" marL="0" marR="0" hangingPunct="1" eaLnBrk="1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n-US" sz="1100" b="1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oneCellAnchor>
    <xdr:from>
      <xdr:col>4</xdr:col>
      <xdr:colOff>276225</xdr:colOff>
      <xdr:row>14</xdr:row>
      <xdr:rowOff>19050</xdr:rowOff>
    </xdr:from>
    <xdr:ext cx="2905125" cy="2390775"/>
    <xdr:pic>
      <xdr:nvPicPr>
        <xdr:cNvPr id="4" name="Рисунок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3076575"/>
          <a:ext cx="2905125" cy="2390775"/>
        </a:xfrm>
        <a:prstGeom prst="rect"/>
      </xdr:spPr>
    </xdr:pic>
    <xdr:clientData/>
  </xdr:oneCellAnchor>
  <xdr:oneCellAnchor>
    <xdr:from>
      <xdr:col>10</xdr:col>
      <xdr:colOff>0</xdr:colOff>
      <xdr:row>1</xdr:row>
      <xdr:rowOff>9525</xdr:rowOff>
    </xdr:from>
    <xdr:ext cx="4105275" cy="2466975"/>
    <xdr:pic>
      <xdr:nvPicPr>
        <xdr:cNvPr id="5" name="Рисунок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676275"/>
          <a:ext cx="4105275" cy="2466975"/>
        </a:xfrm>
        <a:prstGeom prst="rect"/>
      </xdr:spPr>
    </xdr:pic>
    <xdr:clientData/>
  </xdr:oneCellAnchor>
  <xdr:oneCellAnchor>
    <xdr:from>
      <xdr:col>0</xdr:col>
      <xdr:colOff>0</xdr:colOff>
      <xdr:row>33</xdr:row>
      <xdr:rowOff>19050</xdr:rowOff>
    </xdr:from>
    <xdr:ext cx="7315200" cy="2143125"/>
    <xdr:pic>
      <xdr:nvPicPr>
        <xdr:cNvPr id="7" name="Рисунок 6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8550"/>
          <a:ext cx="7315200" cy="2143125"/>
        </a:xfrm>
        <a:prstGeom prst="rect"/>
      </xdr:spPr>
    </xdr:pic>
    <xdr:clientData/>
  </xdr:oneCellAnchor>
  <xdr:oneCellAnchor>
    <xdr:from>
      <xdr:col>10</xdr:col>
      <xdr:colOff>295275</xdr:colOff>
      <xdr:row>33</xdr:row>
      <xdr:rowOff>9525</xdr:rowOff>
    </xdr:from>
    <xdr:ext cx="3848100" cy="2133600"/>
    <xdr:pic>
      <xdr:nvPicPr>
        <xdr:cNvPr id="8" name="Рисунок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7439025"/>
          <a:ext cx="3848100" cy="2133600"/>
        </a:xfrm>
        <a:prstGeom prst="rect"/>
      </xdr:spPr>
    </xdr:pic>
    <xdr:clientData/>
  </xdr:oneCellAnchor>
  <xdr:oneCellAnchor>
    <xdr:from>
      <xdr:col>11</xdr:col>
      <xdr:colOff>28575</xdr:colOff>
      <xdr:row>43</xdr:row>
      <xdr:rowOff>9525</xdr:rowOff>
    </xdr:from>
    <xdr:ext cx="3800475" cy="2076450"/>
    <xdr:pic>
      <xdr:nvPicPr>
        <xdr:cNvPr id="10" name="Рисунок 9"/>
        <xdr:cNvPicPr>
          <a:picLocks noChangeArrowheads="1" noChangeAspect="1"/>
        </xdr:cNvPicPr>
      </xdr:nvPicPr>
      <xdr:blipFill>
        <a:blip r:embed="rId4">
          <a:lum bright="-4000" contrast="22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372350" y="9582150"/>
          <a:ext cx="3800475" cy="20764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104775</xdr:colOff>
      <xdr:row>43</xdr:row>
      <xdr:rowOff>28575</xdr:rowOff>
    </xdr:from>
    <xdr:ext cx="3276600" cy="2047875"/>
    <xdr:pic>
      <xdr:nvPicPr>
        <xdr:cNvPr id="12" name="Рисунок 11"/>
        <xdr:cNvPicPr>
          <a:picLocks noChangeArrowheads="1" noChangeAspect="1"/>
        </xdr:cNvPicPr>
      </xdr:nvPicPr>
      <xdr:blipFill>
        <a:blip r:embed="rId5">
          <a:lum bright="10000" contrast="-1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3850" y="9601200"/>
          <a:ext cx="3276600" cy="20478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95250</xdr:rowOff>
    </xdr:from>
    <xdr:ext cx="11172825" cy="14839950"/>
    <xdr:pic>
      <xdr:nvPicPr>
        <xdr:cNvPr id="14" name="Рисунок 13"/>
        <xdr:cNvPicPr>
          <a:picLocks noChangeArrowheads="1"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725275"/>
          <a:ext cx="11172825" cy="148399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130</xdr:row>
      <xdr:rowOff>85725</xdr:rowOff>
    </xdr:from>
    <xdr:ext cx="11191875" cy="16383000"/>
    <xdr:pic>
      <xdr:nvPicPr>
        <xdr:cNvPr id="16" name="Рисунок 15"/>
        <xdr:cNvPicPr>
          <a:picLocks noChangeArrowheads="1"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6574750"/>
          <a:ext cx="11191875" cy="163830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216</xdr:row>
      <xdr:rowOff>85725</xdr:rowOff>
    </xdr:from>
    <xdr:to>
      <xdr:col>37</xdr:col>
      <xdr:colOff>59624</xdr:colOff>
      <xdr:row>275</xdr:row>
      <xdr:rowOff>89264</xdr:rowOff>
    </xdr:to>
    <xdr:pic>
      <xdr:nvPicPr>
        <xdr:cNvPr id="18" name="Рисунок 17"/>
        <xdr:cNvPicPr>
          <a:picLocks noChangeArrowheads="1"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2957750"/>
          <a:ext cx="11220450" cy="112395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275</xdr:row>
      <xdr:rowOff>104775</xdr:rowOff>
    </xdr:from>
    <xdr:to>
      <xdr:col>37</xdr:col>
      <xdr:colOff>59624</xdr:colOff>
      <xdr:row>323</xdr:row>
      <xdr:rowOff>147583</xdr:rowOff>
    </xdr:to>
    <xdr:pic>
      <xdr:nvPicPr>
        <xdr:cNvPr id="20" name="Рисунок 19"/>
        <xdr:cNvPicPr>
          <a:picLocks noChangeArrowheads="1"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4216300"/>
          <a:ext cx="11220450" cy="91821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10</xdr:col>
      <xdr:colOff>0</xdr:colOff>
      <xdr:row>1</xdr:row>
      <xdr:rowOff>47625</xdr:rowOff>
    </xdr:from>
    <xdr:ext cx="5105400" cy="2628900"/>
    <xdr:pic>
      <xdr:nvPicPr>
        <xdr:cNvPr id="2" name="Рисунок 1" descr="Используемые при расчете плотности материалов:                               ДСП -- 680 кг/м³;                             Массив Ольхи -- 550 кг/м³;                                Массив Ясеня -- 750 кг/м³;                                   Массив Дуба -- 690 кг/м³;                                                       МДФ -- 760 кг/м³;                                                                 ДВП -- 900 кг/м³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628650"/>
          <a:ext cx="5105400" cy="2628900"/>
        </a:xfrm>
        <a:prstGeom prst="rect"/>
      </xdr:spPr>
    </xdr:pic>
    <xdr:clientData/>
  </xdr:oneCellAnchor>
  <xdr:oneCellAnchor>
    <xdr:from>
      <xdr:col>0</xdr:col>
      <xdr:colOff>0</xdr:colOff>
      <xdr:row>1</xdr:row>
      <xdr:rowOff>9525</xdr:rowOff>
    </xdr:from>
    <xdr:ext cx="7953375" cy="2038350"/>
    <xdr:pic>
      <xdr:nvPicPr>
        <xdr:cNvPr id="3" name="Рисунок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50"/>
          <a:ext cx="7953375" cy="2038350"/>
        </a:xfrm>
        <a:prstGeom prst="rect"/>
      </xdr:spPr>
    </xdr:pic>
    <xdr:clientData/>
  </xdr:oneCellAnchor>
  <xdr:oneCellAnchor>
    <xdr:from>
      <xdr:col>0</xdr:col>
      <xdr:colOff>0</xdr:colOff>
      <xdr:row>0</xdr:row>
      <xdr:rowOff>0</xdr:rowOff>
    </xdr:from>
    <xdr:ext cx="3886200" cy="609600"/>
    <xdr:sp macro="" fLocksText="0">
      <xdr:nvSpPr>
        <xdr:cNvPr id="4" name="Прямоугольник 3"/>
        <xdr:cNvSpPr/>
      </xdr:nvSpPr>
      <xdr:spPr>
        <a:xfrm>
          <a:off x="0" y="0"/>
          <a:ext cx="3886200" cy="609600"/>
        </a:xfrm>
        <a:prstGeom prst="rect"/>
        <a:noFill/>
      </xdr:spPr>
      <xdr:txBody>
        <a:bodyPr lIns="91440" tIns="45720" rIns="91440" bIns="45720" wrap="none">
          <a:noAutofit/>
        </a:bodyPr>
        <a:lstStyle/>
        <a:p>
          <a:pPr algn="ctr"/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oneCellAnchor>
    <xdr:from>
      <xdr:col>7</xdr:col>
      <xdr:colOff>133350</xdr:colOff>
      <xdr:row>22</xdr:row>
      <xdr:rowOff>142875</xdr:rowOff>
    </xdr:from>
    <xdr:ext cx="676275" cy="314325"/>
    <xdr:sp macro="">
      <xdr:nvSpPr>
        <xdr:cNvPr id="7" name="TextBox 6"/>
        <xdr:cNvSpPr txBox="1"/>
      </xdr:nvSpPr>
      <xdr:spPr>
        <a:xfrm>
          <a:off x="5924550" y="5267325"/>
          <a:ext cx="676275" cy="314325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>
          <a:noAutofit/>
        </a:bodyPr>
        <a:lstStyle/>
        <a:p>
          <a:pPr/>
          <a:r>
            <a:rPr lang="ru-RU" sz="1100" b="0"/>
            <a:t>Фасад</a:t>
          </a:r>
          <a:r>
            <a:rPr lang="ru-RU" sz="1100" b="1"/>
            <a:t> -</a:t>
          </a:r>
        </a:p>
      </xdr:txBody>
    </xdr:sp>
    <xdr:clientData/>
  </xdr:oneCellAnchor>
  <xdr:oneCellAnchor>
    <xdr:from>
      <xdr:col>7</xdr:col>
      <xdr:colOff>552450</xdr:colOff>
      <xdr:row>17</xdr:row>
      <xdr:rowOff>190500</xdr:rowOff>
    </xdr:from>
    <xdr:ext cx="923925" cy="266700"/>
    <xdr:sp macro="">
      <xdr:nvSpPr>
        <xdr:cNvPr id="8" name="TextBox 7"/>
        <xdr:cNvSpPr txBox="1"/>
      </xdr:nvSpPr>
      <xdr:spPr>
        <a:xfrm>
          <a:off x="6343650" y="4048125"/>
          <a:ext cx="923925" cy="266700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>
          <a:spAutoFit/>
        </a:bodyPr>
        <a:lstStyle/>
        <a:p>
          <a:pPr/>
          <a:r>
            <a:rPr lang="ru-RU" sz="1100" b="0"/>
            <a:t>Дно ящика</a:t>
          </a:r>
        </a:p>
      </xdr:txBody>
    </xdr:sp>
    <xdr:clientData/>
  </xdr:oneCellAnchor>
  <xdr:oneCellAnchor>
    <xdr:from>
      <xdr:col>4</xdr:col>
      <xdr:colOff>571500</xdr:colOff>
      <xdr:row>16</xdr:row>
      <xdr:rowOff>47625</xdr:rowOff>
    </xdr:from>
    <xdr:ext cx="171450" cy="1609725"/>
    <xdr:sp macro="">
      <xdr:nvSpPr>
        <xdr:cNvPr id="9" name="TextBox 8"/>
        <xdr:cNvSpPr txBox="1"/>
      </xdr:nvSpPr>
      <xdr:spPr>
        <a:xfrm>
          <a:off x="5448300" y="3667125"/>
          <a:ext cx="171450" cy="1609725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>
          <a:noAutofit/>
        </a:bodyPr>
        <a:lstStyle/>
        <a:p>
          <a:pPr/>
          <a:r>
            <a:rPr lang="ru-RU" sz="1100"/>
            <a:t>Боковина</a:t>
          </a:r>
        </a:p>
      </xdr:txBody>
    </xdr:sp>
    <xdr:clientData/>
  </xdr:oneCellAnchor>
  <xdr:oneCellAnchor>
    <xdr:from>
      <xdr:col>8</xdr:col>
      <xdr:colOff>114300</xdr:colOff>
      <xdr:row>16</xdr:row>
      <xdr:rowOff>38100</xdr:rowOff>
    </xdr:from>
    <xdr:ext cx="304800" cy="1466850"/>
    <xdr:sp macro="">
      <xdr:nvSpPr>
        <xdr:cNvPr id="10" name="TextBox 9"/>
        <xdr:cNvSpPr txBox="1"/>
      </xdr:nvSpPr>
      <xdr:spPr>
        <a:xfrm>
          <a:off x="7810500" y="3657600"/>
          <a:ext cx="304800" cy="1466850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>
          <a:noAutofit/>
        </a:bodyPr>
        <a:lstStyle/>
        <a:p>
          <a:pPr/>
          <a:r>
            <a:rPr lang="ru-RU" sz="1100"/>
            <a:t>Боковина</a:t>
          </a:r>
        </a:p>
      </xdr:txBody>
    </xdr:sp>
    <xdr:clientData/>
  </xdr:oneCellAnchor>
  <xdr:oneCellAnchor>
    <xdr:from>
      <xdr:col>7</xdr:col>
      <xdr:colOff>466725</xdr:colOff>
      <xdr:row>13</xdr:row>
      <xdr:rowOff>171450</xdr:rowOff>
    </xdr:from>
    <xdr:ext cx="1000125" cy="238125"/>
    <xdr:sp macro="">
      <xdr:nvSpPr>
        <xdr:cNvPr id="11" name="TextBox 10"/>
        <xdr:cNvSpPr txBox="1"/>
      </xdr:nvSpPr>
      <xdr:spPr>
        <a:xfrm>
          <a:off x="6257925" y="3238500"/>
          <a:ext cx="1000125" cy="238125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t">
          <a:noAutofit/>
        </a:bodyPr>
        <a:lstStyle/>
        <a:p>
          <a:pPr/>
          <a:r>
            <a:rPr lang="ru-RU" sz="1100"/>
            <a:t>Задняя царга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3058775" cy="590550"/>
    <xdr:sp macro="">
      <xdr:nvSpPr>
        <xdr:cNvPr id="12" name="TextBox 11"/>
        <xdr:cNvSpPr txBox="1"/>
      </xdr:nvSpPr>
      <xdr:spPr>
        <a:xfrm>
          <a:off x="0" y="0"/>
          <a:ext cx="13058775" cy="590550"/>
        </a:xfrm>
        <a:prstGeom prst="rect"/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anchor="ctr">
          <a:noAutofit/>
        </a:bodyPr>
        <a:lstStyle/>
        <a:p>
          <a:pPr algn="ctr"/>
          <a:r>
            <a:rPr lang="en-US" sz="3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TIP-ON BLUMOTION </a:t>
          </a:r>
          <a:r>
            <a:rPr lang="ru-RU" sz="3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для</a:t>
          </a:r>
          <a:r>
            <a:rPr lang="ru-RU" sz="3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32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MOVENTO</a:t>
          </a:r>
          <a:endParaRPr lang="ru-RU" sz="3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32</xdr:row>
      <xdr:rowOff>224117</xdr:rowOff>
    </xdr:from>
    <xdr:to>
      <xdr:col>38</xdr:col>
      <xdr:colOff>36290</xdr:colOff>
      <xdr:row>77</xdr:row>
      <xdr:rowOff>33617</xdr:rowOff>
    </xdr:to>
    <xdr:pic>
      <xdr:nvPicPr>
        <xdr:cNvPr id="5" name="Рисунок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7905750"/>
          <a:ext cx="13192125" cy="8543925"/>
        </a:xfrm>
        <a:prstGeom prst="rect"/>
      </xdr:spPr>
    </xdr:pic>
    <xdr:clientData/>
  </xdr:twoCellAnchor>
  <xdr:twoCellAnchor editAs="oneCell">
    <xdr:from>
      <xdr:col>0</xdr:col>
      <xdr:colOff>0</xdr:colOff>
      <xdr:row>78</xdr:row>
      <xdr:rowOff>156883</xdr:rowOff>
    </xdr:from>
    <xdr:to>
      <xdr:col>38</xdr:col>
      <xdr:colOff>56030</xdr:colOff>
      <xdr:row>112</xdr:row>
      <xdr:rowOff>71024</xdr:rowOff>
    </xdr:to>
    <xdr:pic>
      <xdr:nvPicPr>
        <xdr:cNvPr id="13" name="Рисунок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6754475"/>
          <a:ext cx="13211175" cy="6391275"/>
        </a:xfrm>
        <a:prstGeom prst="rect"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0</xdr:colOff>
      <xdr:row>0</xdr:row>
      <xdr:rowOff>0</xdr:rowOff>
    </xdr:from>
    <xdr:ext cx="0" cy="533400"/>
    <xdr:sp macro="" fLocksText="0">
      <xdr:nvSpPr>
        <xdr:cNvPr id="3" name="Прямоугольник 2"/>
        <xdr:cNvSpPr/>
      </xdr:nvSpPr>
      <xdr:spPr>
        <a:xfrm flipH="1">
          <a:off x="0" y="0"/>
          <a:ext cx="0" cy="533400"/>
        </a:xfrm>
        <a:prstGeom prst="rect"/>
        <a:noFill/>
      </xdr:spPr>
      <xdr:txBody>
        <a:bodyPr lIns="91440" tIns="45720" rIns="91440" bIns="45720" wrap="none" anchor="ctr">
          <a:noAutofit/>
        </a:bodyPr>
        <a:lstStyle/>
        <a:p>
          <a:pPr algn="ctr" defTabSz="914400" fontAlgn="auto" indent="0" marL="0" marR="0" hangingPunct="1" eaLnBrk="1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n-US" sz="1100" b="1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endParaRPr lang="ru-RU" sz="3600" b="0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prstClr val="black">
                  <a:alpha val="7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92102</xdr:colOff>
      <xdr:row>14</xdr:row>
      <xdr:rowOff>22149</xdr:rowOff>
    </xdr:from>
    <xdr:to>
      <xdr:col>11</xdr:col>
      <xdr:colOff>6078</xdr:colOff>
      <xdr:row>25</xdr:row>
      <xdr:rowOff>0</xdr:rowOff>
    </xdr:to>
    <xdr:pic>
      <xdr:nvPicPr>
        <xdr:cNvPr id="7" name="Рисунок 6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3076575"/>
          <a:ext cx="3057525" cy="25431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10702</xdr:rowOff>
    </xdr:from>
    <xdr:to>
      <xdr:col>8</xdr:col>
      <xdr:colOff>32107</xdr:colOff>
      <xdr:row>11</xdr:row>
      <xdr:rowOff>36288</xdr:rowOff>
    </xdr:to>
    <xdr:pic>
      <xdr:nvPicPr>
        <xdr:cNvPr id="4" name="Рисунок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76275"/>
          <a:ext cx="6496050" cy="1933575"/>
        </a:xfrm>
        <a:prstGeom prst="rect"/>
        <a:effectLst>
          <a:glow>
            <a:schemeClr val="accent1">
              <a:alpha val="79000"/>
            </a:schemeClr>
          </a:glow>
          <a:reflection endPos="0" dist="50800" dir="5400000" sy="-100000" algn="bl" rotWithShape="0"/>
          <a:softEdge rad="0"/>
        </a:effectLst>
      </xdr:spPr>
    </xdr:pic>
    <xdr:clientData/>
  </xdr:twoCellAnchor>
  <xdr:twoCellAnchor editAs="oneCell">
    <xdr:from>
      <xdr:col>12</xdr:col>
      <xdr:colOff>74916</xdr:colOff>
      <xdr:row>1</xdr:row>
      <xdr:rowOff>21406</xdr:rowOff>
    </xdr:from>
    <xdr:to>
      <xdr:col>37</xdr:col>
      <xdr:colOff>0</xdr:colOff>
      <xdr:row>13</xdr:row>
      <xdr:rowOff>139129</xdr:rowOff>
    </xdr:to>
    <xdr:pic>
      <xdr:nvPicPr>
        <xdr:cNvPr id="6" name="Рисунок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05700" y="685800"/>
          <a:ext cx="3476625" cy="2352675"/>
        </a:xfrm>
        <a:prstGeom prst="rect"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4</xdr:col>
      <xdr:colOff>652837</xdr:colOff>
      <xdr:row>47</xdr:row>
      <xdr:rowOff>114074</xdr:rowOff>
    </xdr:to>
    <xdr:pic>
      <xdr:nvPicPr>
        <xdr:cNvPr id="5" name="Рисунок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7410450"/>
          <a:ext cx="4600575" cy="3019425"/>
        </a:xfrm>
        <a:prstGeom prst="rect"/>
      </xdr:spPr>
    </xdr:pic>
    <xdr:clientData/>
  </xdr:twoCellAnchor>
  <xdr:twoCellAnchor editAs="oneCell">
    <xdr:from>
      <xdr:col>4</xdr:col>
      <xdr:colOff>642136</xdr:colOff>
      <xdr:row>33</xdr:row>
      <xdr:rowOff>21405</xdr:rowOff>
    </xdr:from>
    <xdr:to>
      <xdr:col>37</xdr:col>
      <xdr:colOff>5970</xdr:colOff>
      <xdr:row>43</xdr:row>
      <xdr:rowOff>53511</xdr:rowOff>
    </xdr:to>
    <xdr:pic>
      <xdr:nvPicPr>
        <xdr:cNvPr id="8" name="Рисунок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81525" y="7429500"/>
          <a:ext cx="6400800" cy="2171700"/>
        </a:xfrm>
        <a:prstGeom prst="rect"/>
      </xdr:spPr>
    </xdr:pic>
    <xdr:clientData/>
  </xdr:twoCellAnchor>
  <xdr:twoCellAnchor editAs="oneCell">
    <xdr:from>
      <xdr:col>0</xdr:col>
      <xdr:colOff>0</xdr:colOff>
      <xdr:row>47</xdr:row>
      <xdr:rowOff>72112</xdr:rowOff>
    </xdr:from>
    <xdr:to>
      <xdr:col>37</xdr:col>
      <xdr:colOff>32106</xdr:colOff>
      <xdr:row>64</xdr:row>
      <xdr:rowOff>14935</xdr:rowOff>
    </xdr:to>
    <xdr:pic>
      <xdr:nvPicPr>
        <xdr:cNvPr id="9" name="Рисунок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10391775"/>
          <a:ext cx="11010900" cy="3181350"/>
        </a:xfrm>
        <a:prstGeom prst="rect"/>
      </xdr:spPr>
    </xdr:pic>
    <xdr:clientData/>
  </xdr:twoCellAnchor>
  <xdr:twoCellAnchor editAs="oneCell">
    <xdr:from>
      <xdr:col>0</xdr:col>
      <xdr:colOff>0</xdr:colOff>
      <xdr:row>64</xdr:row>
      <xdr:rowOff>64214</xdr:rowOff>
    </xdr:from>
    <xdr:to>
      <xdr:col>37</xdr:col>
      <xdr:colOff>32106</xdr:colOff>
      <xdr:row>85</xdr:row>
      <xdr:rowOff>124725</xdr:rowOff>
    </xdr:to>
    <xdr:pic>
      <xdr:nvPicPr>
        <xdr:cNvPr id="10" name="Рисунок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13620750"/>
          <a:ext cx="11010900" cy="4057650"/>
        </a:xfrm>
        <a:prstGeom prst="rect"/>
      </xdr:spPr>
    </xdr:pic>
    <xdr:clientData/>
  </xdr:twoCellAnchor>
  <xdr:twoCellAnchor editAs="oneCell">
    <xdr:from>
      <xdr:col>0</xdr:col>
      <xdr:colOff>10703</xdr:colOff>
      <xdr:row>85</xdr:row>
      <xdr:rowOff>181939</xdr:rowOff>
    </xdr:from>
    <xdr:to>
      <xdr:col>37</xdr:col>
      <xdr:colOff>35660</xdr:colOff>
      <xdr:row>111</xdr:row>
      <xdr:rowOff>42809</xdr:rowOff>
    </xdr:to>
    <xdr:pic>
      <xdr:nvPicPr>
        <xdr:cNvPr id="11" name="Рисунок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525" y="17735550"/>
          <a:ext cx="11010900" cy="4810125"/>
        </a:xfrm>
        <a:prstGeom prst="rect"/>
      </xdr:spPr>
    </xdr:pic>
    <xdr:clientData/>
  </xdr:twoCellAnchor>
  <xdr:twoCellAnchor editAs="oneCell">
    <xdr:from>
      <xdr:col>6</xdr:col>
      <xdr:colOff>10701</xdr:colOff>
      <xdr:row>111</xdr:row>
      <xdr:rowOff>42810</xdr:rowOff>
    </xdr:from>
    <xdr:to>
      <xdr:col>37</xdr:col>
      <xdr:colOff>48025</xdr:colOff>
      <xdr:row>141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829175" y="22545675"/>
          <a:ext cx="6200775" cy="5676900"/>
        </a:xfrm>
        <a:prstGeom prst="rect"/>
      </xdr:spPr>
    </xdr:pic>
    <xdr:clientData/>
  </xdr:twoCellAnchor>
  <xdr:twoCellAnchor editAs="oneCell">
    <xdr:from>
      <xdr:col>0</xdr:col>
      <xdr:colOff>0</xdr:colOff>
      <xdr:row>166</xdr:row>
      <xdr:rowOff>107022</xdr:rowOff>
    </xdr:from>
    <xdr:to>
      <xdr:col>37</xdr:col>
      <xdr:colOff>222548</xdr:colOff>
      <xdr:row>229</xdr:row>
      <xdr:rowOff>76352</xdr:rowOff>
    </xdr:to>
    <xdr:pic>
      <xdr:nvPicPr>
        <xdr:cNvPr id="13" name="Рисунок 12"/>
        <xdr:cNvPicPr>
          <a:picLocks noChangeArrowheads="1"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3089850"/>
          <a:ext cx="11201400" cy="1197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107021</xdr:rowOff>
    </xdr:from>
    <xdr:to>
      <xdr:col>37</xdr:col>
      <xdr:colOff>265285</xdr:colOff>
      <xdr:row>278</xdr:row>
      <xdr:rowOff>114512</xdr:rowOff>
    </xdr:to>
    <xdr:pic>
      <xdr:nvPicPr>
        <xdr:cNvPr id="14" name="Рисунок 13"/>
        <xdr:cNvPicPr>
          <a:picLocks noChangeArrowheads="1" noChangeAspect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5281850"/>
          <a:ext cx="11249025" cy="91535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279</xdr:row>
      <xdr:rowOff>143237</xdr:rowOff>
    </xdr:from>
    <xdr:to>
      <xdr:col>37</xdr:col>
      <xdr:colOff>246151</xdr:colOff>
      <xdr:row>347</xdr:row>
      <xdr:rowOff>165350</xdr:rowOff>
    </xdr:to>
    <xdr:pic>
      <xdr:nvPicPr>
        <xdr:cNvPr id="15" name="Рисунок 14"/>
        <xdr:cNvPicPr>
          <a:picLocks noChangeArrowheads="1" noChangeAspect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4654450"/>
          <a:ext cx="11229975" cy="129730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96321</xdr:rowOff>
    </xdr:from>
    <xdr:to>
      <xdr:col>37</xdr:col>
      <xdr:colOff>786264</xdr:colOff>
      <xdr:row>166</xdr:row>
      <xdr:rowOff>139128</xdr:rowOff>
    </xdr:to>
    <xdr:pic>
      <xdr:nvPicPr>
        <xdr:cNvPr id="17" name="Рисунок 16"/>
        <xdr:cNvPicPr>
          <a:picLocks noChangeArrowheads="1"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8127325"/>
          <a:ext cx="11772900" cy="49911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85618</xdr:rowOff>
    </xdr:from>
    <xdr:to>
      <xdr:col>37</xdr:col>
      <xdr:colOff>557147</xdr:colOff>
      <xdr:row>419</xdr:row>
      <xdr:rowOff>149831</xdr:rowOff>
    </xdr:to>
    <xdr:pic>
      <xdr:nvPicPr>
        <xdr:cNvPr id="18" name="Рисунок 17"/>
        <xdr:cNvPicPr>
          <a:picLocks noChangeArrowheads="1"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7741800"/>
          <a:ext cx="11534775" cy="135921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420</xdr:row>
      <xdr:rowOff>129352</xdr:rowOff>
    </xdr:from>
    <xdr:to>
      <xdr:col>37</xdr:col>
      <xdr:colOff>160533</xdr:colOff>
      <xdr:row>488</xdr:row>
      <xdr:rowOff>102313</xdr:rowOff>
    </xdr:to>
    <xdr:pic>
      <xdr:nvPicPr>
        <xdr:cNvPr id="20" name="Рисунок 19"/>
        <xdr:cNvPicPr>
          <a:picLocks noChangeArrowheads="1"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1505425"/>
          <a:ext cx="11144250" cy="129254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4" Type="http://schemas.openxmlformats.org/officeDocument/2006/relationships/hyperlink" Target="https://www.blum.com/eu/en/products/liftsystems/aventos-hl-top/downloads-videos/" TargetMode="External" /><Relationship Id="rId1" Type="http://schemas.openxmlformats.org/officeDocument/2006/relationships/hyperlink" Target="http://www.blum.com/by/ru/01/10/50/" TargetMode="External" /><Relationship Id="rId5" Type="http://schemas.openxmlformats.org/officeDocument/2006/relationships/hyperlink" Target="https://publications.blum.com/2018/catalogue/ru/279/#zoom=z" TargetMode="External" /><Relationship Id="rId9" Type="http://schemas.openxmlformats.org/officeDocument/2006/relationships/hyperlink" Target="https://publications.blum.com/2018/catalogue/ru/220/#zoom=z" TargetMode="External" /><Relationship Id="rId6" Type="http://schemas.openxmlformats.org/officeDocument/2006/relationships/hyperlink" Target="https://publications.blum.com/2018/catalogue/ru/373/#zoom=z" TargetMode="External" /><Relationship Id="rId15" Type="http://schemas.openxmlformats.org/officeDocument/2006/relationships/printerSettings" Target="../printerSettings/printerSettings1.bin" /><Relationship Id="rId2" Type="http://schemas.openxmlformats.org/officeDocument/2006/relationships/hyperlink" Target="http://www.blum.com/by/ru/01/10/60/" TargetMode="External" /><Relationship Id="rId4" Type="http://schemas.openxmlformats.org/officeDocument/2006/relationships/hyperlink" Target="https://publications.blum.com/2018/catalogue/ru/454/#zoom=z" TargetMode="External" /><Relationship Id="rId10" Type="http://schemas.openxmlformats.org/officeDocument/2006/relationships/hyperlink" Target="https://publications.blum.com/2018/catalogue/ru/298/#zoom=z" TargetMode="External" /><Relationship Id="rId11" Type="http://schemas.openxmlformats.org/officeDocument/2006/relationships/hyperlink" Target="https://publications.blum.com/2018/catalogue/ru/263/#zoom=z" TargetMode="External" /><Relationship Id="rId12" Type="http://schemas.openxmlformats.org/officeDocument/2006/relationships/hyperlink" Target="https://www.blum.com/eu/en/products/liftsystems/aventos-hf-top/downloads-videos/" TargetMode="External" /><Relationship Id="rId13" Type="http://schemas.openxmlformats.org/officeDocument/2006/relationships/hyperlink" Target="https://www.blum.com/eu/en/products/liftsystems/aventos-hs-top/downloads-videos/" TargetMode="External" /><Relationship Id="rId3" Type="http://schemas.openxmlformats.org/officeDocument/2006/relationships/hyperlink" Target="https://publications.blum.com/2018/catalogue/ru/263/#zoom=z" TargetMode="External" /><Relationship Id="rId7" Type="http://schemas.openxmlformats.org/officeDocument/2006/relationships/hyperlink" Target="mailto:sergeytv@pan-invest.com?subject=&#1050;&#1072;&#1083;&#1100;&#1082;&#1091;&#1083;&#1103;&#1090;&#1086;&#1088;%20BLUM%202016" TargetMode="External" /><Relationship Id="rId8" Type="http://schemas.openxmlformats.org/officeDocument/2006/relationships/hyperlink" Target="mailto:st@antarion.by?subject=&#1050;&#1072;&#1083;&#1100;&#1082;&#1091;&#1083;&#1103;&#1090;&#1086;&#1088;%20BLUM%202016" TargetMode="Externa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4.bin" /><Relationship Id="rId1" Type="http://schemas.openxmlformats.org/officeDocument/2006/relationships/drawing" Target="../drawings/drawing9.xml" /></Relationships>
</file>

<file path=xl/worksheets/_rels/sheet1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6.bin" /><Relationship Id="rId4" Type="http://schemas.openxmlformats.org/officeDocument/2006/relationships/printerSettings" Target="../printerSettings/printerSettings15.bin" /><Relationship Id="rId2" Type="http://schemas.openxmlformats.org/officeDocument/2006/relationships/drawing" Target="../drawings/drawing10.xml" /><Relationship Id="rId3" Type="http://schemas.openxmlformats.org/officeDocument/2006/relationships/vmlDrawing" Target="../drawings/vmlDrawing3.vml" /><Relationship Id="rId1" Type="http://schemas.openxmlformats.org/officeDocument/2006/relationships/comments" Target="../comments11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11.xml" /><Relationship Id="rId3" Type="http://schemas.openxmlformats.org/officeDocument/2006/relationships/vmlDrawing" Target="../drawings/vmlDrawing4.vml" /><Relationship Id="rId1" Type="http://schemas.openxmlformats.org/officeDocument/2006/relationships/comments" Target="../comments12.xml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12.xml" /><Relationship Id="rId3" Type="http://schemas.openxmlformats.org/officeDocument/2006/relationships/vmlDrawing" Target="../drawings/vmlDrawing5.vml" /><Relationship Id="rId1" Type="http://schemas.openxmlformats.org/officeDocument/2006/relationships/comments" Target="../comments13.xml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7.bin" /><Relationship Id="rId1" Type="http://schemas.openxmlformats.org/officeDocument/2006/relationships/drawing" Target="../drawings/drawing13.x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1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2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3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4.xml" /></Relationships>
</file>

<file path=xl/worksheets/_rels/sheet6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6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1.vml" /><Relationship Id="rId1" Type="http://schemas.openxmlformats.org/officeDocument/2006/relationships/comments" Target="../comments6.xml" /></Relationships>
</file>

<file path=xl/worksheets/_rels/sheet7.xml.rels><?xml version="1.0" encoding="UTF-8" standalone="yes"?><Relationships xmlns="http://schemas.openxmlformats.org/package/2006/relationships"><Relationship Id="rId3" Type="http://schemas.openxmlformats.org/officeDocument/2006/relationships/ctrlProp" Target="../ctrProps/ctrProp2.xml" /><Relationship Id="rId4" Type="http://schemas.openxmlformats.org/officeDocument/2006/relationships/ctrlProp" Target="../ctrProps/ctrProp3.xml" /><Relationship Id="rId2" Type="http://schemas.openxmlformats.org/officeDocument/2006/relationships/ctrlProp" Target="../ctrProps/ctrProp1.xml" /><Relationship Id="rId9" Type="http://schemas.openxmlformats.org/officeDocument/2006/relationships/printerSettings" Target="../printerSettings/printerSettings9.bin" /><Relationship Id="rId1" Type="http://schemas.openxmlformats.org/officeDocument/2006/relationships/comments" Target="../comments7.xml" /><Relationship Id="rId8" Type="http://schemas.openxmlformats.org/officeDocument/2006/relationships/printerSettings" Target="../printerSettings/printerSettings8.bin" /><Relationship Id="rId6" Type="http://schemas.openxmlformats.org/officeDocument/2006/relationships/drawing" Target="../drawings/drawing6.xml" /><Relationship Id="rId7" Type="http://schemas.openxmlformats.org/officeDocument/2006/relationships/vmlDrawing" Target="../drawings/vmlDrawing2.vml" /><Relationship Id="rId5" Type="http://schemas.openxmlformats.org/officeDocument/2006/relationships/ctrlProp" Target="../ctrProps/ctrProp4.x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3" Type="http://schemas.openxmlformats.org/officeDocument/2006/relationships/printerSettings" Target="../printerSettings/printerSettings11.bin" /><Relationship Id="rId1" Type="http://schemas.openxmlformats.org/officeDocument/2006/relationships/drawing" Target="../drawings/drawing7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3" Type="http://schemas.openxmlformats.org/officeDocument/2006/relationships/printerSettings" Target="../printerSettings/printerSettings13.bin" /><Relationship Id="rId1" Type="http://schemas.openxmlformats.org/officeDocument/2006/relationships/drawing" Target="../drawings/drawing8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C41"/>
  <sheetViews>
    <sheetView showGridLines="0" showRowColHeaders="0" tabSelected="1" zoomScale="95" zoomScaleNormal="95" zoomScaleSheetLayoutView="93" workbookViewId="0" topLeftCell="A1">
      <selection pane="topLeft" activeCell="AG14" sqref="AG14"/>
    </sheetView>
  </sheetViews>
  <sheetFormatPr defaultRowHeight="12.75"/>
  <cols>
    <col min="3" max="3" width="10.8571428571429" customWidth="1"/>
    <col min="4" max="4" width="11.7142857142857" customWidth="1"/>
    <col min="6" max="6" width="6.85714285714286" customWidth="1"/>
    <col min="7" max="7" width="7.85714285714286" customWidth="1"/>
    <col min="8" max="8" width="5.42857142857143" customWidth="1"/>
    <col min="9" max="9" width="8.42857142857143" customWidth="1"/>
    <col min="10" max="10" width="3.71428571428571" hidden="1" customWidth="1"/>
    <col min="11" max="12" width="9.14285714285714" hidden="1" customWidth="1"/>
    <col min="13" max="13" width="6.85714285714286" hidden="1" customWidth="1"/>
    <col min="14" max="22" width="9.14285714285714" hidden="1" customWidth="1"/>
    <col min="23" max="23" width="9" customWidth="1"/>
    <col min="24" max="24" width="13.4285714285714" customWidth="1"/>
    <col min="25" max="25" width="68.8571428571429" customWidth="1"/>
    <col min="26" max="26" width="28.8571428571429" customWidth="1"/>
    <col min="27" max="27" width="9.14285714285714" hidden="1" customWidth="1"/>
  </cols>
  <sheetData>
    <row r="1" spans="1:25" ht="19.5" customHeight="1">
      <c r="A1" s="708" t="s">
        <v>284</v>
      </c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09"/>
      <c s="710"/>
    </row>
    <row r="2" spans="1:25" ht="16.5" customHeight="1">
      <c r="A2" s="711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2"/>
      <c s="713"/>
    </row>
    <row r="3" spans="1:25" ht="17.25" customHeight="1" thickBot="1">
      <c r="A3" s="714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5"/>
      <c s="716"/>
    </row>
    <row r="4" spans="1:25" ht="20.25" customHeight="1">
      <c r="A4" s="706" t="s">
        <v>510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5" spans="1:25" ht="20.25" customHeight="1">
      <c r="A5" s="726" t="s">
        <v>511</v>
      </c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7"/>
      <c s="728"/>
      <c s="540" t="s">
        <v>292</v>
      </c>
    </row>
    <row r="6" spans="1:25" ht="21" customHeight="1">
      <c r="A6" s="706" t="s">
        <v>512</v>
      </c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722"/>
      <c s="540" t="s">
        <v>292</v>
      </c>
    </row>
    <row r="7" spans="1:29" ht="21.75" customHeight="1">
      <c r="A7" s="723" t="s">
        <v>513</v>
      </c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4"/>
      <c s="725"/>
      <c s="540" t="s">
        <v>292</v>
      </c>
      <c r="AC7" s="7"/>
    </row>
    <row r="8" spans="1:25" ht="21.75" customHeight="1">
      <c r="A8" s="706" t="s">
        <v>514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9" spans="1:25" ht="22.5" customHeight="1">
      <c r="A9" s="706" t="s">
        <v>515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10" spans="1:25" ht="22.5" customHeight="1">
      <c r="A10" s="706" t="s">
        <v>516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11" spans="1:25" ht="23.25" customHeight="1">
      <c r="A11" s="721" t="s">
        <v>517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12" spans="1:25" ht="24" customHeight="1">
      <c r="A12" s="706" t="s">
        <v>518</v>
      </c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540" t="s">
        <v>292</v>
      </c>
    </row>
    <row r="13" spans="1:25" ht="23.25" customHeight="1">
      <c r="A13" s="721" t="s">
        <v>519</v>
      </c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706"/>
      <c s="540" t="s">
        <v>292</v>
      </c>
    </row>
    <row r="14" spans="1:26" ht="21" customHeight="1">
      <c r="A14" s="706" t="s">
        <v>520</v>
      </c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540" t="s">
        <v>292</v>
      </c>
      <c s="7"/>
    </row>
    <row r="15" spans="1:26" ht="21" customHeight="1">
      <c r="A15" s="706" t="s">
        <v>521</v>
      </c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540" t="s">
        <v>292</v>
      </c>
      <c s="7"/>
    </row>
    <row r="16" spans="1:26" ht="18" customHeight="1">
      <c r="A16" s="706" t="s">
        <v>522</v>
      </c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707"/>
      <c s="540" t="s">
        <v>292</v>
      </c>
      <c s="7"/>
    </row>
    <row r="17" spans="1:25" ht="18" customHeight="1">
      <c r="A17" s="600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599"/>
      <c s="601"/>
    </row>
    <row r="18" spans="1:25" ht="15">
      <c r="A18" s="322"/>
      <c s="323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19" spans="1:25" ht="15">
      <c r="A19" s="344" t="s">
        <v>303</v>
      </c>
      <c s="323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0" spans="1:25" ht="15">
      <c r="A20" s="322"/>
      <c s="343" t="s">
        <v>298</v>
      </c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1" spans="1:25" ht="15">
      <c r="A21" s="322"/>
      <c s="343" t="s">
        <v>299</v>
      </c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2" spans="1:25" ht="15">
      <c r="A22" s="322"/>
      <c s="343" t="s">
        <v>302</v>
      </c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3" spans="1:25" ht="15">
      <c r="A23" s="322"/>
      <c s="343" t="s">
        <v>300</v>
      </c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4" spans="1:25" ht="15">
      <c r="A24" s="344" t="s">
        <v>304</v>
      </c>
      <c s="343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322"/>
      <c s="73"/>
    </row>
    <row r="25" spans="1:24" ht="12.75">
      <c r="A25" s="352"/>
      <c s="352" t="s">
        <v>305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26" spans="1:24" ht="12.75">
      <c r="A26" s="352"/>
      <c s="352" t="s">
        <v>306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27" spans="1:24" ht="12.75">
      <c r="A27" s="352"/>
      <c s="352" t="s">
        <v>307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28" spans="1:24" ht="12.75">
      <c r="A28"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29" spans="1:24" ht="12.75">
      <c r="A29" s="352"/>
      <c s="352" t="s">
        <v>308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0" spans="1:24" ht="12.75">
      <c r="A30"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1" spans="1:24" ht="12.75">
      <c r="A31" s="352"/>
      <c s="352" t="s">
        <v>311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2" spans="1:24" ht="12.75">
      <c r="A32"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3" spans="1:24" ht="12.75">
      <c r="A33" s="352"/>
      <c s="352" t="s">
        <v>309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4" spans="1:24" ht="12.75">
      <c r="A34" s="352"/>
      <c s="352" t="s">
        <v>310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5" spans="1:24" ht="12.75">
      <c r="A35" s="352"/>
      <c s="352" t="s">
        <v>312</v>
      </c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6" spans="1:24" ht="12.75">
      <c r="A36"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  <c s="352"/>
    </row>
    <row r="37" spans="1:6" ht="15">
      <c r="A37" s="345"/>
      <c s="346"/>
      <c s="347"/>
      <c s="348"/>
      <c s="324"/>
      <c s="324"/>
    </row>
    <row r="38" spans="1:6" ht="15">
      <c r="A38" s="349" t="s">
        <v>291</v>
      </c>
      <c s="346"/>
      <c s="717" t="s">
        <v>323</v>
      </c>
      <c s="718"/>
      <c s="324"/>
      <c s="324"/>
    </row>
    <row r="39" spans="1:6" ht="12.75">
      <c r="A39" s="350"/>
      <c s="351"/>
      <c s="719"/>
      <c s="720"/>
      <c s="73"/>
      <c s="73"/>
    </row>
    <row r="40" spans="1:6" ht="12.75">
      <c r="A40" s="350"/>
      <c s="350"/>
      <c s="350"/>
      <c s="350"/>
      <c s="73"/>
      <c s="73"/>
    </row>
    <row r="41" spans="1:4" ht="12.75">
      <c r="A41" s="352"/>
      <c s="352"/>
      <c s="352"/>
      <c s="352"/>
    </row>
  </sheetData>
  <sheetProtection algorithmName="SHA-512" hashValue="KdMKLqVTllZHovVvLdlD3qim7ridg1jIauRVfY5Ti2txZwtiw5lXrgwdQfPwngrYibkQyiEcyMiS+PE7IfHEHw==" saltValue="2YFbR5Rtl+1uvQXLAUusPA==" spinCount="100000" sheet="1" objects="1" scenarios="1" formatCells="0" formatColumns="0" formatRows="0" insertColumns="0" insertRows="0" insertHyperlinks="0" deleteColumns="0" deleteRows="0" sort="0" autoFilter="0" pivotTables="0"/>
  <mergeCells count="15">
    <mergeCell ref="A6:X6"/>
    <mergeCell ref="A4:X4"/>
    <mergeCell ref="A16:X16"/>
    <mergeCell ref="A1:Y3"/>
    <mergeCell ref="C38:D39"/>
    <mergeCell ref="A13:X13"/>
    <mergeCell ref="A10:X10"/>
    <mergeCell ref="A12:X12"/>
    <mergeCell ref="A14:X14"/>
    <mergeCell ref="A15:X15"/>
    <mergeCell ref="A11:X11"/>
    <mergeCell ref="A8:X8"/>
    <mergeCell ref="A9:X9"/>
    <mergeCell ref="A7:X7"/>
    <mergeCell ref="A5:X5"/>
  </mergeCells>
  <hyperlinks>
    <hyperlink ref="A13:X13" location="'TANDEMBOX боковые вставки'!A1" display="'   10)   TANDEMBOX Intivo, Antaro, Plus - расчёт боковых вставок"/>
    <hyperlink ref="A11:X11" location="'TIP-ON BUMOTION MOVENTO'!A1" display="'     8)   TIP-ON BUMOTION для MOVENTO"/>
    <hyperlink ref="A10:X10" location="'TIP-ON BLUMOTION LEGRABOX'!A1" display="     7)   TIP-ON BLUMOTION для LEGRABOX"/>
    <hyperlink ref="A8:X8" location="'HK-S'!A1" display="     5)   AVENTOS HK-S"/>
    <hyperlink ref="Y8" r:id="rId1" display="дополнительная информация об изделии в интернете"/>
    <hyperlink ref="Y9" r:id="rId2" display="дополнительная информация об изделии в интернете"/>
    <hyperlink ref="Y10" r:id="rId3" display="дополнительная информация об изделии в интернете"/>
    <hyperlink ref="Y11" r:id="rId4" display="дополнительная информация об изделии в интернете"/>
    <hyperlink ref="Y13" r:id="rId5" display="дополнительная информация об изделии в интернете"/>
    <hyperlink ref="A9:X9" location="'HK-XS'!A1" display="     6)   AVENTOS HK-XS"/>
    <hyperlink ref="A12:X12" location="'TIP-ON BLUMOTION TANDEMBOX'!A1" display="     9)   TIP-ON BLUMOTION для TANDEMBOX"/>
    <hyperlink ref="Y12" r:id="rId6" display="дополнительная информация об изделии в интернете"/>
    <hyperlink ref="C38" r:id="rId7" display="написать нам письмо"/>
    <hyperlink ref="C38:D39" r:id="rId8" display="написать нам письмо"/>
    <hyperlink ref="A14:X14" location="'Раскрой дна и з.с для TANDEMBOX'!A1" display="   11)   Расчёт размеров дна и задней стенки TANDEMBOX"/>
    <hyperlink ref="A15:X15" location="'Раскрой дна и з.с. для LEGRABOX'!A1" display="   12)   Расчёт размеров дна и задней стенки LEGRABOX"/>
    <hyperlink ref="Y15" r:id="rId9" display="дополнительная информация об изделии в интернете"/>
    <hyperlink ref="A7:X7" location="'HK top'!A1" display="     4)   AVENTOS HK top"/>
    <hyperlink ref="Y7" location="'Схема AVENTOS HK top'!A1" display="дополнительная информация об изделии в интернете"/>
    <hyperlink ref="Y14" r:id="rId10" display="дополнительная информация об изделии в интернете"/>
    <hyperlink ref="A16:X16" location="'Раскрой валов синхронизации'!A1" display="   13)   Раскрой валов синхронизации TIP-ON BLUMOTION и TIP-ON"/>
    <hyperlink ref="Y16" r:id="rId11" display="дополнительная информация об изделии в интернете"/>
    <hyperlink ref="A4:X4" location="'HF top'!A1" display="     1)   AVENTOS HF top"/>
    <hyperlink ref="A5:X5" location="'HS top'!A1" display="'     2)   AVENTOS HS top"/>
    <hyperlink ref="A6:X6" location="'HL top'!A1" display="     3)   AVENTOS HL top"/>
    <hyperlink ref="Y4" r:id="rId12" display="дополнительная информация об изделии в интернете"/>
    <hyperlink ref="Y5" r:id="rId13" display="дополнительная информация об изделии в интернете"/>
    <hyperlink ref="Y6" r:id="rId14" display="дополнительная информация об изделии в интернете"/>
  </hyperlinks>
  <pageMargins left="0.708661417322835" right="0.708661417322835" top="0.748031496062992" bottom="0.748031496062992" header="0.31496062992126" footer="0.31496062992126"/>
  <pageSetup orientation="portrait" paperSize="9" scale="39" r:id="rId1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9">
    <tabColor theme="0" tint="-0.149979993700981"/>
  </sheetPr>
  <dimension ref="A1:BE46"/>
  <sheetViews>
    <sheetView showGridLines="0" zoomScale="89" zoomScaleNormal="89" workbookViewId="0" topLeftCell="A1">
      <selection pane="topLeft" activeCell="BK19" sqref="BK19"/>
    </sheetView>
  </sheetViews>
  <sheetFormatPr defaultColWidth="9.14428571428571" defaultRowHeight="15"/>
  <cols>
    <col min="1" max="1" width="3.28571428571429" style="163" customWidth="1"/>
    <col min="2" max="2" width="34.4285714285714" style="163" customWidth="1"/>
    <col min="3" max="4" width="10.7142857142857" style="163" customWidth="1"/>
    <col min="5" max="5" width="11.1428571428571" style="163" customWidth="1"/>
    <col min="6" max="7" width="2" style="163" customWidth="1"/>
    <col min="8" max="8" width="22.7142857142857" style="163" customWidth="1"/>
    <col min="9" max="10" width="2" style="163" customWidth="1"/>
    <col min="11" max="11" width="5.28571428571429" style="163" customWidth="1"/>
    <col min="12" max="12" width="5.14285714285714" style="163" customWidth="1"/>
    <col min="13" max="30" width="2" style="163" customWidth="1"/>
    <col min="31" max="31" width="3.14285714285714" style="163" customWidth="1"/>
    <col min="32" max="34" width="2" style="163" customWidth="1"/>
    <col min="35" max="35" width="2.42857142857143" style="163" customWidth="1"/>
    <col min="36" max="36" width="2" style="163" customWidth="1"/>
    <col min="37" max="37" width="3.71428571428571" style="163" customWidth="1"/>
    <col min="38" max="38" width="20.8571428571429" style="163" customWidth="1"/>
    <col min="39" max="39" width="18.4285714285714" style="163" customWidth="1"/>
    <col min="40" max="40" width="9.14285714285714" style="163" hidden="1" customWidth="1"/>
    <col min="41" max="41" width="21.1428571428571" style="163" hidden="1" customWidth="1"/>
    <col min="42" max="42" width="9.14285714285714" style="163" hidden="1" customWidth="1"/>
    <col min="43" max="43" width="19.4285714285714" style="163" hidden="1" customWidth="1"/>
    <col min="44" max="44" width="10.4285714285714" style="163" hidden="1" customWidth="1"/>
    <col min="45" max="45" width="20.2857142857143" style="163" hidden="1" customWidth="1"/>
    <col min="46" max="46" width="24" style="163" hidden="1" customWidth="1"/>
    <col min="47" max="47" width="11.4285714285714" style="163" hidden="1" customWidth="1"/>
    <col min="48" max="48" width="11.2857142857143" style="163" hidden="1" customWidth="1"/>
    <col min="49" max="49" width="10.2857142857143" style="163" hidden="1" customWidth="1"/>
    <col min="50" max="50" width="9" style="163" hidden="1" customWidth="1"/>
    <col min="51" max="52" width="9.14285714285714" style="163" hidden="1" customWidth="1"/>
    <col min="53" max="53" width="12.4285714285714" style="163" hidden="1" customWidth="1"/>
    <col min="54" max="55" width="14.8571428571429" style="163" hidden="1" customWidth="1"/>
    <col min="56" max="57" width="9.14285714285714" style="163" hidden="1" customWidth="1"/>
    <col min="58" max="16384" width="9.14285714285714" style="163"/>
  </cols>
  <sheetData>
    <row r="1" spans="1:57" ht="52.5" customHeight="1" thickBot="1">
      <c r="A1" s="1129" t="s">
        <v>296</v>
      </c>
      <c s="1130"/>
      <c s="1130"/>
      <c s="1130"/>
      <c s="1130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2"/>
      <c s="338" t="s">
        <v>295</v>
      </c>
      <c r="AN1" s="228"/>
      <c s="229" t="s">
        <v>256</v>
      </c>
      <c s="216" t="s">
        <v>255</v>
      </c>
      <c s="216" t="s">
        <v>197</v>
      </c>
      <c s="216" t="s">
        <v>254</v>
      </c>
      <c s="223" t="s">
        <v>253</v>
      </c>
      <c s="226" t="s">
        <v>252</v>
      </c>
      <c s="1133" t="s">
        <v>251</v>
      </c>
      <c s="1133"/>
      <c s="1133"/>
      <c s="1133"/>
      <c s="1133"/>
      <c s="228" t="s">
        <v>250</v>
      </c>
      <c s="227" t="s">
        <v>249</v>
      </c>
      <c s="223" t="s">
        <v>248</v>
      </c>
      <c s="223" t="s">
        <v>247</v>
      </c>
      <c s="223" t="s">
        <v>246</v>
      </c>
      <c s="223" t="s">
        <v>222</v>
      </c>
    </row>
    <row r="2" spans="1:57" ht="21.75" customHeight="1">
      <c r="A2" s="219"/>
      <c s="218"/>
      <c s="218"/>
      <c s="218"/>
      <c s="218"/>
      <c r="I2" s="1276" t="s">
        <v>301</v>
      </c>
      <c s="1277"/>
      <c s="1277"/>
      <c s="1277"/>
      <c r="AK2" s="217"/>
      <c r="AN2" s="164"/>
      <c s="216"/>
      <c s="216">
        <v>270</v>
      </c>
      <c s="216" t="s">
        <v>244</v>
      </c>
      <c s="216">
        <v>680</v>
      </c>
      <c s="223" t="s">
        <v>243</v>
      </c>
      <c s="226" t="s">
        <v>242</v>
      </c>
      <c s="223" t="s">
        <v>241</v>
      </c>
      <c s="223" t="s">
        <v>240</v>
      </c>
      <c s="223" t="s">
        <v>239</v>
      </c>
      <c s="223" t="s">
        <v>238</v>
      </c>
      <c s="223" t="s">
        <v>237</v>
      </c>
      <c s="163">
        <f>IF(AE20&lt;0,0,IF(AE20&lt;2.51,1,IF(AE20&lt;5.01,2,IF(AE20&lt;7.51,3,IF(AE20&lt;10.01,4,IF(AE20&lt;12.51,5,IF(AE20&lt;15.01,6,IF(AE20&lt;17.51,7,IF(AE20&lt;20.01,8,IF(AE20&lt;22.51,9,IF(AE20&lt;25.01,10,IF(AE20&lt;27.51,11,IF(AE20&lt;30.01,12,IF(AE20&lt;32.51,13,IF(AE20&lt;35.01,14,IF(AE20&lt;37.51,15,IF(AE20&lt;40.01,16,IF(AE20&lt;42.51,17,IF(AE20&lt;45.01,18,IF(AE20&lt;47.51,19,IF(AE20&lt;50.01,20,IF(AE20&lt;52.51,21,IF(AE20&lt;55.01,22,IF(AE20&lt;57.51,23,IF(AE20&lt;60,24,25)))))))))))))))))))))))))</f>
        <v>12</v>
      </c>
      <c s="223" t="s">
        <v>236</v>
      </c>
      <c s="223">
        <v>1.5700000000000001</v>
      </c>
      <c s="223">
        <v>1.8400000000000001</v>
      </c>
      <c s="223">
        <f>63*(C19-38)/1000000</f>
        <v>0.041958000000000002</v>
      </c>
      <c s="223">
        <f>(C18-10)*(C19-35)/1000000</f>
        <v>0.32780999999999999</v>
      </c>
    </row>
    <row r="3" spans="1:57" ht="14.25" customHeight="1">
      <c r="A3" s="219"/>
      <c s="218"/>
      <c s="218"/>
      <c s="218"/>
      <c s="218"/>
      <c r="I3" s="1277"/>
      <c s="1277"/>
      <c s="1277"/>
      <c s="1277"/>
      <c r="AK3" s="217"/>
      <c r="AN3" s="164"/>
      <c s="216" t="s">
        <v>235</v>
      </c>
      <c s="216">
        <v>300</v>
      </c>
      <c s="216" t="s">
        <v>234</v>
      </c>
      <c s="216">
        <v>550</v>
      </c>
      <c s="223" t="s">
        <v>233</v>
      </c>
      <c s="226" t="s">
        <v>232</v>
      </c>
      <c s="223" t="s">
        <v>231</v>
      </c>
      <c s="223">
        <v>1</v>
      </c>
      <c s="223">
        <f>IF(C18=AP6,BB9,BC9)</f>
        <v>1.8400000000000001</v>
      </c>
      <c s="223">
        <v>1</v>
      </c>
      <c s="223">
        <f>AV3*AW3*AX3</f>
        <v>1.8400000000000001</v>
      </c>
      <c r="BA3" s="223" t="s">
        <v>230</v>
      </c>
      <c s="223">
        <v>1.417</v>
      </c>
      <c s="223">
        <v>1.53</v>
      </c>
      <c s="223">
        <f>39*(C19-38)/1000000</f>
        <v>0.025974000000000001</v>
      </c>
      <c s="223">
        <f>(C18-10)*(C19-35)/1000000</f>
        <v>0.32780999999999999</v>
      </c>
    </row>
    <row r="4" spans="1:57" ht="14.25" customHeight="1">
      <c r="A4" s="219"/>
      <c s="218"/>
      <c s="218"/>
      <c s="218"/>
      <c s="218"/>
      <c r="I4" s="1277"/>
      <c s="1277"/>
      <c s="1277"/>
      <c s="1277"/>
      <c r="AK4" s="217"/>
      <c r="AN4" s="164"/>
      <c s="216"/>
      <c s="216">
        <v>350</v>
      </c>
      <c s="216" t="s">
        <v>228</v>
      </c>
      <c s="216">
        <v>750</v>
      </c>
      <c s="223" t="s">
        <v>227</v>
      </c>
      <c r="AU4" s="223" t="s">
        <v>226</v>
      </c>
      <c s="223">
        <f>BD9</f>
        <v>0.041958000000000002</v>
      </c>
      <c s="223">
        <f>AR2</f>
        <v>680</v>
      </c>
      <c s="223">
        <v>16</v>
      </c>
      <c s="223">
        <f>AV4*AW4*AX4/1000</f>
        <v>0.45650303999999997</v>
      </c>
      <c r="BA4" s="223" t="s">
        <v>225</v>
      </c>
      <c s="223">
        <v>2.1699999999999999</v>
      </c>
      <c s="223">
        <v>2.3359999999999999</v>
      </c>
      <c s="223">
        <f>101*(C19-38)/1000000</f>
        <v>0.067266000000000006</v>
      </c>
      <c s="223">
        <f>(C18-10)*(C19-35)/1000000</f>
        <v>0.32780999999999999</v>
      </c>
    </row>
    <row r="5" spans="1:57" ht="14.25" customHeight="1">
      <c r="A5" s="219"/>
      <c s="218"/>
      <c s="218"/>
      <c s="218"/>
      <c s="218"/>
      <c r="I5" s="1277"/>
      <c s="1277"/>
      <c s="1277"/>
      <c s="1277"/>
      <c r="AK5" s="217"/>
      <c r="AN5" s="164"/>
      <c s="216"/>
      <c s="216">
        <v>400</v>
      </c>
      <c s="216" t="s">
        <v>223</v>
      </c>
      <c s="216">
        <v>690</v>
      </c>
      <c s="223" t="s">
        <v>194</v>
      </c>
      <c r="AU5" s="223" t="s">
        <v>222</v>
      </c>
      <c s="223">
        <f>BE9</f>
        <v>0.32780999999999999</v>
      </c>
      <c s="223">
        <f>AR2</f>
        <v>680</v>
      </c>
      <c s="223">
        <v>16</v>
      </c>
      <c s="223">
        <f>AV5*AW5*AX5/1000</f>
        <v>3.5665727999999999</v>
      </c>
      <c r="BA5" s="223" t="s">
        <v>221</v>
      </c>
      <c s="223">
        <v>2.6259999999999999</v>
      </c>
      <c s="223">
        <v>2.871</v>
      </c>
      <c s="223">
        <f>148*(C19-38)/1000000</f>
        <v>0.098568000000000003</v>
      </c>
      <c s="223">
        <f>(C18-10)*(C19-35)/1000000</f>
        <v>0.32780999999999999</v>
      </c>
    </row>
    <row r="6" spans="1:57" ht="14.25" customHeight="1">
      <c r="A6" s="219"/>
      <c s="218"/>
      <c s="218"/>
      <c s="218"/>
      <c s="218"/>
      <c r="H6" s="220"/>
      <c s="1277"/>
      <c s="1277"/>
      <c s="1277"/>
      <c s="1277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N6" s="164"/>
      <c s="216"/>
      <c s="216">
        <v>450</v>
      </c>
      <c s="216" t="s">
        <v>195</v>
      </c>
      <c s="216">
        <v>760</v>
      </c>
      <c s="223" t="s">
        <v>219</v>
      </c>
      <c r="AU6" s="223" t="s">
        <v>218</v>
      </c>
      <c s="223">
        <f>C23*C24/1000000</f>
        <v>0.17100000000000001</v>
      </c>
      <c s="223">
        <f>IF(C22=AQ2,AR2,IF(C22=AQ3,AR3,IF(C22=AQ4,AR4,IF(C22=AQ5,AR5,IF(C22=AQ6,AR6,IF(C22=AQ7,AR7,0))))))</f>
        <v>760</v>
      </c>
      <c s="223">
        <f>IF(D22=AS2,10,IF(D22=AS3,16,IF(D22=AS4,18,IF(D22=AS5,19,IF(D22=AS6,4,0)))))</f>
        <v>19</v>
      </c>
      <c s="223">
        <f>AV6*AW6*AX6/1000</f>
        <v>2.4692400000000001</v>
      </c>
      <c r="BA6" s="223" t="s">
        <v>217</v>
      </c>
      <c s="223">
        <v>3.411</v>
      </c>
      <c s="223">
        <v>3.673</v>
      </c>
      <c s="223">
        <f>212*(C19-38)/1000000</f>
        <v>0.14119200000000001</v>
      </c>
      <c s="223">
        <f>(C18-10)*(C19-35)/1000000</f>
        <v>0.32780999999999999</v>
      </c>
    </row>
    <row r="7" spans="1:57" ht="14.25" customHeight="1">
      <c r="A7" s="219"/>
      <c s="218"/>
      <c s="218"/>
      <c s="218"/>
      <c s="218"/>
      <c r="H7" s="220"/>
      <c s="1277"/>
      <c s="1277"/>
      <c s="1277"/>
      <c s="1277"/>
      <c s="220"/>
      <c s="220"/>
      <c s="220"/>
      <c s="220"/>
      <c s="220"/>
      <c s="220"/>
      <c s="220"/>
      <c s="220"/>
      <c s="220"/>
      <c s="220"/>
      <c s="220"/>
      <c s="220"/>
      <c s="225"/>
      <c s="220"/>
      <c s="220"/>
      <c s="220"/>
      <c s="220"/>
      <c s="220"/>
      <c s="220"/>
      <c s="220"/>
      <c s="220"/>
      <c s="220"/>
      <c s="220"/>
      <c s="220"/>
      <c s="221"/>
      <c s="220"/>
      <c r="AO7" s="216"/>
      <c s="216">
        <v>500</v>
      </c>
      <c s="216" t="s">
        <v>215</v>
      </c>
      <c s="216">
        <v>900</v>
      </c>
      <c s="223"/>
      <c r="AY7" s="222">
        <f>SUM(AY3:AY6)</f>
        <v>8.3323158399999997</v>
      </c>
      <c r="BA7" s="223" t="s">
        <v>214</v>
      </c>
      <c s="223">
        <f>2.027+(0.796/1043*(C19-126))</f>
        <v>2.4681198465963567</v>
      </c>
      <c s="223">
        <f>2.167+(0.796/1043*(C19-126))</f>
        <v>2.6081198465963564</v>
      </c>
      <c s="223">
        <f>63*(C19-38)/1000000</f>
        <v>0.041958000000000002</v>
      </c>
      <c s="223">
        <f>(C18-10)*(C19-35)/1000000</f>
        <v>0.32780999999999999</v>
      </c>
    </row>
    <row r="8" spans="1:57" ht="14.25" customHeight="1">
      <c r="A8" s="219"/>
      <c s="218"/>
      <c s="218"/>
      <c s="218"/>
      <c s="218"/>
      <c r="H8" s="220"/>
      <c s="1277"/>
      <c s="1277"/>
      <c s="1277"/>
      <c s="1277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O8" s="216"/>
      <c s="216">
        <v>550</v>
      </c>
      <c s="164"/>
      <c s="164"/>
      <c r="AY8" s="224"/>
      <c r="BA8" s="223" t="s">
        <v>212</v>
      </c>
      <c s="223">
        <f>3.102+(0.796/1043*(C19-126))+(0.344/1080*(C19-90))</f>
        <v>3.7386902169667269</v>
      </c>
      <c s="223">
        <f>3.347+(0.796/1043*(C19-126))+(0.344/1080*(C19-90))</f>
        <v>3.983690216966727</v>
      </c>
      <c s="223">
        <f>148*(C19-38)/1000000</f>
        <v>0.098568000000000003</v>
      </c>
      <c s="223">
        <f>(C18-10)*(C19-35)/1000000</f>
        <v>0.32780999999999999</v>
      </c>
    </row>
    <row r="9" spans="1:57" ht="14.25" customHeight="1">
      <c r="A9" s="219"/>
      <c s="218"/>
      <c s="218"/>
      <c s="218"/>
      <c s="218"/>
      <c r="H9" s="220"/>
      <c s="1277"/>
      <c s="1277"/>
      <c s="1277"/>
      <c s="1277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P9" s="216">
        <v>600</v>
      </c>
      <c s="164"/>
      <c s="164"/>
      <c r="BA9" s="223" t="s">
        <v>211</v>
      </c>
      <c s="222">
        <f>IF(C17=AO2,BB3,IF(C17=AO3,BB2,IF(C17=AO4,BB4,IF(C17=AO5,BB5,IF(C17=AO6,BB6,IF(C17=AO7,BB7,IF(C17=AO8,BB8,0)))))))</f>
        <v>1.5700000000000001</v>
      </c>
      <c s="222">
        <f>IF(C17=AO2,BC3,IF(C17=AO3,BC2,IF(C17=AO4,BC4,IF(C17=AO5,BC5,IF(C17=AO6,BC6,IF(C17=AO7,BC7,IF(C17=AO8,BC8,0)))))))</f>
        <v>1.8400000000000001</v>
      </c>
      <c s="222">
        <f>IF(C17=AO2,BD3,IF(C17=AO3,BD2,IF(C17=AO4,BD4,IF(C17=AO5,BD5,IF(C17=AO6,BD6,IF(C17=AO7,BD7,IF(C17=AO8,BD8,0)))))))</f>
        <v>0.041958000000000002</v>
      </c>
      <c s="222">
        <f>(C18-10)*(C19-35)/1000000</f>
        <v>0.32780999999999999</v>
      </c>
    </row>
    <row r="10" spans="1:44" ht="14.25" customHeight="1">
      <c r="A10" s="219"/>
      <c s="218"/>
      <c s="218"/>
      <c s="218"/>
      <c s="218"/>
      <c r="H10" s="220"/>
      <c s="1277"/>
      <c s="1277"/>
      <c s="1277"/>
      <c s="1277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P10" s="216">
        <v>650</v>
      </c>
      <c s="164"/>
      <c s="164"/>
    </row>
    <row r="11" spans="1:44" ht="14.25" customHeight="1">
      <c r="A11" s="219"/>
      <c s="218"/>
      <c s="218"/>
      <c s="218"/>
      <c s="218"/>
      <c r="I11" s="1277"/>
      <c s="1277"/>
      <c s="1277"/>
      <c s="1277"/>
      <c r="AK11" s="217"/>
      <c r="AP11" s="216">
        <v>700</v>
      </c>
      <c s="164"/>
      <c s="164"/>
    </row>
    <row r="12" spans="1:44" ht="12.75" customHeight="1">
      <c r="A12" s="1134" t="s">
        <v>210</v>
      </c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6"/>
      <c r="AP12" s="216">
        <v>750</v>
      </c>
      <c s="164"/>
      <c s="164"/>
    </row>
    <row r="13" spans="1:53" ht="13.5" customHeight="1">
      <c r="A13" s="215" t="s">
        <v>209</v>
      </c>
      <c s="212"/>
      <c s="212"/>
      <c s="212"/>
      <c s="212"/>
      <c s="214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09"/>
      <c r="AP13" s="164"/>
      <c s="164"/>
      <c s="164"/>
      <c r="BA13" s="340"/>
    </row>
    <row r="14" spans="1:56" ht="12" customHeight="1">
      <c r="A14" s="213" t="s">
        <v>208</v>
      </c>
      <c s="212"/>
      <c s="212"/>
      <c s="212"/>
      <c s="212"/>
      <c s="211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09"/>
      <c r="AP14" s="164"/>
      <c s="164"/>
      <c s="164"/>
      <c r="BA14" s="340"/>
      <c r="BD14" s="341"/>
    </row>
    <row r="15" spans="1:56" ht="15" customHeight="1">
      <c r="A15" s="283"/>
      <c s="1137" t="s">
        <v>207</v>
      </c>
      <c s="1137"/>
      <c s="1137"/>
      <c s="201"/>
      <c s="201"/>
      <c s="201"/>
      <c s="201"/>
      <c s="201"/>
      <c s="201"/>
      <c s="201"/>
      <c s="208"/>
      <c s="1138" t="s">
        <v>206</v>
      </c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5" s="164"/>
      <c s="164"/>
      <c s="164"/>
      <c r="BD15" s="341"/>
    </row>
    <row r="16" spans="1:44" ht="18.75" customHeight="1">
      <c r="A16" s="283"/>
      <c s="1137"/>
      <c s="1137"/>
      <c s="1137"/>
      <c s="201"/>
      <c s="165"/>
      <c s="196"/>
      <c s="195"/>
      <c s="290"/>
      <c s="201"/>
      <c s="201"/>
      <c s="20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6" s="164"/>
      <c s="164"/>
      <c s="164"/>
    </row>
    <row r="17" spans="1:44" ht="18.75" customHeight="1">
      <c r="A17" s="283"/>
      <c s="194" t="s">
        <v>297</v>
      </c>
      <c s="1274" t="s">
        <v>281</v>
      </c>
      <c s="1275"/>
      <c s="174"/>
      <c s="166"/>
      <c s="196"/>
      <c s="170"/>
      <c s="290"/>
      <c s="174"/>
      <c s="174"/>
      <c s="20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7" s="164"/>
      <c s="164"/>
      <c s="164"/>
    </row>
    <row r="18" spans="1:44" ht="18.75" customHeight="1">
      <c r="A18" s="283"/>
      <c s="207" t="s">
        <v>204</v>
      </c>
      <c s="1164">
        <v>500</v>
      </c>
      <c s="1164"/>
      <c s="289"/>
      <c s="206"/>
      <c s="196"/>
      <c s="170"/>
      <c s="290"/>
      <c s="174"/>
      <c s="174"/>
      <c s="201"/>
      <c s="1146" t="s">
        <v>203</v>
      </c>
      <c s="1147"/>
      <c s="1147"/>
      <c s="1147"/>
      <c s="1147"/>
      <c s="1148"/>
      <c s="1146" t="s">
        <v>202</v>
      </c>
      <c s="1147"/>
      <c s="1147"/>
      <c s="1147"/>
      <c s="1147"/>
      <c s="1147"/>
      <c s="1170" t="s">
        <v>201</v>
      </c>
      <c s="1171"/>
      <c s="1171"/>
      <c s="1171"/>
      <c s="1171"/>
      <c s="1172"/>
      <c s="1176" t="s">
        <v>200</v>
      </c>
      <c s="1176"/>
      <c s="1176"/>
      <c s="1176"/>
      <c s="1176"/>
      <c s="1176"/>
      <c s="173"/>
      <c r="AP18" s="164"/>
      <c s="164"/>
      <c s="164"/>
    </row>
    <row r="19" spans="1:44" ht="18.75" customHeight="1">
      <c r="A19" s="283"/>
      <c s="205" t="s">
        <v>199</v>
      </c>
      <c s="1165">
        <v>704</v>
      </c>
      <c s="1165"/>
      <c s="174"/>
      <c s="166"/>
      <c s="196"/>
      <c s="170"/>
      <c s="290"/>
      <c s="174"/>
      <c s="174"/>
      <c s="201"/>
      <c s="1149"/>
      <c s="1150"/>
      <c s="1150"/>
      <c s="1150"/>
      <c s="1150"/>
      <c s="1151"/>
      <c s="1149"/>
      <c s="1150"/>
      <c s="1150"/>
      <c s="1150"/>
      <c s="1150"/>
      <c s="1150"/>
      <c s="1173"/>
      <c s="1174"/>
      <c s="1174"/>
      <c s="1174"/>
      <c s="1174"/>
      <c s="1175"/>
      <c s="1176"/>
      <c s="1176"/>
      <c s="1176"/>
      <c s="1176"/>
      <c s="1176"/>
      <c s="1176"/>
      <c s="173"/>
      <c r="AP19" s="164"/>
      <c s="164"/>
      <c s="164"/>
    </row>
    <row r="20" spans="1:50" ht="18.75" customHeight="1">
      <c r="A20" s="283"/>
      <c s="1152" t="s">
        <v>198</v>
      </c>
      <c s="1153"/>
      <c s="1154"/>
      <c s="174"/>
      <c s="166"/>
      <c s="196"/>
      <c s="170"/>
      <c s="290"/>
      <c s="174"/>
      <c s="174"/>
      <c s="201"/>
      <c s="1140">
        <f>AY7</f>
        <v>8.3323158399999997</v>
      </c>
      <c s="1141"/>
      <c s="1141"/>
      <c s="1141"/>
      <c s="1141"/>
      <c s="1142"/>
      <c s="1143">
        <f>C26/1000</f>
        <v>0</v>
      </c>
      <c s="1144"/>
      <c s="1144"/>
      <c s="1144"/>
      <c s="1144"/>
      <c s="1144"/>
      <c s="1140">
        <f>C27</f>
        <v>20</v>
      </c>
      <c s="1141"/>
      <c s="1141"/>
      <c s="1141"/>
      <c s="1141"/>
      <c s="1142"/>
      <c s="1145">
        <f>M20+S20+Y20</f>
        <v>28.33231584</v>
      </c>
      <c s="1145"/>
      <c s="1145"/>
      <c s="1145"/>
      <c s="1145"/>
      <c s="1145"/>
      <c s="173"/>
      <c r="AP20" s="164"/>
      <c s="164"/>
      <c s="164"/>
      <c r="AX20" s="340"/>
    </row>
    <row r="21" spans="1:50" ht="18.75" customHeight="1">
      <c r="A21" s="283"/>
      <c s="204"/>
      <c s="203" t="s">
        <v>197</v>
      </c>
      <c s="202" t="s">
        <v>196</v>
      </c>
      <c s="174"/>
      <c s="166"/>
      <c s="196"/>
      <c s="170"/>
      <c s="290"/>
      <c s="174"/>
      <c s="174"/>
      <c s="201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199"/>
      <c s="199"/>
      <c s="199"/>
      <c s="199"/>
      <c s="199"/>
      <c s="199"/>
      <c s="173"/>
      <c r="AP21" s="164"/>
      <c s="164"/>
      <c s="164"/>
      <c r="AX21" s="340"/>
    </row>
    <row r="22" spans="1:44" ht="18.75" customHeight="1">
      <c r="A22" s="283"/>
      <c s="198" t="s">
        <v>125</v>
      </c>
      <c s="342" t="s">
        <v>195</v>
      </c>
      <c s="342" t="s">
        <v>194</v>
      </c>
      <c s="174"/>
      <c s="166"/>
      <c s="196"/>
      <c s="170"/>
      <c s="290"/>
      <c s="174"/>
      <c s="174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73"/>
      <c r="AP22" s="164"/>
      <c s="164"/>
      <c s="164"/>
    </row>
    <row r="23" spans="1:44" ht="18" customHeight="1">
      <c r="A23" s="283"/>
      <c s="194" t="s">
        <v>51</v>
      </c>
      <c s="1180">
        <v>285</v>
      </c>
      <c s="1180"/>
      <c s="174"/>
      <c s="166"/>
      <c s="196"/>
      <c s="195"/>
      <c s="290"/>
      <c s="174"/>
      <c s="174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73"/>
      <c r="AP23" s="164"/>
      <c s="164"/>
      <c s="164"/>
    </row>
    <row r="24" spans="1:44" ht="18.75">
      <c r="A24" s="283"/>
      <c s="194" t="s">
        <v>193</v>
      </c>
      <c s="1180">
        <v>600</v>
      </c>
      <c s="1180"/>
      <c s="174"/>
      <c s="193"/>
      <c s="193"/>
      <c s="193"/>
      <c s="291"/>
      <c s="291"/>
      <c s="1185" t="s">
        <v>192</v>
      </c>
      <c s="1186"/>
      <c s="1166" t="s">
        <v>191</v>
      </c>
      <c s="1166"/>
      <c s="1166"/>
      <c s="1166"/>
      <c s="1166" t="s">
        <v>190</v>
      </c>
      <c s="1166"/>
      <c s="1166"/>
      <c s="1166"/>
      <c s="1166" t="s">
        <v>189</v>
      </c>
      <c s="1166"/>
      <c s="1166"/>
      <c s="1166"/>
      <c s="1166" t="s">
        <v>188</v>
      </c>
      <c s="1166"/>
      <c s="1166"/>
      <c s="1166"/>
      <c s="1166" t="s">
        <v>187</v>
      </c>
      <c s="1166"/>
      <c s="1166"/>
      <c s="1166"/>
      <c s="1166" t="s">
        <v>186</v>
      </c>
      <c s="1166"/>
      <c s="1166"/>
      <c s="1166"/>
      <c s="173"/>
      <c r="AP24" s="164"/>
      <c s="164"/>
      <c s="164"/>
    </row>
    <row r="25" spans="1:44" ht="18.75" customHeight="1">
      <c r="A25" s="283"/>
      <c s="1137" t="s">
        <v>185</v>
      </c>
      <c s="1137"/>
      <c s="1157"/>
      <c s="1181"/>
      <c s="1181"/>
      <c s="1181"/>
      <c s="1181"/>
      <c s="174"/>
      <c s="174"/>
      <c s="1183" t="s">
        <v>184</v>
      </c>
      <c s="181" t="s">
        <v>183</v>
      </c>
      <c s="192"/>
      <c s="190"/>
      <c s="191"/>
      <c s="191"/>
      <c s="191"/>
      <c s="191"/>
      <c s="190"/>
      <c s="189"/>
      <c s="188"/>
      <c s="188"/>
      <c s="188"/>
      <c s="188"/>
      <c s="188"/>
      <c s="188"/>
      <c s="188"/>
      <c s="188"/>
      <c s="188"/>
      <c s="188"/>
      <c s="187"/>
      <c s="187"/>
      <c s="187"/>
      <c s="187"/>
      <c s="187"/>
      <c s="186"/>
      <c s="173"/>
      <c r="AP25" s="164"/>
      <c s="164"/>
      <c s="164"/>
    </row>
    <row r="26" spans="1:44" ht="18.75" customHeight="1">
      <c r="A26" s="283"/>
      <c s="185" t="s">
        <v>182</v>
      </c>
      <c s="1156">
        <v>0</v>
      </c>
      <c s="1157"/>
      <c s="1158" t="s">
        <v>181</v>
      </c>
      <c s="1159"/>
      <c s="1159"/>
      <c s="1159"/>
      <c s="174"/>
      <c s="174"/>
      <c s="1184"/>
      <c s="181" t="s">
        <v>180</v>
      </c>
      <c s="184"/>
      <c s="183"/>
      <c s="177"/>
      <c s="176"/>
      <c s="176"/>
      <c s="176"/>
      <c s="176"/>
      <c s="176"/>
      <c s="176"/>
      <c s="176"/>
      <c s="176"/>
      <c s="176"/>
      <c s="176"/>
      <c s="176"/>
      <c s="176"/>
      <c s="175"/>
      <c s="183"/>
      <c s="183"/>
      <c s="183"/>
      <c s="183"/>
      <c s="183"/>
      <c s="183"/>
      <c s="183"/>
      <c s="182"/>
      <c s="173"/>
      <c r="AP26" s="164"/>
      <c s="164"/>
      <c s="164"/>
    </row>
    <row r="27" spans="1:44" ht="18.75" customHeight="1">
      <c r="A27" s="283"/>
      <c s="1162" t="s">
        <v>179</v>
      </c>
      <c s="1156">
        <v>20</v>
      </c>
      <c s="1157"/>
      <c s="1160"/>
      <c s="1161"/>
      <c s="1161"/>
      <c s="1161"/>
      <c s="174"/>
      <c s="174"/>
      <c s="1184"/>
      <c s="181" t="s">
        <v>178</v>
      </c>
      <c s="180"/>
      <c s="179"/>
      <c s="179"/>
      <c s="179"/>
      <c s="179"/>
      <c s="179"/>
      <c s="179"/>
      <c s="179"/>
      <c s="178"/>
      <c s="178"/>
      <c s="177"/>
      <c s="176"/>
      <c s="176"/>
      <c s="176"/>
      <c s="176"/>
      <c s="176"/>
      <c s="176"/>
      <c s="176"/>
      <c s="176"/>
      <c s="176"/>
      <c s="176"/>
      <c s="176"/>
      <c s="176"/>
      <c s="175"/>
      <c s="173"/>
      <c r="AP27" s="164"/>
      <c s="164"/>
      <c s="164"/>
    </row>
    <row r="28" spans="1:44" ht="18" customHeight="1">
      <c r="A28" s="283"/>
      <c s="1163"/>
      <c s="1156"/>
      <c s="1157"/>
      <c s="1160"/>
      <c s="1161"/>
      <c s="1161"/>
      <c s="1161"/>
      <c s="174"/>
      <c s="174"/>
      <c s="174"/>
      <c s="1168" t="str">
        <f>IF(AND(C18&lt;350,AE20&gt;20),IF((M20+S20)&lt;20,"Уменьшите вес загрузки ящика","Слищком тяжелый ящик, уменьшите размер"),IF(AE20&gt;60,IF((M20+S20)&lt;60,"Уменьшите вес загрузки ящика","Слишком тяжелый ящик, уменьшите размер"),""))</f>
        <v/>
      </c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73"/>
      <c r="AP28" s="164"/>
      <c s="164"/>
      <c s="164"/>
    </row>
    <row r="29" spans="1:44" ht="18.75" customHeight="1" hidden="1">
      <c r="A29" s="283"/>
      <c s="172"/>
      <c s="171"/>
      <c s="170"/>
      <c s="1182"/>
      <c s="1182"/>
      <c s="1182"/>
      <c s="1182"/>
      <c s="166"/>
      <c s="166"/>
      <c s="174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73"/>
      <c r="AP29" s="164"/>
      <c s="164"/>
      <c s="164"/>
    </row>
    <row r="30" spans="1:44" ht="18.75" customHeight="1">
      <c r="A30" s="284"/>
      <c s="285"/>
      <c s="286"/>
      <c s="287"/>
      <c s="1155"/>
      <c s="1155"/>
      <c s="1155"/>
      <c s="1155"/>
      <c s="288"/>
      <c s="288"/>
      <c s="169"/>
      <c s="1167" t="s">
        <v>177</v>
      </c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68">
        <f>FLOOR(1125/(C19-240),1)</f>
        <v>2</v>
      </c>
      <c s="1188" t="str">
        <f>IF(AE30&lt;2,"ящик",IF(AE30&lt;5,"ящика","ящиков"))</f>
        <v>ящика</v>
      </c>
      <c s="1188"/>
      <c s="1188"/>
      <c s="1188"/>
      <c s="281"/>
      <c s="167"/>
      <c r="AP30" s="164"/>
      <c s="164"/>
      <c s="164"/>
    </row>
    <row r="31" spans="1:44" ht="24" customHeight="1" thickBot="1">
      <c r="A31" s="1177"/>
      <c s="1178"/>
      <c s="1178"/>
      <c s="1178"/>
      <c s="1179"/>
      <c s="1179"/>
      <c s="1179"/>
      <c s="1179"/>
      <c s="1179"/>
      <c s="1179"/>
      <c s="1179"/>
      <c s="165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5"/>
      <c r="AP31" s="164"/>
      <c s="164"/>
      <c s="164"/>
    </row>
    <row r="32" spans="1:44" ht="23.25" customHeight="1">
      <c r="A32" s="1268" t="s">
        <v>467</v>
      </c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69"/>
      <c s="1270"/>
      <c r="AP32" s="164"/>
      <c s="164"/>
      <c s="164"/>
    </row>
    <row r="33" spans="1:37" ht="19.5" customHeight="1" thickBot="1">
      <c r="A33" s="1271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2"/>
      <c s="1273"/>
    </row>
    <row r="34" spans="5:10" ht="18.75" customHeight="1">
      <c r="E34" s="1200"/>
      <c s="1201"/>
      <c s="1201"/>
      <c s="1201"/>
      <c s="1201"/>
      <c s="1201"/>
    </row>
    <row r="35" spans="5:10" ht="23.25" customHeight="1">
      <c r="E35" s="1201"/>
      <c s="1201"/>
      <c s="1201"/>
      <c s="1201"/>
      <c s="1201"/>
      <c s="1201"/>
    </row>
    <row r="36" spans="5:10" ht="15">
      <c r="E36" s="1202"/>
      <c s="1203"/>
      <c s="1203"/>
      <c s="1203"/>
      <c s="1203"/>
      <c s="1203"/>
    </row>
    <row r="37" spans="5:10" ht="15">
      <c r="E37" s="1204"/>
      <c s="1204"/>
      <c s="1204"/>
      <c s="1204"/>
      <c s="1204"/>
      <c s="1204"/>
    </row>
    <row r="38" spans="5:10" ht="15">
      <c r="E38" s="1202"/>
      <c s="1203"/>
      <c s="1203"/>
      <c s="1203"/>
      <c s="1203"/>
      <c s="1203"/>
    </row>
    <row r="39" spans="5:10" ht="21.75" customHeight="1">
      <c r="E39" s="1204"/>
      <c s="1204"/>
      <c s="1204"/>
      <c s="1204"/>
      <c s="1204"/>
      <c s="1204"/>
    </row>
    <row r="40" spans="5:10" ht="15">
      <c r="E40" s="1204"/>
      <c s="1204"/>
      <c s="1204"/>
      <c s="1204"/>
      <c s="1204"/>
      <c s="1204"/>
    </row>
    <row r="41" spans="5:10" ht="15">
      <c r="E41" s="1205"/>
      <c s="1267"/>
      <c s="1267"/>
      <c s="1267"/>
      <c s="1267"/>
      <c s="1267"/>
    </row>
    <row r="42" spans="5:10" ht="15">
      <c r="E42" s="1205"/>
      <c s="1267"/>
      <c s="1267"/>
      <c s="1267"/>
      <c s="1267"/>
      <c s="1267"/>
    </row>
    <row r="44" spans="5:10" ht="15">
      <c r="E44" s="1265"/>
      <c s="1266"/>
      <c s="1266"/>
      <c s="1266"/>
      <c s="1266"/>
      <c s="1266"/>
    </row>
    <row r="45" spans="5:10" ht="15">
      <c r="E45" s="1265"/>
      <c s="1266"/>
      <c s="1266"/>
      <c s="1266"/>
      <c s="1266"/>
      <c s="1266"/>
    </row>
    <row r="46" spans="5:10" ht="15" thickBot="1">
      <c r="E46" s="1265"/>
      <c s="1266"/>
      <c s="1266"/>
      <c s="1266"/>
      <c s="1266"/>
      <c s="1266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mergeCells count="50">
    <mergeCell ref="C18:D18"/>
    <mergeCell ref="M18:R19"/>
    <mergeCell ref="S18:X19"/>
    <mergeCell ref="Y18:AD19"/>
    <mergeCell ref="AE18:AJ19"/>
    <mergeCell ref="C19:D19"/>
    <mergeCell ref="A1:AK1"/>
    <mergeCell ref="AU1:AY1"/>
    <mergeCell ref="A12:AK12"/>
    <mergeCell ref="B15:D16"/>
    <mergeCell ref="M15:AJ17"/>
    <mergeCell ref="C17:D17"/>
    <mergeCell ref="I2:L11"/>
    <mergeCell ref="B20:D20"/>
    <mergeCell ref="M20:R20"/>
    <mergeCell ref="S20:X20"/>
    <mergeCell ref="Y20:AD20"/>
    <mergeCell ref="AC24:AF24"/>
    <mergeCell ref="AE20:AJ20"/>
    <mergeCell ref="L22:AJ23"/>
    <mergeCell ref="C23:D23"/>
    <mergeCell ref="AG24:AJ24"/>
    <mergeCell ref="L28:AJ29"/>
    <mergeCell ref="C24:D24"/>
    <mergeCell ref="K24:L24"/>
    <mergeCell ref="M24:P24"/>
    <mergeCell ref="Q24:T24"/>
    <mergeCell ref="U24:X24"/>
    <mergeCell ref="E29:H29"/>
    <mergeCell ref="B25:D25"/>
    <mergeCell ref="E25:H25"/>
    <mergeCell ref="K25:K27"/>
    <mergeCell ref="C26:D26"/>
    <mergeCell ref="E26:H28"/>
    <mergeCell ref="B27:B28"/>
    <mergeCell ref="C27:D28"/>
    <mergeCell ref="Y24:AB24"/>
    <mergeCell ref="E30:H30"/>
    <mergeCell ref="L30:AD30"/>
    <mergeCell ref="AF30:AI30"/>
    <mergeCell ref="A31:K31"/>
    <mergeCell ref="E45:J45"/>
    <mergeCell ref="A32:AK33"/>
    <mergeCell ref="E46:J46"/>
    <mergeCell ref="E34:J35"/>
    <mergeCell ref="E36:J37"/>
    <mergeCell ref="E38:J40"/>
    <mergeCell ref="E41:J41"/>
    <mergeCell ref="E42:J42"/>
    <mergeCell ref="E44:J44"/>
  </mergeCells>
  <conditionalFormatting sqref="H23">
    <cfRule type="expression" priority="25" dxfId="27">
      <formula>$C$22=$AT$3</formula>
    </cfRule>
  </conditionalFormatting>
  <conditionalFormatting sqref="L25">
    <cfRule type="expression" priority="26" dxfId="24">
      <formula>AND(#REF!&gt;349,$AE$20&lt;20.01)</formula>
    </cfRule>
  </conditionalFormatting>
  <conditionalFormatting sqref="L26">
    <cfRule type="expression" priority="27" dxfId="24">
      <formula>AND(#REF!&gt;349,$AE$20&gt;4.99,$AE$20&lt;40.01)</formula>
    </cfRule>
  </conditionalFormatting>
  <conditionalFormatting sqref="L27">
    <cfRule type="expression" priority="28" dxfId="24">
      <formula>AND(#REF!&gt;349,$AE$20&gt;24.99,$AE$20&lt;60)</formula>
    </cfRule>
  </conditionalFormatting>
  <conditionalFormatting sqref="M25:M27">
    <cfRule type="expression" priority="24" dxfId="0">
      <formula>$AZ$2=1</formula>
    </cfRule>
  </conditionalFormatting>
  <conditionalFormatting sqref="N25:N27">
    <cfRule type="expression" priority="23" dxfId="0">
      <formula>$AZ$2=2</formula>
    </cfRule>
  </conditionalFormatting>
  <conditionalFormatting sqref="O25:O27">
    <cfRule type="expression" priority="22" dxfId="0">
      <formula>$AZ$2=3</formula>
    </cfRule>
  </conditionalFormatting>
  <conditionalFormatting sqref="P25:P27">
    <cfRule type="expression" priority="21" dxfId="0">
      <formula>$AZ$2=4</formula>
    </cfRule>
  </conditionalFormatting>
  <conditionalFormatting sqref="Q25:Q27">
    <cfRule type="expression" priority="20" dxfId="0">
      <formula>$AZ$2=5</formula>
    </cfRule>
  </conditionalFormatting>
  <conditionalFormatting sqref="R25:R27">
    <cfRule type="expression" priority="19" dxfId="0">
      <formula>$AZ$2=6</formula>
    </cfRule>
  </conditionalFormatting>
  <conditionalFormatting sqref="S25:S27">
    <cfRule type="expression" priority="18" dxfId="0">
      <formula>$AZ$2=7</formula>
    </cfRule>
  </conditionalFormatting>
  <conditionalFormatting sqref="T25:T27">
    <cfRule type="expression" priority="17" dxfId="0">
      <formula>$AZ$2=8</formula>
    </cfRule>
  </conditionalFormatting>
  <conditionalFormatting sqref="U25:U27">
    <cfRule type="expression" priority="16" dxfId="0">
      <formula>$AZ$2=9</formula>
    </cfRule>
  </conditionalFormatting>
  <conditionalFormatting sqref="V25:V27">
    <cfRule type="expression" priority="15" dxfId="0">
      <formula>$AZ$2=10</formula>
    </cfRule>
  </conditionalFormatting>
  <conditionalFormatting sqref="W25:W27">
    <cfRule type="expression" priority="14" dxfId="0">
      <formula>$AZ$2=11</formula>
    </cfRule>
  </conditionalFormatting>
  <conditionalFormatting sqref="X25:X27">
    <cfRule type="expression" priority="13" dxfId="0">
      <formula>$AZ$2=12</formula>
    </cfRule>
  </conditionalFormatting>
  <conditionalFormatting sqref="Y25:Y27">
    <cfRule type="expression" priority="12" dxfId="0">
      <formula>$AZ$2=13</formula>
    </cfRule>
  </conditionalFormatting>
  <conditionalFormatting sqref="Z25:Z27">
    <cfRule type="expression" priority="11" dxfId="0">
      <formula>$AZ$2=14</formula>
    </cfRule>
  </conditionalFormatting>
  <conditionalFormatting sqref="AA25:AA27">
    <cfRule type="expression" priority="10" dxfId="0">
      <formula>$AZ$2=15</formula>
    </cfRule>
  </conditionalFormatting>
  <conditionalFormatting sqref="AB25:AB27">
    <cfRule type="expression" priority="9" dxfId="0">
      <formula>$AZ$2=16</formula>
    </cfRule>
  </conditionalFormatting>
  <conditionalFormatting sqref="AC25:AC27">
    <cfRule type="expression" priority="8" dxfId="0">
      <formula>$AZ$2=17</formula>
    </cfRule>
  </conditionalFormatting>
  <conditionalFormatting sqref="AD25:AD27">
    <cfRule type="expression" priority="7" dxfId="0">
      <formula>$AZ$2=18</formula>
    </cfRule>
  </conditionalFormatting>
  <conditionalFormatting sqref="AE25:AE27">
    <cfRule type="expression" priority="6" dxfId="0">
      <formula>$AZ$2=19</formula>
    </cfRule>
  </conditionalFormatting>
  <conditionalFormatting sqref="AF25:AF27">
    <cfRule type="expression" priority="5" dxfId="0">
      <formula>$AZ$2=20</formula>
    </cfRule>
  </conditionalFormatting>
  <conditionalFormatting sqref="AG25:AG27">
    <cfRule type="expression" priority="4" dxfId="0">
      <formula>$AZ$2=21</formula>
    </cfRule>
  </conditionalFormatting>
  <conditionalFormatting sqref="AH25:AH27">
    <cfRule type="expression" priority="3" dxfId="0">
      <formula>$AZ$2=22</formula>
    </cfRule>
  </conditionalFormatting>
  <conditionalFormatting sqref="AI25:AI27">
    <cfRule type="expression" priority="2" dxfId="0">
      <formula>$AZ$2=23</formula>
    </cfRule>
  </conditionalFormatting>
  <conditionalFormatting sqref="AJ25:AJ27">
    <cfRule type="expression" priority="1" dxfId="0">
      <formula>$AZ$2=24</formula>
    </cfRule>
  </conditionalFormatting>
  <dataValidations count="5">
    <dataValidation type="list" allowBlank="1" showInputMessage="1" showErrorMessage="1" sqref="C17:D17">
      <formula1>$AO$2:$AO$8</formula1>
    </dataValidation>
    <dataValidation type="list" allowBlank="1" showInputMessage="1" showErrorMessage="1" sqref="AM9">
      <formula1>$AM$2:$AM$6</formula1>
    </dataValidation>
    <dataValidation type="list" allowBlank="1" showInputMessage="1" showErrorMessage="1" sqref="C18:D18">
      <formula1>$AP$6:$AP$7</formula1>
    </dataValidation>
    <dataValidation type="list" allowBlank="1" showInputMessage="1" showErrorMessage="1" sqref="C22">
      <formula1>$AQ$2:$AQ$6</formula1>
    </dataValidation>
    <dataValidation type="list" allowBlank="1" showInputMessage="1" showErrorMessage="1" sqref="D22">
      <formula1>$AS$3:$AS$5</formula1>
    </dataValidation>
  </dataValidations>
  <hyperlinks>
    <hyperlink ref="AL1" location="Содержание!R1C1" display="← СОДЕРЖАНИЕ:"/>
  </hyperlinks>
  <pageMargins left="0.708661417322835" right="0.708661417322835" top="0.748031496062992" bottom="0.748031496062992" header="0.31496062992126" footer="0.31496062992126"/>
  <pageSetup orientation="landscape" paperSize="9" scale="52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1">
    <tabColor theme="4" tint="0.799979984760284"/>
  </sheetPr>
  <dimension ref="A1:J104"/>
  <sheetViews>
    <sheetView showGridLines="0" workbookViewId="0" topLeftCell="A1">
      <selection pane="topLeft" activeCell="S13" sqref="S13"/>
    </sheetView>
  </sheetViews>
  <sheetFormatPr defaultRowHeight="12.75"/>
  <cols>
    <col min="1" max="1" width="28.7142857142857" customWidth="1"/>
    <col min="2" max="4" width="12.7142857142857" customWidth="1"/>
    <col min="5" max="5" width="12.7142857142857" style="3" customWidth="1"/>
    <col min="6" max="6" width="12.7142857142857" style="4" customWidth="1"/>
    <col min="7" max="7" width="12.7142857142857" style="2" customWidth="1"/>
    <col min="8" max="9" width="12.7142857142857" customWidth="1"/>
    <col min="10" max="10" width="18" customWidth="1"/>
    <col min="11" max="11" width="12.7142857142857" customWidth="1"/>
  </cols>
  <sheetData>
    <row r="1" spans="1:10" ht="42" thickBot="1">
      <c r="A1" s="1279"/>
      <c s="1280"/>
      <c s="1280"/>
      <c s="1280"/>
      <c s="1280"/>
      <c s="1280"/>
      <c s="1280"/>
      <c s="1280"/>
      <c s="1281"/>
      <c s="336" t="s">
        <v>295</v>
      </c>
    </row>
    <row r="2" ht="13.5" thickBot="1"/>
    <row r="3" spans="1:9" ht="12.95" customHeight="1" thickBot="1">
      <c r="A3" s="1282" t="s">
        <v>54</v>
      </c>
      <c s="1282" t="s">
        <v>53</v>
      </c>
      <c s="1282"/>
      <c s="1282" t="s">
        <v>53</v>
      </c>
      <c s="1282"/>
      <c s="1282" t="s">
        <v>53</v>
      </c>
      <c s="1282"/>
      <c s="1282" t="s">
        <v>53</v>
      </c>
      <c s="1282"/>
    </row>
    <row r="4" spans="1:9" ht="12.95" customHeight="1" thickBot="1">
      <c r="A4" s="1282"/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</row>
    <row r="5" spans="1:9" ht="39.95" customHeight="1" thickBot="1">
      <c r="A5" s="1282"/>
      <c s="1283" t="s">
        <v>57</v>
      </c>
      <c s="1283"/>
      <c s="1283" t="s">
        <v>59</v>
      </c>
      <c s="1283"/>
      <c s="1283" t="s">
        <v>60</v>
      </c>
      <c s="1283"/>
      <c s="1283" t="s">
        <v>58</v>
      </c>
      <c s="1283"/>
    </row>
    <row r="6" spans="1:9" ht="15.95" customHeight="1">
      <c r="A6" s="362">
        <v>360</v>
      </c>
      <c s="41">
        <f>A6-($B$4*2)-91</f>
        <v>237</v>
      </c>
      <c s="41">
        <f>A6-($C$4*2)-91</f>
        <v>233</v>
      </c>
      <c s="41">
        <f>A6-($D$4*2)-132</f>
        <v>196</v>
      </c>
      <c s="41">
        <f>A6-($E$4*2)-132</f>
        <v>192</v>
      </c>
      <c s="41">
        <f>A6-($F$4*2)-122</f>
        <v>206</v>
      </c>
      <c s="41">
        <f>A6-($G$4*2)-122</f>
        <v>202</v>
      </c>
      <c s="52" t="s">
        <v>39</v>
      </c>
      <c s="36" t="s">
        <v>39</v>
      </c>
    </row>
    <row r="7" spans="1:9" ht="15.95" customHeight="1">
      <c r="A7" s="363">
        <v>350</v>
      </c>
      <c s="33">
        <f t="shared" si="0" ref="B7:B14">A7-($B$4*2)-91</f>
        <v>227</v>
      </c>
      <c s="33">
        <f t="shared" si="1" ref="C7:C14">A7-($C$4*2)-91</f>
        <v>223</v>
      </c>
      <c s="33">
        <f t="shared" si="2" ref="D7:D14">A7-($D$4*2)-132</f>
        <v>186</v>
      </c>
      <c s="33">
        <f t="shared" si="3" ref="E7:E14">A7-($E$4*2)-132</f>
        <v>182</v>
      </c>
      <c s="33">
        <f t="shared" si="4" ref="F7:F14">A7-($F$4*2)-122</f>
        <v>196</v>
      </c>
      <c s="33">
        <f t="shared" si="5" ref="G7:G14">A7-($G$4*2)-122</f>
        <v>192</v>
      </c>
      <c s="53" t="s">
        <v>39</v>
      </c>
      <c s="37" t="s">
        <v>39</v>
      </c>
    </row>
    <row r="8" spans="1:9" ht="15.95" customHeight="1">
      <c r="A8" s="364">
        <v>400</v>
      </c>
      <c s="34">
        <f t="shared" si="0"/>
        <v>277</v>
      </c>
      <c s="34">
        <f t="shared" si="1"/>
        <v>273</v>
      </c>
      <c s="34">
        <f t="shared" si="2"/>
        <v>236</v>
      </c>
      <c s="34">
        <f t="shared" si="3"/>
        <v>232</v>
      </c>
      <c s="34">
        <f t="shared" si="4"/>
        <v>246</v>
      </c>
      <c s="34">
        <f t="shared" si="5"/>
        <v>242</v>
      </c>
      <c s="53" t="s">
        <v>39</v>
      </c>
      <c s="37" t="s">
        <v>39</v>
      </c>
    </row>
    <row r="9" spans="1:9" ht="15.95" customHeight="1">
      <c r="A9" s="363">
        <v>450</v>
      </c>
      <c s="33">
        <f t="shared" si="0"/>
        <v>327</v>
      </c>
      <c s="33">
        <f t="shared" si="1"/>
        <v>323</v>
      </c>
      <c s="33">
        <f t="shared" si="2"/>
        <v>286</v>
      </c>
      <c s="33">
        <f t="shared" si="3"/>
        <v>282</v>
      </c>
      <c s="33">
        <f t="shared" si="4"/>
        <v>296</v>
      </c>
      <c s="33">
        <f t="shared" si="5"/>
        <v>292</v>
      </c>
      <c s="30">
        <f t="shared" si="6" ref="H9:H14">A9-($H$4*2)-320</f>
        <v>98</v>
      </c>
      <c s="38">
        <f t="shared" si="7" ref="I9:I14">A9-($I$4*2)-320</f>
        <v>94</v>
      </c>
    </row>
    <row r="10" spans="1:9" ht="15.95" customHeight="1">
      <c r="A10" s="364">
        <v>500</v>
      </c>
      <c s="34">
        <f t="shared" si="0"/>
        <v>377</v>
      </c>
      <c s="34">
        <f t="shared" si="1"/>
        <v>373</v>
      </c>
      <c s="34">
        <f t="shared" si="2"/>
        <v>336</v>
      </c>
      <c s="34">
        <f t="shared" si="3"/>
        <v>332</v>
      </c>
      <c s="34">
        <f t="shared" si="4"/>
        <v>346</v>
      </c>
      <c s="34">
        <f t="shared" si="5"/>
        <v>342</v>
      </c>
      <c s="31">
        <f t="shared" si="6"/>
        <v>148</v>
      </c>
      <c s="39">
        <f t="shared" si="7"/>
        <v>144</v>
      </c>
    </row>
    <row r="11" spans="1:9" ht="15.95" customHeight="1">
      <c r="A11" s="363">
        <v>550</v>
      </c>
      <c s="33">
        <f t="shared" si="0"/>
        <v>427</v>
      </c>
      <c s="33">
        <f t="shared" si="1"/>
        <v>423</v>
      </c>
      <c s="33">
        <f t="shared" si="2"/>
        <v>386</v>
      </c>
      <c s="33">
        <f t="shared" si="3"/>
        <v>382</v>
      </c>
      <c s="33">
        <f t="shared" si="4"/>
        <v>396</v>
      </c>
      <c s="33">
        <f t="shared" si="5"/>
        <v>392</v>
      </c>
      <c s="30">
        <f t="shared" si="6"/>
        <v>198</v>
      </c>
      <c s="38">
        <f t="shared" si="7"/>
        <v>194</v>
      </c>
    </row>
    <row r="12" spans="1:9" ht="15.95" customHeight="1">
      <c r="A12" s="364">
        <v>600</v>
      </c>
      <c s="34">
        <f t="shared" si="0"/>
        <v>477</v>
      </c>
      <c s="34">
        <f t="shared" si="1"/>
        <v>473</v>
      </c>
      <c s="34">
        <f t="shared" si="2"/>
        <v>436</v>
      </c>
      <c s="34">
        <f t="shared" si="3"/>
        <v>432</v>
      </c>
      <c s="34">
        <f t="shared" si="4"/>
        <v>446</v>
      </c>
      <c s="34">
        <f t="shared" si="5"/>
        <v>442</v>
      </c>
      <c s="31">
        <f t="shared" si="6"/>
        <v>248</v>
      </c>
      <c s="39">
        <f t="shared" si="7"/>
        <v>244</v>
      </c>
    </row>
    <row r="13" spans="1:9" ht="15.95" customHeight="1">
      <c r="A13" s="363">
        <v>650</v>
      </c>
      <c s="33">
        <f t="shared" si="0"/>
        <v>527</v>
      </c>
      <c s="33">
        <f t="shared" si="1"/>
        <v>523</v>
      </c>
      <c s="33">
        <f t="shared" si="2"/>
        <v>486</v>
      </c>
      <c s="33">
        <f t="shared" si="3"/>
        <v>482</v>
      </c>
      <c s="33">
        <f t="shared" si="4"/>
        <v>496</v>
      </c>
      <c s="33">
        <f t="shared" si="5"/>
        <v>492</v>
      </c>
      <c s="30">
        <f t="shared" si="6"/>
        <v>298</v>
      </c>
      <c s="38">
        <f t="shared" si="7"/>
        <v>294</v>
      </c>
    </row>
    <row r="14" spans="1:9" ht="15.95" customHeight="1" thickBot="1">
      <c r="A14" s="365">
        <v>1200</v>
      </c>
      <c s="35">
        <f t="shared" si="0"/>
        <v>1077</v>
      </c>
      <c s="35">
        <f t="shared" si="1"/>
        <v>1073</v>
      </c>
      <c s="35">
        <f t="shared" si="2"/>
        <v>1036</v>
      </c>
      <c s="35">
        <f t="shared" si="3"/>
        <v>1032</v>
      </c>
      <c s="35">
        <f t="shared" si="4"/>
        <v>1046</v>
      </c>
      <c s="35">
        <f t="shared" si="5"/>
        <v>1042</v>
      </c>
      <c s="32">
        <f t="shared" si="6"/>
        <v>848</v>
      </c>
      <c s="40">
        <f t="shared" si="7"/>
        <v>844</v>
      </c>
    </row>
    <row r="16" ht="13.5" thickBot="1"/>
    <row r="17" spans="1:9" ht="13.5" thickBot="1">
      <c r="A17" s="56" t="s">
        <v>74</v>
      </c>
      <c s="56" t="s">
        <v>64</v>
      </c>
      <c s="56" t="s">
        <v>67</v>
      </c>
      <c s="56" t="s">
        <v>65</v>
      </c>
      <c s="1278"/>
      <c s="1278"/>
      <c s="1278"/>
      <c s="1278"/>
      <c s="1278"/>
    </row>
    <row r="18" spans="1:9" ht="12.75">
      <c r="A18" s="61" t="s">
        <v>62</v>
      </c>
      <c s="62">
        <f>$B$23-60</f>
        <v>390</v>
      </c>
      <c s="62">
        <v>100</v>
      </c>
      <c s="62">
        <v>8</v>
      </c>
      <c s="1278"/>
      <c s="1278"/>
      <c s="1278"/>
      <c s="1278"/>
      <c s="1278"/>
    </row>
    <row r="19" spans="1:9" ht="13.5" thickBot="1">
      <c r="A19" s="59" t="s">
        <v>63</v>
      </c>
      <c s="60">
        <f>$B$22-($B$24*2)-118</f>
        <v>446</v>
      </c>
      <c s="60">
        <v>100</v>
      </c>
      <c s="60">
        <v>8</v>
      </c>
      <c s="1278"/>
      <c s="1278"/>
      <c s="1278"/>
      <c s="1278"/>
      <c s="1278"/>
    </row>
    <row r="20" spans="5:9" ht="12.75">
      <c r="E20" s="1278"/>
      <c s="1278"/>
      <c s="1278"/>
      <c s="1278"/>
      <c s="1278"/>
    </row>
    <row r="21" spans="5:9" ht="13.5" thickBot="1">
      <c r="E21" s="1278"/>
      <c s="1278"/>
      <c s="1278"/>
      <c s="1278"/>
      <c s="1278"/>
    </row>
    <row r="22" spans="1:9" ht="12.75">
      <c r="A22" s="46" t="s">
        <v>54</v>
      </c>
      <c s="366">
        <v>600</v>
      </c>
      <c r="E22" s="1278"/>
      <c s="1278"/>
      <c s="1278"/>
      <c s="1278"/>
      <c s="1278"/>
    </row>
    <row r="23" spans="1:9" ht="12.75">
      <c r="A23" s="45" t="s">
        <v>66</v>
      </c>
      <c s="367">
        <v>450</v>
      </c>
      <c r="E23" s="1278"/>
      <c s="1278"/>
      <c s="1278"/>
      <c s="1278"/>
      <c s="1278"/>
    </row>
    <row r="24" spans="1:9" ht="13.5" thickBot="1">
      <c r="A24" s="44" t="s">
        <v>68</v>
      </c>
      <c s="368">
        <v>18</v>
      </c>
      <c r="E24" s="1278"/>
      <c s="1278"/>
      <c s="1278"/>
      <c s="1278"/>
      <c s="1278"/>
    </row>
    <row r="25" spans="5:9" ht="12.75">
      <c r="E25" s="1278"/>
      <c s="1278"/>
      <c s="1278"/>
      <c s="1278"/>
      <c s="1278"/>
    </row>
    <row r="26" spans="5:9" ht="12.75">
      <c r="E26" s="1278"/>
      <c s="1278"/>
      <c s="1278"/>
      <c s="1278"/>
      <c s="1278"/>
    </row>
    <row r="27" spans="5:9" ht="12.75">
      <c r="E27" s="1278"/>
      <c s="1278"/>
      <c s="1278"/>
      <c s="1278"/>
      <c s="1278"/>
    </row>
    <row r="28" spans="5:9" ht="12.75">
      <c r="E28" s="1278"/>
      <c s="1278"/>
      <c s="1278"/>
      <c s="1278"/>
      <c s="1278"/>
    </row>
    <row r="29" spans="5:9" ht="12.75">
      <c r="E29" s="1278"/>
      <c s="1278"/>
      <c s="1278"/>
      <c s="1278"/>
      <c s="1278"/>
    </row>
    <row r="30" spans="5:9" ht="13.5" thickBot="1">
      <c r="E30" s="1278"/>
      <c s="1278"/>
      <c s="1278"/>
      <c s="1278"/>
      <c s="1278"/>
    </row>
    <row r="31" spans="1:9" ht="42" thickBot="1">
      <c r="A31" s="1279"/>
      <c s="1280"/>
      <c s="1280"/>
      <c s="1280"/>
      <c s="1280"/>
      <c s="1280"/>
      <c s="1280"/>
      <c s="1280"/>
      <c s="1281"/>
    </row>
    <row r="32" ht="13.5" thickBot="1"/>
    <row r="33" spans="1:9" ht="13.5" thickBot="1">
      <c r="A33" s="1282" t="s">
        <v>54</v>
      </c>
      <c s="1282" t="s">
        <v>53</v>
      </c>
      <c s="1282"/>
      <c s="1282" t="s">
        <v>53</v>
      </c>
      <c s="1282"/>
      <c s="1282" t="s">
        <v>53</v>
      </c>
      <c s="1282"/>
      <c s="1282" t="s">
        <v>53</v>
      </c>
      <c s="1282"/>
    </row>
    <row r="34" spans="1:9" ht="13.5" thickBot="1">
      <c r="A34" s="1282"/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</row>
    <row r="35" spans="1:9" ht="37.5" customHeight="1" thickBot="1">
      <c r="A35" s="1282"/>
      <c s="1283" t="s">
        <v>69</v>
      </c>
      <c s="1283"/>
      <c s="1283" t="s">
        <v>59</v>
      </c>
      <c s="1283"/>
      <c s="1283" t="s">
        <v>60</v>
      </c>
      <c s="1283"/>
      <c s="1283" t="s">
        <v>58</v>
      </c>
      <c s="1283"/>
    </row>
    <row r="36" spans="1:9" ht="12.75">
      <c r="A36" s="48">
        <v>300</v>
      </c>
      <c s="41">
        <f>A36-($B$4*2)-63</f>
        <v>205</v>
      </c>
      <c s="41">
        <f>A36-($C$4*2)-63</f>
        <v>201</v>
      </c>
      <c s="41">
        <f>A36-($D$4*2)-132</f>
        <v>136</v>
      </c>
      <c s="41">
        <f>A36-($E$4*2)-132</f>
        <v>132</v>
      </c>
      <c s="41">
        <f>A36-($F$4*2)-122</f>
        <v>146</v>
      </c>
      <c s="41">
        <f>A36-($G$4*2)-122</f>
        <v>142</v>
      </c>
      <c s="52" t="s">
        <v>39</v>
      </c>
      <c s="36" t="s">
        <v>39</v>
      </c>
    </row>
    <row r="37" spans="1:9" ht="12.75">
      <c r="A37" s="49">
        <v>350</v>
      </c>
      <c s="42">
        <f t="shared" si="8" ref="B37:B43">A37-($B$4*2)-63</f>
        <v>255</v>
      </c>
      <c s="42">
        <f t="shared" si="9" ref="C37:C44">A37-($C$4*2)-63</f>
        <v>251</v>
      </c>
      <c s="33">
        <f t="shared" si="10" ref="D37:D44">A37-($D$4*2)-132</f>
        <v>186</v>
      </c>
      <c s="33">
        <f t="shared" si="11" ref="E37:E44">A37-($E$4*2)-132</f>
        <v>182</v>
      </c>
      <c s="33">
        <f t="shared" si="12" ref="F37:F44">A37-($F$4*2)-122</f>
        <v>196</v>
      </c>
      <c s="33">
        <f t="shared" si="13" ref="G37:G44">A37-($G$4*2)-122</f>
        <v>192</v>
      </c>
      <c s="53" t="s">
        <v>39</v>
      </c>
      <c s="37" t="s">
        <v>39</v>
      </c>
    </row>
    <row r="38" spans="1:9" ht="12.75">
      <c r="A38" s="50">
        <v>400</v>
      </c>
      <c s="41">
        <f t="shared" si="8"/>
        <v>305</v>
      </c>
      <c s="41">
        <f t="shared" si="9"/>
        <v>301</v>
      </c>
      <c s="34">
        <f t="shared" si="10"/>
        <v>236</v>
      </c>
      <c s="34">
        <f t="shared" si="11"/>
        <v>232</v>
      </c>
      <c s="34">
        <f t="shared" si="12"/>
        <v>246</v>
      </c>
      <c s="34">
        <f t="shared" si="13"/>
        <v>242</v>
      </c>
      <c s="53" t="s">
        <v>39</v>
      </c>
      <c s="37" t="s">
        <v>39</v>
      </c>
    </row>
    <row r="39" spans="1:9" ht="12.75">
      <c r="A39" s="49">
        <v>450</v>
      </c>
      <c s="42">
        <f t="shared" si="8"/>
        <v>355</v>
      </c>
      <c s="42">
        <f t="shared" si="9"/>
        <v>351</v>
      </c>
      <c s="33">
        <f t="shared" si="10"/>
        <v>286</v>
      </c>
      <c s="33">
        <f t="shared" si="11"/>
        <v>282</v>
      </c>
      <c s="33">
        <f t="shared" si="12"/>
        <v>296</v>
      </c>
      <c s="33">
        <f t="shared" si="13"/>
        <v>292</v>
      </c>
      <c s="30">
        <f t="shared" si="14" ref="H39:H44">A39-($H$4*2)-320</f>
        <v>98</v>
      </c>
      <c s="38">
        <f t="shared" si="15" ref="I39:I44">A39-($I$4*2)-320</f>
        <v>94</v>
      </c>
    </row>
    <row r="40" spans="1:9" ht="12.75">
      <c r="A40" s="50">
        <v>500</v>
      </c>
      <c s="41">
        <f t="shared" si="8"/>
        <v>405</v>
      </c>
      <c s="41">
        <f t="shared" si="9"/>
        <v>401</v>
      </c>
      <c s="34">
        <f t="shared" si="10"/>
        <v>336</v>
      </c>
      <c s="34">
        <f t="shared" si="11"/>
        <v>332</v>
      </c>
      <c s="34">
        <f t="shared" si="12"/>
        <v>346</v>
      </c>
      <c s="34">
        <f t="shared" si="13"/>
        <v>342</v>
      </c>
      <c s="31">
        <f t="shared" si="14"/>
        <v>148</v>
      </c>
      <c s="39">
        <f t="shared" si="15"/>
        <v>144</v>
      </c>
    </row>
    <row r="41" spans="1:9" ht="12.75">
      <c r="A41" s="49">
        <v>550</v>
      </c>
      <c s="42">
        <f t="shared" si="8"/>
        <v>455</v>
      </c>
      <c s="42">
        <f t="shared" si="9"/>
        <v>451</v>
      </c>
      <c s="33">
        <f t="shared" si="10"/>
        <v>386</v>
      </c>
      <c s="33">
        <f t="shared" si="11"/>
        <v>382</v>
      </c>
      <c s="33">
        <f t="shared" si="12"/>
        <v>396</v>
      </c>
      <c s="33">
        <f t="shared" si="13"/>
        <v>392</v>
      </c>
      <c s="30">
        <f t="shared" si="14"/>
        <v>198</v>
      </c>
      <c s="38">
        <f t="shared" si="15"/>
        <v>194</v>
      </c>
    </row>
    <row r="42" spans="1:9" ht="12.75">
      <c r="A42" s="50">
        <v>600</v>
      </c>
      <c s="41">
        <f t="shared" si="8"/>
        <v>505</v>
      </c>
      <c s="41">
        <f t="shared" si="9"/>
        <v>501</v>
      </c>
      <c s="34">
        <f t="shared" si="10"/>
        <v>436</v>
      </c>
      <c s="34">
        <f t="shared" si="11"/>
        <v>432</v>
      </c>
      <c s="34">
        <f t="shared" si="12"/>
        <v>446</v>
      </c>
      <c s="34">
        <f t="shared" si="13"/>
        <v>442</v>
      </c>
      <c s="31">
        <f t="shared" si="14"/>
        <v>248</v>
      </c>
      <c s="39">
        <f t="shared" si="15"/>
        <v>244</v>
      </c>
    </row>
    <row r="43" spans="1:9" ht="12.75">
      <c r="A43" s="49">
        <v>650</v>
      </c>
      <c s="42">
        <f t="shared" si="8"/>
        <v>555</v>
      </c>
      <c s="42">
        <f t="shared" si="9"/>
        <v>551</v>
      </c>
      <c s="33">
        <f t="shared" si="10"/>
        <v>486</v>
      </c>
      <c s="33">
        <f t="shared" si="11"/>
        <v>482</v>
      </c>
      <c s="33">
        <f t="shared" si="12"/>
        <v>496</v>
      </c>
      <c s="33">
        <f t="shared" si="13"/>
        <v>492</v>
      </c>
      <c s="30">
        <f t="shared" si="14"/>
        <v>298</v>
      </c>
      <c s="38">
        <f t="shared" si="15"/>
        <v>294</v>
      </c>
    </row>
    <row r="44" spans="1:9" ht="13.5" thickBot="1">
      <c r="A44" s="51">
        <v>1200</v>
      </c>
      <c s="41">
        <f>A44-($B$4*2)-64</f>
        <v>1104</v>
      </c>
      <c s="41">
        <f t="shared" si="9"/>
        <v>1101</v>
      </c>
      <c s="35">
        <f t="shared" si="10"/>
        <v>1036</v>
      </c>
      <c s="35">
        <f t="shared" si="11"/>
        <v>1032</v>
      </c>
      <c s="35">
        <f t="shared" si="12"/>
        <v>1046</v>
      </c>
      <c s="35">
        <f t="shared" si="13"/>
        <v>1042</v>
      </c>
      <c s="32">
        <f t="shared" si="14"/>
        <v>848</v>
      </c>
      <c s="40">
        <f t="shared" si="15"/>
        <v>844</v>
      </c>
    </row>
    <row r="46" ht="13.5" thickBot="1"/>
    <row r="47" spans="1:9" ht="13.5" thickBot="1">
      <c r="A47" s="56" t="s">
        <v>74</v>
      </c>
      <c s="56" t="s">
        <v>64</v>
      </c>
      <c s="56" t="s">
        <v>67</v>
      </c>
      <c s="56" t="s">
        <v>65</v>
      </c>
      <c s="1278"/>
      <c s="1278"/>
      <c s="1278"/>
      <c s="1278"/>
      <c s="1278"/>
    </row>
    <row r="48" spans="1:9" ht="12.75">
      <c r="A48" s="61" t="s">
        <v>71</v>
      </c>
      <c s="62">
        <f>$B$22-33</f>
        <v>567</v>
      </c>
      <c s="63" t="s">
        <v>72</v>
      </c>
      <c s="62">
        <v>8</v>
      </c>
      <c s="1278"/>
      <c s="1278"/>
      <c s="1278"/>
      <c s="1278"/>
      <c s="1278"/>
    </row>
    <row r="49" spans="1:9" ht="13.5" thickBot="1">
      <c r="A49" s="59" t="s">
        <v>70</v>
      </c>
      <c s="65">
        <f>$B$22-33</f>
        <v>567</v>
      </c>
      <c s="64" t="s">
        <v>73</v>
      </c>
      <c s="60">
        <v>8</v>
      </c>
      <c s="1278"/>
      <c s="1278"/>
      <c s="1278"/>
      <c s="1278"/>
      <c s="1278"/>
    </row>
    <row r="50" spans="5:9" ht="12.75">
      <c r="E50" s="1278"/>
      <c s="1278"/>
      <c s="1278"/>
      <c s="1278"/>
      <c s="1278"/>
    </row>
    <row r="51" spans="5:9" ht="13.5" thickBot="1">
      <c r="E51" s="1278"/>
      <c s="1278"/>
      <c s="1278"/>
      <c s="1278"/>
      <c s="1278"/>
    </row>
    <row r="52" spans="1:9" ht="13.5" thickBot="1">
      <c r="A52" s="66" t="s">
        <v>66</v>
      </c>
      <c s="43">
        <v>500</v>
      </c>
      <c r="E52" s="1278"/>
      <c s="1278"/>
      <c s="1278"/>
      <c s="1278"/>
      <c s="1278"/>
    </row>
    <row r="53" spans="5:9" ht="12.75">
      <c r="E53" s="1278"/>
      <c s="1278"/>
      <c s="1278"/>
      <c s="1278"/>
      <c s="1278"/>
    </row>
    <row r="54" spans="5:9" ht="12.75">
      <c r="E54" s="1278"/>
      <c s="1278"/>
      <c s="1278"/>
      <c s="1278"/>
      <c s="1278"/>
    </row>
    <row r="55" spans="5:9" ht="12.75">
      <c r="E55" s="1278"/>
      <c s="1278"/>
      <c s="1278"/>
      <c s="1278"/>
      <c s="1278"/>
    </row>
    <row r="56" spans="5:9" ht="12.75">
      <c r="E56" s="1278"/>
      <c s="1278"/>
      <c s="1278"/>
      <c s="1278"/>
      <c s="1278"/>
    </row>
    <row r="57" spans="5:9" ht="12.75">
      <c r="E57" s="1278"/>
      <c s="1278"/>
      <c s="1278"/>
      <c s="1278"/>
      <c s="1278"/>
    </row>
    <row r="58" spans="5:9" ht="12.75">
      <c r="E58" s="1278"/>
      <c s="1278"/>
      <c s="1278"/>
      <c s="1278"/>
      <c s="1278"/>
    </row>
    <row r="59" spans="5:9" ht="12.75">
      <c r="E59" s="1278"/>
      <c s="1278"/>
      <c s="1278"/>
      <c s="1278"/>
      <c s="1278"/>
    </row>
    <row r="60" spans="5:9" ht="12.75">
      <c r="E60" s="1278"/>
      <c s="1278"/>
      <c s="1278"/>
      <c s="1278"/>
      <c s="1278"/>
    </row>
    <row r="61" spans="5:9" ht="12.75">
      <c r="E61" s="1278"/>
      <c s="1278"/>
      <c s="1278"/>
      <c s="1278"/>
      <c s="1278"/>
    </row>
    <row r="62" spans="5:9" ht="12.75">
      <c r="E62" s="1278"/>
      <c s="1278"/>
      <c s="1278"/>
      <c s="1278"/>
      <c s="1278"/>
    </row>
    <row r="63" spans="5:9" ht="12.75">
      <c r="E63" s="1278"/>
      <c s="1278"/>
      <c s="1278"/>
      <c s="1278"/>
      <c s="1278"/>
    </row>
    <row r="64" spans="5:9" ht="12.75">
      <c r="E64" s="1278"/>
      <c s="1278"/>
      <c s="1278"/>
      <c s="1278"/>
      <c s="1278"/>
    </row>
    <row r="65" spans="5:9" ht="12.75">
      <c r="E65" s="1278"/>
      <c s="1278"/>
      <c s="1278"/>
      <c s="1278"/>
      <c s="1278"/>
    </row>
    <row r="66" spans="5:9" ht="12.75">
      <c r="E66" s="1278"/>
      <c s="1278"/>
      <c s="1278"/>
      <c s="1278"/>
      <c s="1278"/>
    </row>
    <row r="67" spans="5:9" ht="12.75">
      <c r="E67" s="1278"/>
      <c s="1278"/>
      <c s="1278"/>
      <c s="1278"/>
      <c s="1278"/>
    </row>
    <row r="68" spans="5:9" ht="12.75">
      <c r="E68" s="1278"/>
      <c s="1278"/>
      <c s="1278"/>
      <c s="1278"/>
      <c s="1278"/>
    </row>
    <row r="69" spans="5:9" ht="12.75">
      <c r="E69" s="1278"/>
      <c s="1278"/>
      <c s="1278"/>
      <c s="1278"/>
      <c s="1278"/>
    </row>
    <row r="70" spans="5:9" ht="12.75">
      <c r="E70" s="1278"/>
      <c s="1278"/>
      <c s="1278"/>
      <c s="1278"/>
      <c s="1278"/>
    </row>
    <row r="71" spans="5:9" ht="12.75">
      <c r="E71" s="1278"/>
      <c s="1278"/>
      <c s="1278"/>
      <c s="1278"/>
      <c s="1278"/>
    </row>
    <row r="72" spans="5:9" ht="12.75">
      <c r="E72" s="1278"/>
      <c s="1278"/>
      <c s="1278"/>
      <c s="1278"/>
      <c s="1278"/>
    </row>
    <row r="73" spans="5:9" ht="12.75">
      <c r="E73" s="1278"/>
      <c s="1278"/>
      <c s="1278"/>
      <c s="1278"/>
      <c s="1278"/>
    </row>
    <row r="74" spans="5:9" ht="13.5" thickBot="1">
      <c r="E74" s="1278"/>
      <c s="1278"/>
      <c s="1278"/>
      <c s="1278"/>
      <c s="1278"/>
    </row>
    <row r="75" spans="1:9" ht="42" thickBot="1">
      <c r="A75" s="1279"/>
      <c s="1280"/>
      <c s="1280"/>
      <c s="1280"/>
      <c s="1280"/>
      <c s="1280"/>
      <c s="1280"/>
      <c s="1280"/>
      <c s="1281"/>
    </row>
    <row r="76" spans="1:7" ht="13.5" thickBot="1">
      <c r="A76" s="7"/>
      <c s="7"/>
      <c s="7"/>
      <c s="7"/>
      <c s="8"/>
      <c s="9"/>
      <c s="10"/>
    </row>
    <row r="77" spans="1:9" ht="13.5" thickBot="1">
      <c r="A77" s="1282" t="s">
        <v>54</v>
      </c>
      <c s="1282" t="s">
        <v>53</v>
      </c>
      <c s="1282"/>
      <c s="1282" t="s">
        <v>53</v>
      </c>
      <c s="1282"/>
      <c s="1282" t="s">
        <v>53</v>
      </c>
      <c s="1282"/>
      <c s="1282" t="s">
        <v>53</v>
      </c>
      <c s="1282"/>
    </row>
    <row r="78" spans="1:9" ht="13.5" thickBot="1">
      <c r="A78" s="1282"/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  <c s="29">
        <v>16</v>
      </c>
      <c s="29">
        <v>18</v>
      </c>
    </row>
    <row r="79" spans="1:9" ht="36.75" customHeight="1" thickBot="1">
      <c r="A79" s="1282"/>
      <c s="1283" t="s">
        <v>57</v>
      </c>
      <c s="1283"/>
      <c s="1283" t="s">
        <v>56</v>
      </c>
      <c s="1283"/>
      <c s="1283" t="s">
        <v>55</v>
      </c>
      <c s="1283"/>
      <c s="1283" t="s">
        <v>58</v>
      </c>
      <c s="1283"/>
    </row>
    <row r="80" spans="1:9" ht="12.75">
      <c r="A80" s="369">
        <v>300</v>
      </c>
      <c s="144">
        <v>177</v>
      </c>
      <c s="145">
        <v>173</v>
      </c>
      <c s="144">
        <v>181</v>
      </c>
      <c s="146">
        <v>177</v>
      </c>
      <c s="147">
        <v>200</v>
      </c>
      <c s="144">
        <v>196</v>
      </c>
      <c s="148" t="s">
        <v>39</v>
      </c>
      <c s="148" t="s">
        <v>39</v>
      </c>
    </row>
    <row r="81" spans="1:9" ht="12.75">
      <c r="A81" s="370">
        <v>350</v>
      </c>
      <c s="149">
        <v>227</v>
      </c>
      <c s="150">
        <v>223</v>
      </c>
      <c s="149">
        <v>231</v>
      </c>
      <c s="151">
        <v>227</v>
      </c>
      <c s="150">
        <v>250</v>
      </c>
      <c s="149">
        <v>246</v>
      </c>
      <c s="152" t="s">
        <v>39</v>
      </c>
      <c s="152" t="s">
        <v>39</v>
      </c>
    </row>
    <row r="82" spans="1:9" ht="12.75">
      <c r="A82" s="371">
        <v>400</v>
      </c>
      <c s="153">
        <v>277</v>
      </c>
      <c s="154">
        <v>273</v>
      </c>
      <c s="153">
        <v>281</v>
      </c>
      <c s="155">
        <v>277</v>
      </c>
      <c s="154">
        <v>300</v>
      </c>
      <c s="153">
        <v>296</v>
      </c>
      <c s="152" t="s">
        <v>39</v>
      </c>
      <c s="152" t="s">
        <v>39</v>
      </c>
    </row>
    <row r="83" spans="1:9" ht="12.75">
      <c r="A83" s="370">
        <v>450</v>
      </c>
      <c s="149">
        <v>327</v>
      </c>
      <c s="150">
        <v>323</v>
      </c>
      <c s="149">
        <v>331</v>
      </c>
      <c s="151">
        <v>327</v>
      </c>
      <c s="150">
        <v>350</v>
      </c>
      <c s="149">
        <v>346</v>
      </c>
      <c s="156">
        <v>98</v>
      </c>
      <c s="156">
        <v>94</v>
      </c>
    </row>
    <row r="84" spans="1:9" ht="12.75">
      <c r="A84" s="371">
        <v>500</v>
      </c>
      <c s="153">
        <v>377</v>
      </c>
      <c s="154">
        <v>373</v>
      </c>
      <c s="153">
        <v>381</v>
      </c>
      <c s="155">
        <v>377</v>
      </c>
      <c s="154">
        <v>400</v>
      </c>
      <c s="153">
        <v>396</v>
      </c>
      <c s="157">
        <v>148</v>
      </c>
      <c s="157">
        <v>144</v>
      </c>
    </row>
    <row r="85" spans="1:9" ht="12.75">
      <c r="A85" s="370">
        <v>550</v>
      </c>
      <c s="149">
        <v>427</v>
      </c>
      <c s="150">
        <v>423</v>
      </c>
      <c s="149">
        <v>431</v>
      </c>
      <c s="151">
        <v>427</v>
      </c>
      <c s="150">
        <v>450</v>
      </c>
      <c s="149">
        <v>446</v>
      </c>
      <c s="156">
        <v>198</v>
      </c>
      <c s="156">
        <v>194</v>
      </c>
    </row>
    <row r="86" spans="1:9" ht="12.75">
      <c r="A86" s="371">
        <v>600</v>
      </c>
      <c s="153">
        <v>477</v>
      </c>
      <c s="154">
        <v>473</v>
      </c>
      <c s="153">
        <v>481</v>
      </c>
      <c s="155">
        <v>477</v>
      </c>
      <c s="154">
        <v>500</v>
      </c>
      <c s="153">
        <v>496</v>
      </c>
      <c s="157">
        <v>248</v>
      </c>
      <c s="157">
        <v>244</v>
      </c>
    </row>
    <row r="87" spans="1:9" ht="12.75">
      <c r="A87" s="370">
        <v>650</v>
      </c>
      <c s="149">
        <v>527</v>
      </c>
      <c s="150">
        <v>523</v>
      </c>
      <c s="149">
        <v>531</v>
      </c>
      <c s="151">
        <v>527</v>
      </c>
      <c s="150">
        <v>550</v>
      </c>
      <c s="149">
        <v>546</v>
      </c>
      <c s="156">
        <v>298</v>
      </c>
      <c s="156">
        <v>294</v>
      </c>
    </row>
    <row r="88" spans="1:9" ht="13.5" thickBot="1">
      <c r="A88" s="372">
        <v>1200</v>
      </c>
      <c s="158">
        <v>1077</v>
      </c>
      <c s="159">
        <v>1073</v>
      </c>
      <c s="160">
        <v>1081</v>
      </c>
      <c s="158">
        <v>1077</v>
      </c>
      <c s="159">
        <v>1100</v>
      </c>
      <c s="161">
        <v>1096</v>
      </c>
      <c s="162">
        <v>848</v>
      </c>
      <c s="162">
        <v>844</v>
      </c>
    </row>
    <row r="89" spans="4:5" ht="12.75">
      <c r="D89" s="24"/>
      <c s="24"/>
    </row>
    <row r="90" spans="1:4" ht="13.5" thickBot="1">
      <c r="A90" s="55"/>
      <c s="55"/>
      <c s="55"/>
      <c s="55"/>
    </row>
    <row r="91" spans="1:9" ht="13.5" thickBot="1">
      <c r="A91" s="56" t="s">
        <v>61</v>
      </c>
      <c s="56" t="s">
        <v>64</v>
      </c>
      <c s="56" t="s">
        <v>67</v>
      </c>
      <c s="56" t="s">
        <v>65</v>
      </c>
      <c s="1278"/>
      <c s="1278"/>
      <c s="1278"/>
      <c s="1278"/>
      <c s="1278"/>
    </row>
    <row r="92" spans="1:9" ht="13.5" thickBot="1">
      <c r="A92" s="57" t="s">
        <v>75</v>
      </c>
      <c s="58">
        <f>$B$21-40</f>
        <v>-40</v>
      </c>
      <c s="58">
        <v>98</v>
      </c>
      <c s="58">
        <v>4</v>
      </c>
      <c s="1278"/>
      <c s="1278"/>
      <c s="1278"/>
      <c s="1278"/>
      <c s="1278"/>
    </row>
    <row r="93" spans="5:9" ht="12.75">
      <c r="E93" s="1278"/>
      <c s="1278"/>
      <c s="1278"/>
      <c s="1278"/>
      <c s="1278"/>
    </row>
    <row r="94" spans="1:9" ht="13.5" thickBot="1">
      <c r="A94" s="55"/>
      <c s="55"/>
      <c r="E94" s="1278"/>
      <c s="1278"/>
      <c s="1278"/>
      <c s="1278"/>
      <c s="1278"/>
    </row>
    <row r="95" spans="1:9" ht="13.5" thickBot="1">
      <c r="A95" s="54" t="s">
        <v>66</v>
      </c>
      <c s="47">
        <v>450</v>
      </c>
      <c r="E95" s="1278"/>
      <c s="1278"/>
      <c s="1278"/>
      <c s="1278"/>
      <c s="1278"/>
    </row>
    <row r="96" spans="5:9" ht="12.75">
      <c r="E96" s="1278"/>
      <c s="1278"/>
      <c s="1278"/>
      <c s="1278"/>
      <c s="1278"/>
    </row>
    <row r="97" spans="5:9" ht="12.75">
      <c r="E97" s="1278"/>
      <c s="1278"/>
      <c s="1278"/>
      <c s="1278"/>
      <c s="1278"/>
    </row>
    <row r="98" spans="5:9" ht="12.75">
      <c r="E98" s="1278"/>
      <c s="1278"/>
      <c s="1278"/>
      <c s="1278"/>
      <c s="1278"/>
    </row>
    <row r="99" spans="5:9" ht="12.75">
      <c r="E99" s="1278"/>
      <c s="1278"/>
      <c s="1278"/>
      <c s="1278"/>
      <c s="1278"/>
    </row>
    <row r="100" spans="5:9" ht="12.75">
      <c r="E100" s="1278"/>
      <c s="1278"/>
      <c s="1278"/>
      <c s="1278"/>
      <c s="1278"/>
    </row>
    <row r="101" spans="5:9" ht="12.75">
      <c r="E101" s="1278"/>
      <c s="1278"/>
      <c s="1278"/>
      <c s="1278"/>
      <c s="1278"/>
    </row>
    <row r="102" spans="5:9" ht="12.75">
      <c r="E102" s="1278"/>
      <c s="1278"/>
      <c s="1278"/>
      <c s="1278"/>
      <c s="1278"/>
    </row>
    <row r="103" spans="5:9" ht="12.75">
      <c r="E103" s="1278"/>
      <c s="1278"/>
      <c s="1278"/>
      <c s="1278"/>
      <c s="1278"/>
    </row>
    <row r="104" spans="5:9" ht="12.75" thickBot="1">
      <c r="E104" s="1278"/>
      <c s="1278"/>
      <c s="1278"/>
      <c s="1278"/>
      <c s="1278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protectedRanges>
    <protectedRange sqref="B52" name="Диапазон2_2"/>
    <protectedRange sqref="A36:A44" name="Диапазон1_2"/>
    <protectedRange sqref="B95" name="Диапазон2_3"/>
    <protectedRange sqref="A80:A88" name="Диапазон1_3"/>
  </protectedRanges>
  <customSheetViews>
    <customSheetView guid="{a25b6f15-9b48-4230-9c30-183637d1319e}" scale="115" showGridLines="0" topLeftCell="A1">
      <selection pane="topLeft" activeCell="J8" sqref="J8"/>
      <pageMargins left="0.75" right="0.75" top="1" bottom="1" header="0.5" footer="0.5"/>
      <pageSetup orientation="portrait" paperSize="9" r:id="rId5"/>
      <headerFooter alignWithMargins="0"/>
    </customSheetView>
  </customSheetViews>
  <mergeCells count="34">
    <mergeCell ref="E17:I30"/>
    <mergeCell ref="A1:I1"/>
    <mergeCell ref="A3:A5"/>
    <mergeCell ref="B3:C3"/>
    <mergeCell ref="D3:E3"/>
    <mergeCell ref="F3:G3"/>
    <mergeCell ref="H3:I3"/>
    <mergeCell ref="B5:C5"/>
    <mergeCell ref="D5:E5"/>
    <mergeCell ref="F5:G5"/>
    <mergeCell ref="H5:I5"/>
    <mergeCell ref="A31:I31"/>
    <mergeCell ref="A33:A35"/>
    <mergeCell ref="B33:C33"/>
    <mergeCell ref="D33:E33"/>
    <mergeCell ref="F33:G33"/>
    <mergeCell ref="H33:I33"/>
    <mergeCell ref="B35:C35"/>
    <mergeCell ref="D35:E35"/>
    <mergeCell ref="F35:G35"/>
    <mergeCell ref="H35:I35"/>
    <mergeCell ref="E91:I104"/>
    <mergeCell ref="E47:I60"/>
    <mergeCell ref="E61:I74"/>
    <mergeCell ref="A75:I75"/>
    <mergeCell ref="A77:A79"/>
    <mergeCell ref="B77:C77"/>
    <mergeCell ref="D77:E77"/>
    <mergeCell ref="F77:G77"/>
    <mergeCell ref="H77:I77"/>
    <mergeCell ref="B79:C79"/>
    <mergeCell ref="D79:E79"/>
    <mergeCell ref="F79:G79"/>
    <mergeCell ref="H79:I79"/>
  </mergeCells>
  <hyperlinks>
    <hyperlink ref="J1" location="Содержание!R1C1" display="← СОДЕРЖАНИЕ:"/>
  </hyperlinks>
  <pageMargins left="0.75" right="0.75" top="1" bottom="1" header="0.5" footer="0.5"/>
  <pageSetup orientation="portrait" paperSize="9" r:id="rId4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4">
    <tabColor rgb="FFFF6600"/>
  </sheetPr>
  <dimension ref="A1:J36"/>
  <sheetViews>
    <sheetView showGridLines="0" workbookViewId="0" topLeftCell="A1">
      <selection pane="topLeft" activeCell="O15" sqref="O15"/>
    </sheetView>
  </sheetViews>
  <sheetFormatPr defaultColWidth="9.14428571428571" defaultRowHeight="15"/>
  <cols>
    <col min="1" max="1" width="28.4285714285714" style="353" customWidth="1"/>
    <col min="2" max="2" width="19.7142857142857" style="353" customWidth="1"/>
    <col min="3" max="3" width="17.2857142857143" style="353" customWidth="1"/>
    <col min="4" max="5" width="17.5714285714286" style="353" customWidth="1"/>
    <col min="6" max="6" width="15.1428571428571" style="353" customWidth="1"/>
    <col min="7" max="7" width="12" style="353" customWidth="1"/>
    <col min="8" max="9" width="22.4285714285714" style="353" customWidth="1"/>
    <col min="10" max="10" width="18.8571428571429" style="353" customWidth="1"/>
    <col min="11" max="16384" width="9.14285714285714" style="353"/>
  </cols>
  <sheetData>
    <row r="1" spans="1:10" ht="62.25" customHeight="1" thickBot="1">
      <c r="A1" s="374" t="s">
        <v>322</v>
      </c>
      <c s="375" t="s">
        <v>324</v>
      </c>
      <c s="375" t="s">
        <v>313</v>
      </c>
      <c s="375" t="s">
        <v>314</v>
      </c>
      <c s="375" t="s">
        <v>315</v>
      </c>
      <c s="375" t="s">
        <v>316</v>
      </c>
      <c s="375" t="s">
        <v>317</v>
      </c>
      <c s="375" t="s">
        <v>325</v>
      </c>
      <c s="375" t="s">
        <v>326</v>
      </c>
      <c s="373" t="s">
        <v>295</v>
      </c>
    </row>
    <row r="2" spans="1:9" ht="45" customHeight="1">
      <c r="A2" s="354" t="s">
        <v>230</v>
      </c>
      <c s="376">
        <v>564</v>
      </c>
      <c s="376">
        <v>500</v>
      </c>
      <c s="355">
        <v>69</v>
      </c>
      <c s="355">
        <f>B2-87</f>
        <v>477</v>
      </c>
      <c s="356">
        <f>B2-75</f>
        <v>489</v>
      </c>
      <c s="356">
        <f>C2-25</f>
        <v>475</v>
      </c>
      <c s="356">
        <f>B2-85</f>
        <v>479</v>
      </c>
      <c s="359">
        <f>C2-25</f>
        <v>475</v>
      </c>
    </row>
    <row r="3" spans="1:9" ht="33.75" customHeight="1">
      <c r="A3" s="354" t="s">
        <v>236</v>
      </c>
      <c s="376">
        <v>564</v>
      </c>
      <c s="376">
        <v>500</v>
      </c>
      <c s="355">
        <v>84</v>
      </c>
      <c s="355">
        <f t="shared" si="0" ref="E3:E7">B3-87</f>
        <v>477</v>
      </c>
      <c s="356">
        <f t="shared" si="1" ref="F3:F7">B3-75</f>
        <v>489</v>
      </c>
      <c s="356">
        <f t="shared" si="2" ref="G3:G7">C3-25</f>
        <v>475</v>
      </c>
      <c s="356">
        <f t="shared" si="3" ref="H3:H7">B3-85</f>
        <v>479</v>
      </c>
      <c s="359">
        <f t="shared" si="4" ref="I3:I7">C3-25</f>
        <v>475</v>
      </c>
    </row>
    <row r="4" spans="1:9" ht="39.75" customHeight="1">
      <c r="A4" s="354" t="s">
        <v>225</v>
      </c>
      <c s="376">
        <v>564</v>
      </c>
      <c s="376">
        <v>500</v>
      </c>
      <c s="355">
        <v>116</v>
      </c>
      <c s="355">
        <f t="shared" si="0"/>
        <v>477</v>
      </c>
      <c s="356">
        <f t="shared" si="1"/>
        <v>489</v>
      </c>
      <c s="356">
        <f t="shared" si="2"/>
        <v>475</v>
      </c>
      <c s="356">
        <f t="shared" si="3"/>
        <v>479</v>
      </c>
      <c s="359">
        <f t="shared" si="4"/>
        <v>475</v>
      </c>
    </row>
    <row r="5" spans="1:9" ht="35.25" customHeight="1">
      <c r="A5" s="354" t="s">
        <v>318</v>
      </c>
      <c s="376">
        <v>564</v>
      </c>
      <c s="376">
        <v>500</v>
      </c>
      <c s="355">
        <v>135</v>
      </c>
      <c s="355">
        <f t="shared" si="0"/>
        <v>477</v>
      </c>
      <c s="356">
        <f t="shared" si="1"/>
        <v>489</v>
      </c>
      <c s="356">
        <f t="shared" si="2"/>
        <v>475</v>
      </c>
      <c s="356">
        <f t="shared" si="3"/>
        <v>479</v>
      </c>
      <c s="359">
        <f t="shared" si="4"/>
        <v>475</v>
      </c>
    </row>
    <row r="6" spans="1:9" ht="36.75" customHeight="1">
      <c r="A6" s="354" t="s">
        <v>221</v>
      </c>
      <c s="376">
        <v>564</v>
      </c>
      <c s="376">
        <v>500</v>
      </c>
      <c s="355">
        <v>167</v>
      </c>
      <c s="355">
        <f t="shared" si="0"/>
        <v>477</v>
      </c>
      <c s="356">
        <f t="shared" si="1"/>
        <v>489</v>
      </c>
      <c s="356">
        <f t="shared" si="2"/>
        <v>475</v>
      </c>
      <c s="356">
        <f t="shared" si="3"/>
        <v>479</v>
      </c>
      <c s="359">
        <f t="shared" si="4"/>
        <v>475</v>
      </c>
    </row>
    <row r="7" spans="1:9" ht="42" customHeight="1">
      <c r="A7" s="354" t="s">
        <v>319</v>
      </c>
      <c s="376">
        <v>564</v>
      </c>
      <c s="376">
        <v>500</v>
      </c>
      <c s="355">
        <v>199</v>
      </c>
      <c s="355">
        <f t="shared" si="0"/>
        <v>477</v>
      </c>
      <c s="356">
        <f t="shared" si="1"/>
        <v>489</v>
      </c>
      <c s="356">
        <f t="shared" si="2"/>
        <v>475</v>
      </c>
      <c s="356">
        <f t="shared" si="3"/>
        <v>479</v>
      </c>
      <c s="359">
        <f t="shared" si="4"/>
        <v>475</v>
      </c>
    </row>
    <row r="9" spans="1:1" ht="20.25" thickBot="1">
      <c r="A9" s="357" t="s">
        <v>320</v>
      </c>
    </row>
    <row r="10" spans="1:9" ht="15">
      <c r="A10" s="377"/>
      <c s="381"/>
      <c s="381"/>
      <c s="381"/>
      <c s="381"/>
      <c s="381"/>
      <c s="378"/>
      <c s="1290"/>
      <c s="1291"/>
    </row>
    <row r="11" spans="1:9" ht="15">
      <c r="A11" s="379"/>
      <c r="G11" s="380"/>
      <c s="1292"/>
      <c s="1293"/>
    </row>
    <row r="12" spans="1:9" ht="15">
      <c r="A12" s="379"/>
      <c r="G12" s="380"/>
      <c s="1292"/>
      <c s="1293"/>
    </row>
    <row r="13" spans="1:9" ht="15">
      <c r="A13" s="379"/>
      <c r="G13" s="380"/>
      <c s="1292"/>
      <c s="1293"/>
    </row>
    <row r="14" spans="1:9" ht="15">
      <c r="A14" s="379"/>
      <c r="G14" s="380"/>
      <c s="1292"/>
      <c s="1293"/>
    </row>
    <row r="15" spans="1:9" ht="15">
      <c r="A15" s="379"/>
      <c r="G15" s="380"/>
      <c s="1292"/>
      <c s="1293"/>
    </row>
    <row r="16" spans="1:9" ht="15">
      <c r="A16" s="379"/>
      <c r="G16" s="380"/>
      <c s="1292"/>
      <c s="1293"/>
    </row>
    <row r="17" spans="1:9" ht="15">
      <c r="A17" s="379"/>
      <c r="G17" s="380"/>
      <c s="1292"/>
      <c s="1293"/>
    </row>
    <row r="18" spans="1:9" ht="15">
      <c r="A18" s="379"/>
      <c r="G18" s="380"/>
      <c s="1292"/>
      <c s="1293"/>
    </row>
    <row r="19" spans="1:9" ht="15">
      <c r="A19" s="379"/>
      <c r="G19" s="380"/>
      <c s="1292"/>
      <c s="1293"/>
    </row>
    <row r="20" spans="1:9" ht="15.75" thickBot="1">
      <c r="A20" s="379"/>
      <c r="G20" s="380"/>
      <c s="1294"/>
      <c s="1295"/>
    </row>
    <row r="21" spans="1:9" ht="15">
      <c r="A21" s="379"/>
      <c r="G21" s="380"/>
      <c s="1284" t="s">
        <v>332</v>
      </c>
      <c s="1285"/>
    </row>
    <row r="22" spans="1:9" ht="15">
      <c r="A22" s="379"/>
      <c r="G22" s="380"/>
      <c s="1286"/>
      <c s="1287"/>
    </row>
    <row r="23" spans="1:9" ht="15">
      <c r="A23" s="379"/>
      <c r="G23" s="380"/>
      <c s="1286"/>
      <c s="1287"/>
    </row>
    <row r="24" spans="1:9" ht="15">
      <c r="A24" s="379"/>
      <c r="G24" s="380"/>
      <c s="1286"/>
      <c s="1287"/>
    </row>
    <row r="25" spans="1:9" ht="15">
      <c r="A25" s="379"/>
      <c r="G25" s="380"/>
      <c s="1286"/>
      <c s="1287"/>
    </row>
    <row r="26" spans="1:9" ht="15">
      <c r="A26" s="379"/>
      <c r="G26" s="380"/>
      <c s="1286"/>
      <c s="1287"/>
    </row>
    <row r="27" spans="1:9" ht="15">
      <c r="A27" s="379"/>
      <c r="G27" s="380"/>
      <c s="1286"/>
      <c s="1287"/>
    </row>
    <row r="28" spans="1:9" ht="15">
      <c r="A28" s="379"/>
      <c r="G28" s="380"/>
      <c s="1286"/>
      <c s="1287"/>
    </row>
    <row r="29" spans="1:9" ht="15">
      <c r="A29" s="379"/>
      <c r="G29" s="380"/>
      <c s="1286"/>
      <c s="1287"/>
    </row>
    <row r="30" spans="1:9" ht="15">
      <c r="A30" s="379"/>
      <c r="G30" s="380"/>
      <c s="1286"/>
      <c s="1287"/>
    </row>
    <row r="31" spans="1:9" ht="15">
      <c r="A31" s="379"/>
      <c r="G31" s="380"/>
      <c s="1286"/>
      <c s="1287"/>
    </row>
    <row r="32" spans="1:9" ht="15">
      <c r="A32" s="379"/>
      <c r="G32" s="380"/>
      <c s="1286"/>
      <c s="1287"/>
    </row>
    <row r="33" spans="1:9" ht="15">
      <c r="A33" s="379"/>
      <c r="G33" s="380"/>
      <c s="1286"/>
      <c s="1287"/>
    </row>
    <row r="34" spans="1:9" ht="15">
      <c r="A34" s="379"/>
      <c r="G34" s="380"/>
      <c s="1286"/>
      <c s="1287"/>
    </row>
    <row r="35" spans="1:9" ht="15">
      <c r="A35" s="379"/>
      <c r="G35" s="380"/>
      <c s="1286"/>
      <c s="1287"/>
    </row>
    <row r="36" spans="1:9" ht="15.75" thickBot="1">
      <c r="A36" s="382"/>
      <c s="383"/>
      <c s="383"/>
      <c s="383"/>
      <c s="383"/>
      <c s="383"/>
      <c s="384"/>
      <c s="1288"/>
      <c s="1289"/>
    </row>
  </sheetData>
  <sheetProtection algorithmName="SHA-512" hashValue="lEgr5y7XMCe3jk4Ztcw0TbYp5wwHJdbuWkrqLlSce/dPZOt+Tb8HgiwnzLpM5eQMGWEJE5lb0bpzMR/maS2LTA==" saltValue="CRfbJwRRp5xttOU5Wuh47g==" spinCount="100000" sheet="1" formatCells="0" formatColumns="0" formatRows="0" insertColumns="0" insertRows="0" insertHyperlinks="0" deleteColumns="0" deleteRows="0" sort="0" autoFilter="0" pivotTables="0"/>
  <mergeCells count="2">
    <mergeCell ref="H21:I36"/>
    <mergeCell ref="H10:I20"/>
  </mergeCells>
  <hyperlinks>
    <hyperlink ref="J1" location="Содержание!R1C1" display="← СОДЕРЖАНИЕ:"/>
  </hyperlinks>
  <pageMargins left="0.7" right="0.7" top="0.75" bottom="0.75" header="0.3" footer="0.3"/>
  <pageSetup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25">
    <tabColor rgb="FFFF860D"/>
  </sheetPr>
  <dimension ref="A1:K33"/>
  <sheetViews>
    <sheetView showGridLines="0" workbookViewId="0" topLeftCell="D1">
      <selection pane="topLeft" activeCell="O15" sqref="O15"/>
    </sheetView>
  </sheetViews>
  <sheetFormatPr defaultColWidth="9.14428571428571" defaultRowHeight="15"/>
  <cols>
    <col min="1" max="1" width="28.4285714285714" style="353" customWidth="1"/>
    <col min="2" max="2" width="17.8571428571429" style="353" customWidth="1"/>
    <col min="3" max="3" width="16.5714285714286" style="353" customWidth="1"/>
    <col min="4" max="4" width="22.4285714285714" style="353" customWidth="1"/>
    <col min="5" max="5" width="17.7142857142857" style="353" customWidth="1"/>
    <col min="6" max="6" width="13.1428571428571" style="353" customWidth="1"/>
    <col min="7" max="7" width="14.8571428571429" style="353" customWidth="1"/>
    <col min="8" max="8" width="22.4285714285714" style="353" customWidth="1"/>
    <col min="9" max="9" width="22.5714285714286" style="353" customWidth="1"/>
    <col min="10" max="10" width="23.7142857142857" style="353" customWidth="1"/>
    <col min="11" max="11" width="16.4285714285714" style="353" customWidth="1"/>
    <col min="12" max="16384" width="9.14285714285714" style="353"/>
  </cols>
  <sheetData>
    <row r="1" spans="1:11" ht="60.75" customHeight="1" thickBot="1">
      <c r="A1" s="374" t="s">
        <v>321</v>
      </c>
      <c s="375" t="s">
        <v>324</v>
      </c>
      <c s="375" t="s">
        <v>313</v>
      </c>
      <c s="375" t="s">
        <v>314</v>
      </c>
      <c s="375" t="s">
        <v>315</v>
      </c>
      <c s="375" t="s">
        <v>316</v>
      </c>
      <c s="375" t="s">
        <v>317</v>
      </c>
      <c s="375" t="s">
        <v>327</v>
      </c>
      <c s="375" t="s">
        <v>328</v>
      </c>
      <c s="375" t="s">
        <v>329</v>
      </c>
      <c s="373" t="s">
        <v>295</v>
      </c>
    </row>
    <row r="2" spans="1:10" ht="45" customHeight="1">
      <c r="A2" s="354" t="s">
        <v>230</v>
      </c>
      <c s="385">
        <v>564</v>
      </c>
      <c s="385">
        <v>500</v>
      </c>
      <c s="358">
        <v>39</v>
      </c>
      <c s="358">
        <f>B2-38</f>
        <v>526</v>
      </c>
      <c s="359">
        <f>B2-35</f>
        <v>529</v>
      </c>
      <c s="359">
        <f>C2-10</f>
        <v>490</v>
      </c>
      <c s="359">
        <f>B2-43</f>
        <v>521</v>
      </c>
      <c s="359">
        <f>C2-27</f>
        <v>473</v>
      </c>
      <c s="359">
        <f>C2-40</f>
        <v>460</v>
      </c>
    </row>
    <row r="3" spans="1:10" ht="33.75" customHeight="1">
      <c r="A3" s="354" t="s">
        <v>236</v>
      </c>
      <c s="385">
        <v>564</v>
      </c>
      <c s="385">
        <v>500</v>
      </c>
      <c s="358">
        <v>63</v>
      </c>
      <c s="358">
        <f t="shared" si="0" ref="E3:E6">B3-38</f>
        <v>526</v>
      </c>
      <c s="359">
        <f t="shared" si="1" ref="F3:F6">B3-35</f>
        <v>529</v>
      </c>
      <c s="359">
        <f t="shared" si="2" ref="G3:G6">C3-10</f>
        <v>490</v>
      </c>
      <c s="359">
        <f t="shared" si="3" ref="H3:H6">B3-43</f>
        <v>521</v>
      </c>
      <c s="359">
        <f t="shared" si="4" ref="I3:I6">C3-27</f>
        <v>473</v>
      </c>
      <c s="359">
        <f t="shared" si="5" ref="J3:J6">C3-40</f>
        <v>460</v>
      </c>
    </row>
    <row r="4" spans="1:10" ht="39.75" customHeight="1">
      <c r="A4" s="354" t="s">
        <v>225</v>
      </c>
      <c s="385">
        <v>564</v>
      </c>
      <c s="385">
        <v>500</v>
      </c>
      <c s="358">
        <v>101</v>
      </c>
      <c s="358">
        <f t="shared" si="0"/>
        <v>526</v>
      </c>
      <c s="359">
        <f t="shared" si="1"/>
        <v>529</v>
      </c>
      <c s="359">
        <f t="shared" si="2"/>
        <v>490</v>
      </c>
      <c s="359">
        <f t="shared" si="3"/>
        <v>521</v>
      </c>
      <c s="359">
        <f t="shared" si="4"/>
        <v>473</v>
      </c>
      <c s="359">
        <f t="shared" si="5"/>
        <v>460</v>
      </c>
    </row>
    <row r="5" spans="1:10" ht="35.25" customHeight="1">
      <c r="A5" s="354" t="s">
        <v>221</v>
      </c>
      <c s="385">
        <v>564</v>
      </c>
      <c s="385">
        <v>500</v>
      </c>
      <c s="358">
        <v>148</v>
      </c>
      <c s="358">
        <f t="shared" si="0"/>
        <v>526</v>
      </c>
      <c s="359">
        <f t="shared" si="1"/>
        <v>529</v>
      </c>
      <c s="359">
        <f t="shared" si="2"/>
        <v>490</v>
      </c>
      <c s="359">
        <f t="shared" si="3"/>
        <v>521</v>
      </c>
      <c s="359">
        <f t="shared" si="4"/>
        <v>473</v>
      </c>
      <c s="359">
        <f t="shared" si="5"/>
        <v>460</v>
      </c>
    </row>
    <row r="6" spans="1:10" ht="36.75" customHeight="1">
      <c r="A6" s="354" t="s">
        <v>217</v>
      </c>
      <c s="385">
        <v>564</v>
      </c>
      <c s="385">
        <v>500</v>
      </c>
      <c s="358">
        <v>212</v>
      </c>
      <c s="358">
        <f t="shared" si="0"/>
        <v>526</v>
      </c>
      <c s="359">
        <f t="shared" si="1"/>
        <v>529</v>
      </c>
      <c s="359">
        <f t="shared" si="2"/>
        <v>490</v>
      </c>
      <c s="359">
        <f t="shared" si="3"/>
        <v>521</v>
      </c>
      <c s="359">
        <f t="shared" si="4"/>
        <v>473</v>
      </c>
      <c s="359">
        <f t="shared" si="5"/>
        <v>460</v>
      </c>
    </row>
    <row r="7" ht="15.75" thickBot="1"/>
    <row r="8" spans="1:10" ht="15">
      <c r="A8" s="377"/>
      <c s="381"/>
      <c s="381"/>
      <c s="381"/>
      <c s="381"/>
      <c s="381"/>
      <c s="378"/>
      <c s="1302"/>
      <c s="1303"/>
      <c s="1308"/>
    </row>
    <row r="9" spans="1:10" ht="15">
      <c r="A9" s="379"/>
      <c r="G9" s="380"/>
      <c s="1304"/>
      <c s="1305"/>
      <c s="1309"/>
    </row>
    <row r="10" spans="1:10" ht="15">
      <c r="A10" s="379"/>
      <c r="G10" s="380"/>
      <c s="1304"/>
      <c s="1305"/>
      <c s="1309"/>
    </row>
    <row r="11" spans="1:10" ht="15">
      <c r="A11" s="379"/>
      <c r="G11" s="380"/>
      <c s="1304"/>
      <c s="1305"/>
      <c s="1309"/>
    </row>
    <row r="12" spans="1:10" ht="15">
      <c r="A12" s="379"/>
      <c r="G12" s="380"/>
      <c s="1304"/>
      <c s="1305"/>
      <c s="1309"/>
    </row>
    <row r="13" spans="1:10" ht="15.75" thickBot="1">
      <c r="A13" s="379"/>
      <c r="G13" s="380"/>
      <c s="1306"/>
      <c s="1307"/>
      <c s="1310"/>
    </row>
    <row r="14" spans="1:10" ht="15">
      <c r="A14" s="379"/>
      <c r="G14" s="380"/>
      <c s="1296" t="s">
        <v>330</v>
      </c>
      <c s="1285"/>
      <c s="1299" t="s">
        <v>331</v>
      </c>
    </row>
    <row r="15" spans="1:10" ht="15">
      <c r="A15" s="379"/>
      <c r="G15" s="380"/>
      <c s="1297"/>
      <c s="1287"/>
      <c s="1300"/>
    </row>
    <row r="16" spans="1:10" ht="15">
      <c r="A16" s="379"/>
      <c r="G16" s="380"/>
      <c s="1297"/>
      <c s="1287"/>
      <c s="1300"/>
    </row>
    <row r="17" spans="1:10" ht="15" customHeight="1">
      <c r="A17" s="379"/>
      <c r="G17" s="380"/>
      <c s="1297"/>
      <c s="1287"/>
      <c s="1300"/>
    </row>
    <row r="18" spans="1:10" ht="15">
      <c r="A18" s="379"/>
      <c r="G18" s="380"/>
      <c s="1297"/>
      <c s="1287"/>
      <c s="1300"/>
    </row>
    <row r="19" spans="1:10" ht="15">
      <c r="A19" s="379"/>
      <c r="G19" s="380"/>
      <c s="1297"/>
      <c s="1287"/>
      <c s="1300"/>
    </row>
    <row r="20" spans="1:10" ht="15">
      <c r="A20" s="379"/>
      <c r="G20" s="380"/>
      <c s="1297"/>
      <c s="1287"/>
      <c s="1300"/>
    </row>
    <row r="21" spans="1:10" ht="15">
      <c r="A21" s="379"/>
      <c r="G21" s="380"/>
      <c s="1297"/>
      <c s="1287"/>
      <c s="1300"/>
    </row>
    <row r="22" spans="1:10" ht="15.75" thickBot="1">
      <c r="A22" s="379"/>
      <c r="G22" s="380"/>
      <c s="1298"/>
      <c s="1289"/>
      <c s="1301"/>
    </row>
    <row r="23" spans="1:7" ht="15">
      <c r="A23" s="379"/>
      <c r="G23" s="380"/>
    </row>
    <row r="24" spans="1:7" ht="15">
      <c r="A24" s="379"/>
      <c r="G24" s="380"/>
    </row>
    <row r="25" spans="1:7" ht="15">
      <c r="A25" s="379"/>
      <c r="G25" s="380"/>
    </row>
    <row r="26" spans="1:7" ht="15">
      <c r="A26" s="379"/>
      <c r="G26" s="380"/>
    </row>
    <row r="27" spans="1:7" ht="15">
      <c r="A27" s="379"/>
      <c r="G27" s="380"/>
    </row>
    <row r="28" spans="1:7" ht="15">
      <c r="A28" s="379"/>
      <c r="G28" s="380"/>
    </row>
    <row r="29" spans="1:7" ht="15">
      <c r="A29" s="379"/>
      <c r="G29" s="380"/>
    </row>
    <row r="30" spans="1:7" ht="15">
      <c r="A30" s="379"/>
      <c r="G30" s="380"/>
    </row>
    <row r="31" spans="1:7" ht="15">
      <c r="A31" s="379"/>
      <c r="G31" s="380"/>
    </row>
    <row r="32" spans="1:7" ht="15">
      <c r="A32" s="379"/>
      <c r="G32" s="380"/>
    </row>
    <row r="33" spans="1:7" ht="15.75" thickBot="1">
      <c r="A33" s="382"/>
      <c s="383"/>
      <c s="383"/>
      <c s="383"/>
      <c s="383"/>
      <c s="383"/>
      <c s="384"/>
    </row>
  </sheetData>
  <sheetProtection algorithmName="SHA-512" hashValue="Bf3ffXY/Dz9pmrCNz/ou0D6YLsvUUTDjLdTtLQzcT9FyZAbufO+ApmDVPNeGN6JLT+IT0zjev/2L7Ek4Bn5ycw==" saltValue="3pdH60iekR4sd2p1mTMqsg==" spinCount="100000" sheet="1" formatCells="0" formatColumns="0" formatRows="0" insertColumns="0" insertRows="0" insertHyperlinks="0" deleteColumns="0" deleteRows="0" sort="0" autoFilter="0" pivotTables="0"/>
  <mergeCells count="4">
    <mergeCell ref="H14:I22"/>
    <mergeCell ref="J14:J22"/>
    <mergeCell ref="H8:I13"/>
    <mergeCell ref="J8:J13"/>
  </mergeCells>
  <hyperlinks>
    <hyperlink ref="K1" location="Содержание!R1C1" display="← СОДЕРЖАНИЕ:"/>
  </hyperlinks>
  <pageMargins left="0.7" right="0.7" top="0.75" bottom="0.75" header="0.3" footer="0.3"/>
  <pageSetup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FFCC"/>
  </sheetPr>
  <dimension ref="A1:G10"/>
  <sheetViews>
    <sheetView showGridLines="0" zoomScaleSheetLayoutView="100" workbookViewId="0" topLeftCell="A1">
      <selection pane="topLeft" activeCell="J4" sqref="J4"/>
    </sheetView>
  </sheetViews>
  <sheetFormatPr defaultColWidth="9.14428571428571" defaultRowHeight="15"/>
  <cols>
    <col min="1" max="1" width="9.14285714285714" style="353"/>
    <col min="2" max="2" width="56.8571428571429" style="353" customWidth="1"/>
    <col min="3" max="3" width="33.8571428571429" style="353" customWidth="1"/>
    <col min="4" max="4" width="41.2857142857143" style="353" customWidth="1"/>
    <col min="5" max="5" width="41.7142857142857" style="353" customWidth="1"/>
    <col min="6" max="6" width="20.4285714285714" style="353" customWidth="1"/>
    <col min="7" max="7" width="22.8571428571429" style="353" customWidth="1"/>
    <col min="8" max="16384" width="9.14285714285714" style="353"/>
  </cols>
  <sheetData>
    <row r="1" spans="1:7" ht="43.5" customHeight="1" thickBot="1">
      <c r="A1" s="1314" t="s">
        <v>402</v>
      </c>
      <c s="1315"/>
      <c s="1315"/>
      <c s="1315"/>
      <c s="1315"/>
      <c s="1316"/>
      <c s="598" t="s">
        <v>295</v>
      </c>
    </row>
    <row r="2" spans="1:6" ht="111.75" customHeight="1">
      <c r="A2" s="595"/>
      <c s="595"/>
      <c s="595"/>
      <c s="603"/>
      <c s="603"/>
      <c s="1311" t="s">
        <v>393</v>
      </c>
    </row>
    <row r="3" spans="1:6" ht="54.75" customHeight="1">
      <c r="A3" s="1313" t="s">
        <v>401</v>
      </c>
      <c s="1313"/>
      <c s="592" t="s">
        <v>394</v>
      </c>
      <c s="604" t="s">
        <v>399</v>
      </c>
      <c s="604" t="s">
        <v>395</v>
      </c>
      <c s="1312"/>
    </row>
    <row r="4" spans="1:6" ht="60.75" customHeight="1">
      <c r="A4" s="597">
        <v>1</v>
      </c>
      <c s="593" t="s">
        <v>396</v>
      </c>
      <c s="602">
        <v>600</v>
      </c>
      <c s="594">
        <f>C4-36</f>
        <v>564</v>
      </c>
      <c s="606">
        <f>1125/(D4-240)</f>
        <v>3.4722222222222223</v>
      </c>
      <c s="605">
        <f>D4-240</f>
        <v>324</v>
      </c>
    </row>
    <row r="5" spans="1:6" ht="56.25" customHeight="1">
      <c r="A5" s="597">
        <v>2</v>
      </c>
      <c s="596" t="s">
        <v>397</v>
      </c>
      <c s="602">
        <v>600</v>
      </c>
      <c s="594">
        <f t="shared" si="0" ref="D5:D9">C5-36</f>
        <v>564</v>
      </c>
      <c s="606">
        <f>1125/(D5-247)</f>
        <v>3.5488958990536279</v>
      </c>
      <c s="605">
        <f>D5-247</f>
        <v>317</v>
      </c>
    </row>
    <row r="6" spans="1:6" ht="56.25" customHeight="1">
      <c r="A6" s="597">
        <v>3</v>
      </c>
      <c s="596" t="s">
        <v>398</v>
      </c>
      <c s="602">
        <v>600</v>
      </c>
      <c s="594">
        <f t="shared" si="1" ref="D6">C6-36</f>
        <v>564</v>
      </c>
      <c s="606">
        <f>1125/(D6-267)</f>
        <v>3.7878787878787881</v>
      </c>
      <c s="605">
        <f>D6-267</f>
        <v>297</v>
      </c>
    </row>
    <row r="7" spans="1:6" ht="57" customHeight="1">
      <c r="A7" s="597">
        <v>4</v>
      </c>
      <c s="596" t="s">
        <v>400</v>
      </c>
      <c s="602">
        <v>600</v>
      </c>
      <c s="594">
        <f t="shared" si="0"/>
        <v>564</v>
      </c>
      <c s="606">
        <f>1125/(D7-267)</f>
        <v>3.7878787878787881</v>
      </c>
      <c s="605">
        <f>D7-267</f>
        <v>297</v>
      </c>
    </row>
    <row r="8" spans="1:6" ht="92.25" customHeight="1">
      <c r="A8" s="597">
        <v>5</v>
      </c>
      <c s="608" t="s">
        <v>412</v>
      </c>
      <c s="602">
        <v>1400</v>
      </c>
      <c s="594">
        <f t="shared" si="0"/>
        <v>1364</v>
      </c>
      <c s="606">
        <f>1089/(D8-284)</f>
        <v>1.0083333333333333</v>
      </c>
      <c s="605">
        <f>D8-284</f>
        <v>1080</v>
      </c>
    </row>
    <row r="9" spans="1:6" ht="96.75" customHeight="1">
      <c r="A9" s="597">
        <v>6</v>
      </c>
      <c s="608" t="s">
        <v>411</v>
      </c>
      <c s="602">
        <v>1200</v>
      </c>
      <c s="594">
        <f t="shared" si="0"/>
        <v>1164</v>
      </c>
      <c s="606">
        <f>889/(D9-284)</f>
        <v>1.0102272727272728</v>
      </c>
      <c s="605">
        <f>D9-284</f>
        <v>880</v>
      </c>
    </row>
    <row r="10" spans="1:6" ht="90.75" thickBot="1">
      <c r="A10" s="597">
        <v>7</v>
      </c>
      <c s="608" t="s">
        <v>413</v>
      </c>
      <c s="602">
        <v>1200</v>
      </c>
      <c s="594">
        <f>C10-36</f>
        <v>1164</v>
      </c>
      <c s="606">
        <f>1140/(D10-39)</f>
        <v>1.0133333333333334</v>
      </c>
      <c s="605">
        <f>D10-39</f>
        <v>1125</v>
      </c>
    </row>
  </sheetData>
  <sheetProtection algorithmName="SHA-512" hashValue="4LRprG1/04oj2Rl4bhHifEon7E+3GWkNzeksrjODaHtvj3w+20xuJGtk2jX0C/1i3KfwHOuv0X56cbQCXBAQFg==" saltValue="06+FGvNa1Ir8rmMCte2aWA==" spinCount="100000" sheet="1" formatCells="0" formatColumns="0" formatRows="0" insertColumns="0" insertRows="0" insertHyperlinks="0" deleteColumns="0" deleteRows="0" sort="0" autoFilter="0" pivotTables="0"/>
  <mergeCells count="3">
    <mergeCell ref="F2:F3"/>
    <mergeCell ref="A3:B3"/>
    <mergeCell ref="A1:F1"/>
  </mergeCells>
  <hyperlinks>
    <hyperlink ref="G1" location="Содержание!G1" display="← СОДЕРЖАНИЕ:"/>
  </hyperlinks>
  <pageMargins left="0.7" right="0.7" top="0.75" bottom="0.75" header="0.3" footer="0.3"/>
  <pageSetup orientation="portrait" paperSize="9" scale="72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S97"/>
  <sheetViews>
    <sheetView showGridLines="0" workbookViewId="0" topLeftCell="A1">
      <selection pane="topLeft" activeCell="L1" sqref="L1"/>
    </sheetView>
  </sheetViews>
  <sheetFormatPr defaultRowHeight="12.75"/>
  <cols>
    <col min="1" max="1" width="32.4285714285714" customWidth="1"/>
    <col min="2" max="2" width="8.57142857142857" customWidth="1"/>
    <col min="3" max="4" width="9.42857142857143" customWidth="1"/>
    <col min="5" max="5" width="10.2857142857143" customWidth="1"/>
    <col min="6" max="6" width="11.7142857142857" style="3" customWidth="1"/>
    <col min="7" max="7" width="10.7142857142857" style="3" customWidth="1"/>
    <col min="8" max="8" width="14.2857142857143" style="4" customWidth="1"/>
    <col min="9" max="9" width="10.2857142857143" style="2" customWidth="1"/>
    <col min="10" max="10" width="41" customWidth="1"/>
    <col min="11" max="11" width="36.7142857142857" customWidth="1"/>
    <col min="12" max="12" width="24.1428571428571" customWidth="1"/>
    <col min="13" max="13" width="4.42857142857143" customWidth="1"/>
    <col min="14" max="14" width="10.7142857142857" customWidth="1"/>
    <col min="17" max="17" width="9.14285714285714" customWidth="1"/>
  </cols>
  <sheetData>
    <row r="1" spans="1:12" ht="47.25" customHeight="1" thickBot="1">
      <c r="A1" s="779"/>
      <c s="780"/>
      <c s="780"/>
      <c s="780"/>
      <c s="780"/>
      <c s="780"/>
      <c s="780"/>
      <c s="780"/>
      <c s="780"/>
      <c s="781"/>
      <c s="782"/>
      <c s="607" t="s">
        <v>295</v>
      </c>
    </row>
    <row r="2" spans="1:11" ht="16.5" customHeight="1" hidden="1" thickBot="1">
      <c r="A2" s="91"/>
      <c s="7"/>
      <c s="7"/>
      <c s="7"/>
      <c s="7"/>
      <c s="8"/>
      <c s="8"/>
      <c s="9"/>
      <c s="10"/>
      <c r="K2" s="90"/>
    </row>
    <row r="3" spans="1:11" ht="13.5" customHeight="1" thickBot="1">
      <c r="A3" s="762" t="s">
        <v>42</v>
      </c>
      <c s="764" t="s">
        <v>13</v>
      </c>
      <c s="783" t="s">
        <v>133</v>
      </c>
      <c s="784"/>
      <c s="766" t="s">
        <v>153</v>
      </c>
      <c s="767"/>
      <c s="768" t="s">
        <v>416</v>
      </c>
      <c s="787"/>
      <c s="787"/>
      <c s="69"/>
      <c s="90"/>
    </row>
    <row r="4" spans="1:13" ht="20.1" customHeight="1" thickBot="1">
      <c r="A4" s="763"/>
      <c s="765"/>
      <c s="785"/>
      <c s="786"/>
      <c s="361" t="s">
        <v>16</v>
      </c>
      <c s="87" t="s">
        <v>17</v>
      </c>
      <c s="788"/>
      <c s="787"/>
      <c s="787"/>
      <c s="69"/>
      <c s="90"/>
      <c r="M4" s="453"/>
    </row>
    <row r="5" spans="1:11" ht="14.1" customHeight="1">
      <c r="A5" s="789" t="s">
        <v>417</v>
      </c>
      <c s="769" t="s">
        <v>415</v>
      </c>
      <c s="775">
        <v>1</v>
      </c>
      <c s="791"/>
      <c s="82">
        <v>1350</v>
      </c>
      <c s="83">
        <v>6750</v>
      </c>
      <c s="788"/>
      <c s="787"/>
      <c s="787"/>
      <c s="69"/>
      <c s="90"/>
    </row>
    <row r="6" spans="1:11" ht="14.1" customHeight="1">
      <c r="A6" s="790"/>
      <c s="770"/>
      <c s="775">
        <v>2</v>
      </c>
      <c s="791"/>
      <c s="82">
        <v>2700</v>
      </c>
      <c s="83">
        <v>13500</v>
      </c>
      <c s="788"/>
      <c s="787"/>
      <c s="787"/>
      <c s="69"/>
      <c s="90"/>
    </row>
    <row r="7" spans="1:12" ht="11.25" customHeight="1">
      <c r="A7" s="771" t="s">
        <v>418</v>
      </c>
      <c s="773" t="s">
        <v>419</v>
      </c>
      <c s="775">
        <v>2</v>
      </c>
      <c s="776"/>
      <c s="82">
        <v>10000</v>
      </c>
      <c s="83">
        <v>19300</v>
      </c>
      <c s="788"/>
      <c s="787"/>
      <c s="787"/>
      <c s="69"/>
      <c s="92"/>
      <c s="72"/>
    </row>
    <row r="8" spans="1:12" ht="14.25" customHeight="1" thickBot="1">
      <c r="A8" s="772"/>
      <c s="774"/>
      <c s="729">
        <v>3</v>
      </c>
      <c s="730"/>
      <c s="85">
        <v>15000</v>
      </c>
      <c s="86">
        <v>28950</v>
      </c>
      <c s="788"/>
      <c s="787"/>
      <c s="787"/>
      <c s="69"/>
      <c s="92"/>
      <c s="72"/>
    </row>
    <row r="9" spans="1:12" ht="63.75" customHeight="1" thickBot="1">
      <c r="A9" s="616" t="s">
        <v>131</v>
      </c>
      <c s="617" t="s">
        <v>13</v>
      </c>
      <c s="783" t="s">
        <v>154</v>
      </c>
      <c s="784"/>
      <c s="792" t="s">
        <v>28</v>
      </c>
      <c s="793"/>
      <c s="788"/>
      <c s="787"/>
      <c s="787"/>
      <c s="69"/>
      <c s="93"/>
      <c s="456"/>
    </row>
    <row r="10" spans="1:12" ht="14.1" customHeight="1">
      <c r="A10" s="622" t="s">
        <v>420</v>
      </c>
      <c s="623" t="s">
        <v>422</v>
      </c>
      <c s="794">
        <v>2</v>
      </c>
      <c s="795"/>
      <c s="621">
        <v>480</v>
      </c>
      <c s="618">
        <v>610</v>
      </c>
      <c s="788"/>
      <c s="787"/>
      <c s="787"/>
      <c s="69"/>
      <c s="90"/>
      <c s="454"/>
    </row>
    <row r="11" spans="1:12" ht="14.1" customHeight="1">
      <c r="A11" s="624" t="s">
        <v>423</v>
      </c>
      <c s="625" t="s">
        <v>421</v>
      </c>
      <c s="796">
        <v>2</v>
      </c>
      <c s="797"/>
      <c s="82">
        <v>600</v>
      </c>
      <c s="619">
        <v>910</v>
      </c>
      <c s="788"/>
      <c s="787"/>
      <c s="787"/>
      <c s="69"/>
      <c s="90"/>
      <c s="455"/>
    </row>
    <row r="12" spans="1:11" ht="14.1" customHeight="1" thickBot="1">
      <c r="A12" s="626" t="s">
        <v>425</v>
      </c>
      <c s="627" t="s">
        <v>424</v>
      </c>
      <c s="798">
        <v>2</v>
      </c>
      <c s="799"/>
      <c s="84">
        <v>840</v>
      </c>
      <c s="620">
        <v>1200</v>
      </c>
      <c s="788"/>
      <c s="787"/>
      <c s="787"/>
      <c s="69"/>
      <c s="90"/>
    </row>
    <row r="13" spans="1:11" ht="14.1" customHeight="1">
      <c r="A13" s="612"/>
      <c s="613"/>
      <c s="800"/>
      <c s="801"/>
      <c s="614"/>
      <c s="615"/>
      <c s="611"/>
      <c s="611"/>
      <c s="611"/>
      <c s="69"/>
      <c s="90"/>
    </row>
    <row r="14" spans="1:11" ht="18" customHeight="1" thickBot="1">
      <c r="A14" s="756" t="s">
        <v>414</v>
      </c>
      <c s="757"/>
      <c s="757"/>
      <c s="757"/>
      <c s="757"/>
      <c s="757"/>
      <c s="757"/>
      <c s="757"/>
      <c s="757"/>
      <c s="757"/>
      <c s="758"/>
    </row>
    <row r="15" spans="1:11" ht="43.5" customHeight="1" thickBot="1">
      <c r="A15" s="802" t="s">
        <v>125</v>
      </c>
      <c s="803"/>
      <c s="804"/>
      <c s="410" t="s">
        <v>334</v>
      </c>
      <c s="419" t="s">
        <v>15</v>
      </c>
      <c s="420" t="s">
        <v>14</v>
      </c>
      <c s="421" t="s">
        <v>182</v>
      </c>
      <c s="422" t="s">
        <v>20</v>
      </c>
      <c s="423" t="s">
        <v>18</v>
      </c>
      <c s="361" t="s">
        <v>134</v>
      </c>
      <c s="424" t="s">
        <v>131</v>
      </c>
    </row>
    <row r="16" spans="1:11" ht="24.95" customHeight="1" thickBot="1">
      <c r="A16" s="750" t="s">
        <v>335</v>
      </c>
      <c s="751"/>
      <c s="752"/>
      <c s="508">
        <v>19</v>
      </c>
      <c s="408">
        <v>714</v>
      </c>
      <c s="320">
        <v>930</v>
      </c>
      <c s="320">
        <v>0</v>
      </c>
      <c s="387">
        <f>(E16-6)/1000*(F16-4)/1000*D16/1000*680+(G16/1000)</f>
        <v>8.470455359999999</v>
      </c>
      <c s="388">
        <f>H16*E16</f>
        <v>6047.9051270399996</v>
      </c>
      <c s="425" t="str">
        <f>IF(I16&lt;2700,"очень лёгкий фасад, 1 силовой механизм AVENTOS HF top 25 (22F2501)",IF(I16&lt;12000,"2 силовых механизма AVENTOS HF top 25 (22F2501)",IF(I16&lt;19300,"2 силовых механизма AVENTOS HF top 28 (22F2801)",IF(I16&lt;28950,"3 силовых механизма AVENTOS HF top 28 (22F2801)",IF(I16&gt;28950,"очень тяжёлый фасад, недопустимая величина",)))))</f>
        <v>2 силовых механизма AVENTOS HF top 25 (22F2501)</v>
      </c>
      <c s="426" t="str">
        <f>IF(E16&lt;480,"Недопустимо, минимальная высота 480 мм",IF(E16&lt;600,"Рычаг 32 (22F3201)",IF(E16&lt;900,"Рычаг 35 (22F3501)",IF(E16&lt;1201,"Рычаг 39 (22F3901)",IF(E16&gt;1200,"Недопустимо, максимальная высота 1200 мм",)))))</f>
        <v>Рычаг 35 (22F3501)</v>
      </c>
    </row>
    <row r="17" spans="1:11" ht="24.95" customHeight="1" thickBot="1">
      <c r="A17" s="753" t="s">
        <v>336</v>
      </c>
      <c s="754"/>
      <c s="755"/>
      <c s="418">
        <v>19</v>
      </c>
      <c s="409">
        <v>900</v>
      </c>
      <c s="321">
        <v>1890</v>
      </c>
      <c s="321">
        <v>0</v>
      </c>
      <c s="387">
        <f>(E17-6)/1000*(F17-4)/1000*D17/1000*760+(G17/1000)</f>
        <v>24.347052960000006</v>
      </c>
      <c s="388">
        <f>H17*E17</f>
        <v>21912.347664000004</v>
      </c>
      <c s="609" t="str">
        <f>IF(I17&lt;2700,"очень лёгкий фасад, 1 силовой механизм AVENTOS HF top 25 (22F2501)",IF(I17&lt;12000,"2 силовых механизма AVENTOS HF top 25 (22F2501)",IF(I17&lt;19300,"2 силовых механизма AVENTOS HF top 28 (22F2801)",IF(I17&lt;28950,"3 силовых механизма AVENTOS HF top 28 (22F2801)",IF(I17&gt;28950,"очень тяжёлый фасад, недопустимая величина",)))))</f>
        <v>3 силовых механизма AVENTOS HF top 28 (22F2801)</v>
      </c>
      <c s="610" t="str">
        <f>IF(E17&lt;480,"Недопустимо, минимальная высота 480 мм",IF(E17&lt;600,"Рычаг 32 (22F3201)",IF(E17&lt;900,"Рычаг 35 (22F3501)",IF(E17&lt;1201,"Рычаг 39 (22F3901)",IF(E17&gt;1200,"Недопустимо, максимальная высота 1200 мм",)))))</f>
        <v>Рычаг 39 (22F3901)</v>
      </c>
    </row>
    <row r="18" spans="1:11" ht="24.95" customHeight="1" thickBot="1">
      <c r="A18" s="734" t="s">
        <v>126</v>
      </c>
      <c s="735"/>
      <c s="735"/>
      <c s="736"/>
      <c s="408">
        <v>720</v>
      </c>
      <c s="320">
        <v>1000</v>
      </c>
      <c s="320">
        <v>0</v>
      </c>
      <c s="80">
        <f>(E18-4)/1000*(F18-4)/1000*11.5+(G18/1000)</f>
        <v>8.2010640000000006</v>
      </c>
      <c s="78">
        <f t="shared" si="0" ref="I18:I23">E18*(H18+0.6)</f>
        <v>6336.7660800000003</v>
      </c>
      <c s="425" t="str">
        <f t="shared" si="1" ref="J18:J24">IF(I18&lt;2700,"очень лёгкий фасад, 1 силовой механизм AVENTOS HF top 25 (22F2501)",IF(I18&lt;12000,"2 силовых механизма AVENTOS HF top 25 (22F2501)",IF(I18&lt;19300,"2 силовых механизма AVENTOS HF top 28 (22F2801)",IF(I18&lt;28950,"3 силовых механизма AVENTOS HF top 28 (22F2801)",IF(I18&gt;28950,"очень тяжёлый фасад, недопустимая величина",)))))</f>
        <v>2 силовых механизма AVENTOS HF top 25 (22F2501)</v>
      </c>
      <c s="426" t="str">
        <f t="shared" si="2" ref="K18:K24">IF(E18&lt;480,"Недопустимо, минимальная высота 480 мм",IF(E18&lt;600,"Рычаг 32 (22F3201)",IF(E18&lt;900,"Рычаг 35 (22F3501)",IF(E18&lt;1201,"Рычаг 39 (22F3901)",IF(E18&gt;1200,"Недопустимо, максимальная высота 1200 мм",)))))</f>
        <v>Рычаг 35 (22F3501)</v>
      </c>
    </row>
    <row r="19" spans="1:19" ht="24.95" customHeight="1" thickBot="1">
      <c r="A19" s="737" t="s">
        <v>127</v>
      </c>
      <c s="735"/>
      <c s="735"/>
      <c s="736"/>
      <c s="409">
        <v>575</v>
      </c>
      <c s="321">
        <v>1350</v>
      </c>
      <c s="321">
        <v>340</v>
      </c>
      <c s="79">
        <f>(E19-4)/1000*(F19-4)/1000*11.5+(G19/1000)</f>
        <v>9.178509</v>
      </c>
      <c s="74">
        <f t="shared" si="0"/>
        <v>5622.6426750000001</v>
      </c>
      <c s="609" t="str">
        <f t="shared" si="1"/>
        <v>2 силовых механизма AVENTOS HF top 25 (22F2501)</v>
      </c>
      <c s="610" t="str">
        <f t="shared" si="2"/>
        <v>Рычаг 32 (22F3201)</v>
      </c>
      <c r="M19" s="457"/>
      <c s="457"/>
      <c s="457"/>
      <c s="457"/>
      <c s="457"/>
      <c s="457"/>
      <c s="457"/>
    </row>
    <row r="20" spans="1:19" ht="24.95" customHeight="1" thickBot="1">
      <c r="A20" s="734" t="s">
        <v>128</v>
      </c>
      <c s="735"/>
      <c s="735"/>
      <c s="736"/>
      <c s="408">
        <v>1200</v>
      </c>
      <c s="320">
        <v>800</v>
      </c>
      <c s="320">
        <v>0</v>
      </c>
      <c s="80">
        <f>(E20-4)/1000*(F20-4)/1000*(11.5+15.5)/2+(G20/1000)</f>
        <v>12.852216</v>
      </c>
      <c s="78">
        <f t="shared" si="0"/>
        <v>16142.6592</v>
      </c>
      <c s="425" t="str">
        <f t="shared" si="1"/>
        <v>2 силовых механизма AVENTOS HF top 28 (22F2801)</v>
      </c>
      <c s="426" t="str">
        <f t="shared" si="2"/>
        <v>Рычаг 39 (22F3901)</v>
      </c>
      <c r="M20" s="457"/>
      <c s="458"/>
      <c s="457"/>
      <c s="457"/>
      <c s="457"/>
      <c s="457"/>
      <c s="457"/>
    </row>
    <row r="21" spans="1:19" ht="24.95" customHeight="1" thickBot="1">
      <c r="A21" s="737" t="s">
        <v>129</v>
      </c>
      <c s="735"/>
      <c s="735"/>
      <c s="736"/>
      <c s="409">
        <v>800</v>
      </c>
      <c s="321">
        <v>800</v>
      </c>
      <c s="321">
        <v>0</v>
      </c>
      <c s="79">
        <f>(E21-4)/1000*(F21-4)/1000*(11.5+12.5)/2+(G21/1000)</f>
        <v>7.6033919999999995</v>
      </c>
      <c s="74">
        <f t="shared" si="0"/>
        <v>6562.7135999999991</v>
      </c>
      <c s="609" t="str">
        <f t="shared" si="1"/>
        <v>2 силовых механизма AVENTOS HF top 25 (22F2501)</v>
      </c>
      <c s="610" t="str">
        <f t="shared" si="2"/>
        <v>Рычаг 35 (22F3501)</v>
      </c>
      <c r="M21" s="457"/>
      <c s="457"/>
      <c s="457"/>
      <c s="457"/>
      <c s="457"/>
      <c s="457"/>
      <c s="457"/>
    </row>
    <row r="22" spans="1:19" ht="24.95" customHeight="1" thickBot="1">
      <c r="A22" s="734" t="s">
        <v>121</v>
      </c>
      <c s="735"/>
      <c s="735"/>
      <c s="736"/>
      <c s="408">
        <v>1200</v>
      </c>
      <c s="320">
        <v>1200</v>
      </c>
      <c s="320">
        <v>0</v>
      </c>
      <c s="80">
        <f>(E22-4)/1000*(F22-4)/1000*8.8+(G22/1000)</f>
        <v>12.5876608</v>
      </c>
      <c s="78">
        <f t="shared" si="0"/>
        <v>15825.19296</v>
      </c>
      <c s="425" t="str">
        <f t="shared" si="1"/>
        <v>2 силовых механизма AVENTOS HF top 28 (22F2801)</v>
      </c>
      <c s="426" t="str">
        <f t="shared" si="2"/>
        <v>Рычаг 39 (22F3901)</v>
      </c>
      <c r="M22" s="457"/>
      <c s="457"/>
      <c s="457"/>
      <c s="457"/>
      <c s="457"/>
      <c s="457"/>
      <c s="457"/>
    </row>
    <row r="23" spans="1:19" ht="24.95" customHeight="1" thickBot="1">
      <c r="A23" s="737" t="s">
        <v>122</v>
      </c>
      <c s="735"/>
      <c s="735"/>
      <c s="736"/>
      <c s="409">
        <v>600</v>
      </c>
      <c s="321">
        <v>800</v>
      </c>
      <c s="321">
        <v>0</v>
      </c>
      <c s="81">
        <f>(E23-4)/1000*(F23-4)/1000*(12+15.5)/2+(G23/1000)</f>
        <v>6.5232200000000002</v>
      </c>
      <c s="74">
        <f t="shared" si="0"/>
        <v>4273.9319999999998</v>
      </c>
      <c s="609" t="str">
        <f t="shared" si="1"/>
        <v>2 силовых механизма AVENTOS HF top 25 (22F2501)</v>
      </c>
      <c s="610" t="str">
        <f t="shared" si="2"/>
        <v>Рычаг 35 (22F3501)</v>
      </c>
      <c r="M23" s="457"/>
      <c s="457"/>
      <c s="457"/>
      <c s="457"/>
      <c s="457"/>
      <c s="457"/>
      <c s="457"/>
    </row>
    <row r="24" spans="1:19" ht="25.5" customHeight="1" thickBot="1">
      <c r="A24" s="738" t="s">
        <v>288</v>
      </c>
      <c s="739"/>
      <c s="739"/>
      <c s="740"/>
      <c s="408">
        <v>750</v>
      </c>
      <c s="320">
        <v>1000</v>
      </c>
      <c s="320">
        <v>0</v>
      </c>
      <c s="301">
        <f>(E24-3)/1000*(F24)/1000*4*(2500/1000)+(E24-3)/1000*(F24)/1000*16*(680/1000)+(G24/1000)</f>
        <v>15.597360000000002</v>
      </c>
      <c s="78">
        <f>E24*(H24+0.6)</f>
        <v>12148.020000000002</v>
      </c>
      <c s="425" t="str">
        <f t="shared" si="1"/>
        <v>2 силовых механизма AVENTOS HF top 28 (22F2801)</v>
      </c>
      <c s="426" t="str">
        <f t="shared" si="2"/>
        <v>Рычаг 35 (22F3501)</v>
      </c>
      <c r="M24" s="457"/>
      <c s="457"/>
      <c s="457"/>
      <c s="457"/>
      <c s="457"/>
      <c s="457"/>
      <c s="457"/>
    </row>
    <row r="25" spans="1:19" ht="18.75" thickBot="1">
      <c r="A25" s="732"/>
      <c s="733"/>
      <c s="733"/>
      <c s="391"/>
      <c s="302"/>
      <c s="302"/>
      <c s="302"/>
      <c s="303"/>
      <c s="304"/>
      <c s="305"/>
      <c s="306"/>
      <c r="M25" s="457"/>
      <c s="457"/>
      <c s="457"/>
      <c s="457"/>
      <c s="457"/>
      <c s="457"/>
      <c s="457"/>
    </row>
    <row r="26" spans="1:19" ht="32.25" customHeight="1" thickBot="1">
      <c r="A26" s="743" t="s">
        <v>427</v>
      </c>
      <c s="744"/>
      <c s="744"/>
      <c s="744"/>
      <c s="650"/>
      <c s="651" t="s">
        <v>347</v>
      </c>
      <c s="652"/>
      <c s="652"/>
      <c s="652"/>
      <c s="652"/>
      <c s="807" t="s">
        <v>392</v>
      </c>
      <c s="808"/>
      <c s="746"/>
      <c s="457"/>
      <c s="457"/>
      <c s="457"/>
      <c s="457"/>
      <c s="457"/>
      <c s="457"/>
    </row>
    <row r="27" spans="1:19" ht="12.75">
      <c r="A27" s="637" t="s">
        <v>417</v>
      </c>
      <c s="27" t="s">
        <v>415</v>
      </c>
      <c s="28">
        <v>2</v>
      </c>
      <c s="488"/>
      <c s="494"/>
      <c s="809" t="s">
        <v>350</v>
      </c>
      <c s="810"/>
      <c s="810"/>
      <c s="810"/>
      <c s="810"/>
      <c s="810"/>
      <c r="M27" s="577"/>
      <c s="457"/>
      <c s="457"/>
      <c s="457"/>
      <c s="457"/>
      <c s="457"/>
      <c s="457"/>
    </row>
    <row r="28" spans="1:19" ht="12.75" customHeight="1" thickBot="1">
      <c r="A28" s="638" t="s">
        <v>426</v>
      </c>
      <c s="1" t="s">
        <v>419</v>
      </c>
      <c s="13">
        <v>2</v>
      </c>
      <c s="488"/>
      <c s="494"/>
      <c s="747"/>
      <c s="748"/>
      <c s="749"/>
      <c r="K28" s="7"/>
      <c r="M28" s="577"/>
      <c s="457"/>
      <c s="457"/>
      <c s="457"/>
      <c s="457"/>
      <c s="457"/>
      <c s="457"/>
    </row>
    <row r="29" spans="1:13" ht="18.75" thickBot="1">
      <c r="A29" s="639" t="s">
        <v>420</v>
      </c>
      <c s="628" t="s">
        <v>422</v>
      </c>
      <c s="13">
        <v>2</v>
      </c>
      <c s="644"/>
      <c s="494"/>
      <c s="760" t="s">
        <v>348</v>
      </c>
      <c s="761"/>
      <c s="761"/>
      <c s="490">
        <v>900</v>
      </c>
      <c r="K29" s="495" t="s">
        <v>349</v>
      </c>
      <c s="507">
        <v>16</v>
      </c>
      <c s="635"/>
    </row>
    <row r="30" spans="1:13" ht="15.75">
      <c r="A30" s="640" t="s">
        <v>423</v>
      </c>
      <c s="628" t="s">
        <v>421</v>
      </c>
      <c s="13">
        <v>2</v>
      </c>
      <c s="645"/>
      <c s="494"/>
      <c r="J30" s="496"/>
      <c s="497"/>
      <c r="M30" s="578"/>
    </row>
    <row r="31" spans="1:13" ht="18">
      <c r="A31" s="641" t="s">
        <v>425</v>
      </c>
      <c s="628" t="s">
        <v>424</v>
      </c>
      <c s="13">
        <v>2</v>
      </c>
      <c s="644"/>
      <c s="494"/>
      <c s="498"/>
      <c s="498"/>
      <c s="498"/>
      <c r="K31" s="495"/>
      <c s="636"/>
      <c s="578"/>
    </row>
    <row r="32" spans="1:13" ht="16.5" customHeight="1">
      <c r="A32" s="631" t="s">
        <v>470</v>
      </c>
      <c s="11" t="s">
        <v>431</v>
      </c>
      <c s="15">
        <v>1</v>
      </c>
      <c s="644"/>
      <c s="759" t="str">
        <f>IF(I29&lt;480,"Мин. высота 480 мм",IF(I29&lt;520,"93 мм",IF(I29&lt;1201,"116 мм",IF(I29&gt;1200,"Макс. высота 1200 мм",))))</f>
        <v>116 мм</v>
      </c>
      <c s="499"/>
      <c s="499"/>
      <c s="499"/>
      <c s="500"/>
      <c s="501"/>
      <c s="501"/>
      <c s="501"/>
      <c s="90"/>
    </row>
    <row r="33" spans="1:13" ht="11.25" customHeight="1">
      <c r="A33" s="631" t="s">
        <v>471</v>
      </c>
      <c s="11" t="s">
        <v>433</v>
      </c>
      <c s="15">
        <v>1</v>
      </c>
      <c s="644"/>
      <c s="759"/>
      <c s="499"/>
      <c s="499"/>
      <c s="499"/>
      <c s="500"/>
      <c s="501"/>
      <c s="501"/>
      <c s="501"/>
      <c s="90"/>
    </row>
    <row r="34" spans="1:13" ht="29.25" customHeight="1" thickBot="1">
      <c r="A34" s="632" t="s">
        <v>472</v>
      </c>
      <c s="12" t="s">
        <v>435</v>
      </c>
      <c s="16">
        <v>2</v>
      </c>
      <c s="644"/>
      <c s="759"/>
      <c s="499"/>
      <c s="499"/>
      <c s="499"/>
      <c s="500"/>
      <c s="501"/>
      <c s="501"/>
      <c s="501"/>
      <c s="90"/>
    </row>
    <row r="35" spans="1:13" ht="43.5" customHeight="1" thickBot="1">
      <c r="A35" s="805" t="s">
        <v>31</v>
      </c>
      <c s="806"/>
      <c s="629"/>
      <c s="489"/>
      <c s="759"/>
      <c s="492"/>
      <c s="492"/>
      <c s="492"/>
      <c s="500"/>
      <c s="501"/>
      <c s="501"/>
      <c s="501"/>
      <c s="90"/>
    </row>
    <row r="36" spans="1:13" ht="20.25">
      <c r="A36" s="630" t="s">
        <v>0</v>
      </c>
      <c s="5" t="s">
        <v>77</v>
      </c>
      <c s="14">
        <v>6</v>
      </c>
      <c s="493"/>
      <c s="502" t="s">
        <v>346</v>
      </c>
      <c s="491"/>
      <c s="491"/>
      <c s="492"/>
      <c s="500"/>
      <c s="501"/>
      <c s="501"/>
      <c s="501"/>
      <c s="90"/>
    </row>
    <row r="37" spans="1:13" ht="15.75" customHeight="1">
      <c r="A37" s="631" t="s">
        <v>1</v>
      </c>
      <c s="6" t="s">
        <v>2</v>
      </c>
      <c s="15">
        <v>2</v>
      </c>
      <c s="493"/>
      <c s="503" t="s">
        <v>345</v>
      </c>
      <c s="492"/>
      <c s="492"/>
      <c s="492"/>
      <c s="500"/>
      <c s="501"/>
      <c s="501"/>
      <c s="501"/>
      <c s="90"/>
    </row>
    <row r="38" spans="1:13" ht="13.5" thickBot="1">
      <c r="A38" s="632" t="s">
        <v>3</v>
      </c>
      <c s="633" t="s">
        <v>4</v>
      </c>
      <c s="16">
        <v>2</v>
      </c>
      <c s="493"/>
      <c s="504"/>
      <c s="492"/>
      <c s="492"/>
      <c s="492"/>
      <c s="500"/>
      <c s="501"/>
      <c s="501"/>
      <c s="501"/>
      <c s="90"/>
    </row>
    <row r="39" spans="1:13" ht="12.75">
      <c r="A39" s="642"/>
      <c s="407"/>
      <c s="634"/>
      <c s="634"/>
      <c s="504"/>
      <c s="492"/>
      <c s="492"/>
      <c s="492"/>
      <c s="500"/>
      <c s="501"/>
      <c s="501"/>
      <c s="501"/>
      <c s="90"/>
    </row>
    <row r="40" spans="1:13" ht="9" customHeight="1">
      <c r="A40" s="642"/>
      <c s="407"/>
      <c s="634"/>
      <c s="634"/>
      <c s="504"/>
      <c s="492"/>
      <c s="492"/>
      <c s="492"/>
      <c s="500"/>
      <c s="501"/>
      <c s="501"/>
      <c s="501"/>
      <c s="90"/>
    </row>
    <row r="41" spans="1:13" ht="18.75" customHeight="1">
      <c r="A41" s="642"/>
      <c s="407"/>
      <c s="634"/>
      <c s="634"/>
      <c s="504"/>
      <c s="492"/>
      <c s="492"/>
      <c s="492"/>
      <c s="500"/>
      <c s="501"/>
      <c s="501"/>
      <c s="811" t="str">
        <f>IF(I29&lt;480,"Увеличте высоту корпуса",IF(I29&lt;520,"202",IF(I29&lt;1201,"221",)))</f>
        <v>221</v>
      </c>
      <c s="90"/>
    </row>
    <row r="42" spans="1:13" ht="18.75" customHeight="1" thickBot="1">
      <c r="A42" s="813" t="s">
        <v>32</v>
      </c>
      <c s="814"/>
      <c s="629"/>
      <c s="489"/>
      <c s="504"/>
      <c s="492"/>
      <c s="492"/>
      <c s="492"/>
      <c s="500"/>
      <c s="501"/>
      <c s="501"/>
      <c s="811"/>
      <c s="818"/>
    </row>
    <row r="43" spans="1:13" ht="15.75" customHeight="1">
      <c r="A43" s="630" t="s">
        <v>0</v>
      </c>
      <c s="5" t="s">
        <v>77</v>
      </c>
      <c s="14">
        <v>2</v>
      </c>
      <c s="493"/>
      <c s="505"/>
      <c s="491"/>
      <c s="491"/>
      <c s="506"/>
      <c s="500"/>
      <c s="501"/>
      <c s="501"/>
      <c s="812"/>
      <c s="818"/>
    </row>
    <row r="44" spans="1:13" ht="22.5">
      <c r="A44" s="643" t="s">
        <v>5</v>
      </c>
      <c s="18" t="s">
        <v>6</v>
      </c>
      <c s="19">
        <v>2</v>
      </c>
      <c s="493"/>
      <c s="505"/>
      <c s="506"/>
      <c s="506"/>
      <c s="506"/>
      <c s="500"/>
      <c s="501"/>
      <c s="501"/>
      <c s="501"/>
      <c s="818"/>
    </row>
    <row r="45" spans="1:13" ht="22.5">
      <c r="A45" s="631" t="s">
        <v>33</v>
      </c>
      <c s="11" t="s">
        <v>7</v>
      </c>
      <c s="15">
        <v>2</v>
      </c>
      <c s="493"/>
      <c s="505"/>
      <c s="506"/>
      <c s="506"/>
      <c s="506"/>
      <c s="500"/>
      <c s="501"/>
      <c s="501"/>
      <c s="501"/>
      <c s="90"/>
    </row>
    <row r="46" spans="1:13" ht="12.75">
      <c r="A46" s="631" t="s">
        <v>11</v>
      </c>
      <c s="11" t="s">
        <v>12</v>
      </c>
      <c s="15">
        <v>2</v>
      </c>
      <c s="493"/>
      <c s="505"/>
      <c s="506"/>
      <c s="506"/>
      <c s="506"/>
      <c s="500"/>
      <c s="501"/>
      <c s="501"/>
      <c s="501"/>
      <c s="90"/>
    </row>
    <row r="47" spans="1:13" ht="12.75">
      <c r="A47" s="643" t="s">
        <v>8</v>
      </c>
      <c s="18" t="s">
        <v>9</v>
      </c>
      <c s="19">
        <v>1</v>
      </c>
      <c s="493"/>
      <c s="505"/>
      <c s="506"/>
      <c s="506"/>
      <c s="506"/>
      <c s="500"/>
      <c s="501"/>
      <c s="501"/>
      <c s="501"/>
      <c s="90"/>
    </row>
    <row r="48" spans="1:13" ht="11.25" customHeight="1">
      <c r="A48" s="631" t="s">
        <v>10</v>
      </c>
      <c s="11" t="s">
        <v>9</v>
      </c>
      <c s="15">
        <v>1</v>
      </c>
      <c s="493"/>
      <c s="505"/>
      <c s="506"/>
      <c s="506"/>
      <c s="506"/>
      <c s="500"/>
      <c s="501"/>
      <c s="501"/>
      <c s="576">
        <f>L29+12.5</f>
        <v>28.5</v>
      </c>
      <c s="90"/>
    </row>
    <row r="49" spans="1:13" ht="12.75">
      <c r="A49" s="631" t="s">
        <v>470</v>
      </c>
      <c s="11" t="s">
        <v>431</v>
      </c>
      <c s="15">
        <v>1</v>
      </c>
      <c s="493"/>
      <c s="505"/>
      <c s="506"/>
      <c s="506"/>
      <c s="506"/>
      <c s="500"/>
      <c s="501"/>
      <c s="501"/>
      <c s="501"/>
      <c s="90"/>
    </row>
    <row r="50" spans="1:13" ht="12.75">
      <c r="A50" s="631" t="s">
        <v>471</v>
      </c>
      <c s="11" t="s">
        <v>433</v>
      </c>
      <c s="15">
        <v>1</v>
      </c>
      <c s="493"/>
      <c s="647"/>
      <c s="17"/>
      <c s="17"/>
      <c s="17"/>
      <c r="M50" s="90"/>
    </row>
    <row r="51" spans="1:13" ht="13.5" thickBot="1">
      <c r="A51" s="632" t="s">
        <v>472</v>
      </c>
      <c s="12" t="s">
        <v>435</v>
      </c>
      <c s="16">
        <v>2</v>
      </c>
      <c s="646"/>
      <c s="648"/>
      <c s="649"/>
      <c s="649"/>
      <c s="649"/>
      <c s="582"/>
      <c s="55"/>
      <c s="55"/>
      <c s="55"/>
      <c s="579"/>
    </row>
    <row r="52" spans="1:13" ht="20.25" customHeight="1" thickBot="1">
      <c r="A52" s="815" t="s">
        <v>30</v>
      </c>
      <c s="815"/>
      <c s="815"/>
      <c s="389"/>
      <c s="816" t="s">
        <v>441</v>
      </c>
      <c s="817"/>
      <c s="817"/>
      <c s="817"/>
      <c s="817"/>
      <c s="817"/>
      <c s="817"/>
      <c s="817"/>
      <c s="746"/>
    </row>
    <row r="53" spans="1:13" ht="26.25" customHeight="1" thickBot="1">
      <c r="A53" s="815"/>
      <c s="815"/>
      <c s="815"/>
      <c s="389"/>
      <c s="91"/>
      <c s="7"/>
      <c s="7"/>
      <c s="7"/>
      <c r="K53" s="657" t="s">
        <v>391</v>
      </c>
      <c s="658">
        <v>600</v>
      </c>
      <c s="586" t="s">
        <v>29</v>
      </c>
    </row>
    <row r="54" spans="1:13" ht="27" customHeight="1" thickBot="1">
      <c r="A54" s="815"/>
      <c s="815"/>
      <c s="815"/>
      <c s="389"/>
      <c s="583"/>
      <c s="7"/>
      <c s="7"/>
      <c s="7"/>
      <c r="K54" s="654" t="s">
        <v>440</v>
      </c>
      <c s="588">
        <v>18</v>
      </c>
      <c s="585" t="s">
        <v>29</v>
      </c>
    </row>
    <row r="55" spans="1:13" ht="27" customHeight="1" thickBot="1">
      <c r="A55" s="741" t="s">
        <v>21</v>
      </c>
      <c s="742"/>
      <c s="742"/>
      <c s="390"/>
      <c s="584" t="s">
        <v>29</v>
      </c>
      <c s="580"/>
      <c s="580"/>
      <c s="580"/>
      <c r="K55" s="655" t="s">
        <v>439</v>
      </c>
      <c s="589">
        <f>L53*0.44+38</f>
        <v>302</v>
      </c>
      <c s="587" t="s">
        <v>29</v>
      </c>
    </row>
    <row r="56" spans="1:13" ht="30" customHeight="1" thickBot="1">
      <c r="A56" s="731" t="s">
        <v>34</v>
      </c>
      <c s="731"/>
      <c s="731"/>
      <c s="459"/>
      <c s="684">
        <f>L55</f>
        <v>302</v>
      </c>
      <c s="7"/>
      <c s="7"/>
      <c s="7"/>
      <c r="K56" s="654" t="s">
        <v>443</v>
      </c>
      <c s="591">
        <f>L53*0.29+35</f>
        <v>209</v>
      </c>
      <c s="586" t="s">
        <v>29</v>
      </c>
    </row>
    <row r="57" spans="1:13" ht="24.75" customHeight="1" thickBot="1">
      <c r="A57" s="20" t="s">
        <v>123</v>
      </c>
      <c s="21" t="s">
        <v>428</v>
      </c>
      <c s="22">
        <v>2</v>
      </c>
      <c s="407"/>
      <c s="91"/>
      <c s="7"/>
      <c s="7"/>
      <c s="7"/>
      <c r="K57" s="656" t="s">
        <v>436</v>
      </c>
      <c s="591">
        <f>L53*0.12+31</f>
        <v>103</v>
      </c>
      <c s="586" t="s">
        <v>29</v>
      </c>
    </row>
    <row r="58" spans="1:13" ht="25.5" customHeight="1" thickBot="1">
      <c r="A58" s="20" t="s">
        <v>19</v>
      </c>
      <c s="23" t="s">
        <v>429</v>
      </c>
      <c s="22">
        <v>2</v>
      </c>
      <c s="407"/>
      <c s="91"/>
      <c s="7"/>
      <c s="7"/>
      <c s="7"/>
      <c r="K58" s="656" t="s">
        <v>437</v>
      </c>
      <c s="590">
        <v>28</v>
      </c>
      <c s="586" t="s">
        <v>29</v>
      </c>
    </row>
    <row r="59" spans="1:13" ht="27.75" customHeight="1" thickBot="1">
      <c r="A59" s="20" t="s">
        <v>0</v>
      </c>
      <c s="23" t="s">
        <v>77</v>
      </c>
      <c s="22">
        <v>4</v>
      </c>
      <c s="407"/>
      <c s="91"/>
      <c s="491"/>
      <c s="491"/>
      <c s="7"/>
      <c r="K59" s="656" t="s">
        <v>438</v>
      </c>
      <c s="590">
        <v>0</v>
      </c>
      <c s="587" t="s">
        <v>29</v>
      </c>
    </row>
    <row r="60" spans="1:13" ht="27.75" customHeight="1" thickBot="1">
      <c r="A60" s="20" t="s">
        <v>1</v>
      </c>
      <c s="23" t="s">
        <v>2</v>
      </c>
      <c s="22">
        <v>2</v>
      </c>
      <c s="407"/>
      <c s="91"/>
      <c s="7"/>
      <c s="7"/>
      <c s="7"/>
      <c r="K60" s="656" t="s">
        <v>442</v>
      </c>
      <c s="591">
        <f>L53*0.9+1.5*L54+35</f>
        <v>602</v>
      </c>
      <c s="587" t="s">
        <v>29</v>
      </c>
    </row>
    <row r="61" spans="1:13" ht="22.5">
      <c r="A61" s="20" t="s">
        <v>33</v>
      </c>
      <c s="22" t="s">
        <v>7</v>
      </c>
      <c s="22">
        <v>2</v>
      </c>
      <c s="407"/>
      <c s="91"/>
      <c s="7"/>
      <c s="7"/>
      <c s="7"/>
      <c r="J61" s="777"/>
      <c s="778"/>
      <c s="653"/>
      <c s="90"/>
    </row>
    <row r="62" spans="1:13" ht="12.75">
      <c r="A62" s="20" t="s">
        <v>8</v>
      </c>
      <c s="22" t="s">
        <v>9</v>
      </c>
      <c s="22">
        <v>1</v>
      </c>
      <c s="407"/>
      <c s="91"/>
      <c s="7"/>
      <c s="7"/>
      <c s="7"/>
      <c r="M62" s="90"/>
    </row>
    <row r="63" spans="1:13" ht="12.75">
      <c r="A63" s="20" t="s">
        <v>10</v>
      </c>
      <c s="22" t="s">
        <v>9</v>
      </c>
      <c s="22">
        <v>1</v>
      </c>
      <c s="407"/>
      <c s="91"/>
      <c s="7"/>
      <c s="7"/>
      <c s="7"/>
      <c r="M63" s="90"/>
    </row>
    <row r="64" spans="1:13" ht="12.75">
      <c r="A64" s="460" t="s">
        <v>470</v>
      </c>
      <c s="11" t="s">
        <v>431</v>
      </c>
      <c s="22">
        <v>1</v>
      </c>
      <c s="407"/>
      <c s="91"/>
      <c s="7"/>
      <c s="7"/>
      <c s="7"/>
      <c r="M64" s="90"/>
    </row>
    <row r="65" spans="1:13" ht="12.75">
      <c r="A65" s="460" t="s">
        <v>471</v>
      </c>
      <c s="11" t="s">
        <v>433</v>
      </c>
      <c s="22">
        <v>1</v>
      </c>
      <c s="407"/>
      <c s="91"/>
      <c s="7"/>
      <c s="7"/>
      <c s="7"/>
      <c r="M65" s="90"/>
    </row>
    <row r="66" spans="1:13" ht="13.5" thickBot="1">
      <c r="A66" s="461" t="s">
        <v>472</v>
      </c>
      <c s="12" t="s">
        <v>435</v>
      </c>
      <c s="22">
        <v>2</v>
      </c>
      <c s="407"/>
      <c s="91"/>
      <c s="7"/>
      <c s="7"/>
      <c s="7"/>
      <c r="M66" s="90"/>
    </row>
    <row r="67" spans="1:13" ht="20.25">
      <c r="A67" s="731" t="s">
        <v>35</v>
      </c>
      <c s="731"/>
      <c s="731"/>
      <c s="459"/>
      <c s="91"/>
      <c s="7"/>
      <c s="7"/>
      <c s="7"/>
      <c r="M67" s="90"/>
    </row>
    <row r="68" spans="1:13" ht="13.5" thickBot="1">
      <c r="A68" s="20" t="s">
        <v>124</v>
      </c>
      <c s="21" t="s">
        <v>428</v>
      </c>
      <c s="22">
        <v>2</v>
      </c>
      <c s="407"/>
      <c s="44"/>
      <c s="581"/>
      <c s="581"/>
      <c s="581"/>
      <c s="582"/>
      <c s="55"/>
      <c s="55"/>
      <c s="55"/>
      <c s="579"/>
    </row>
    <row r="69" spans="1:8" ht="12.75">
      <c r="A69" s="20" t="s">
        <v>19</v>
      </c>
      <c s="23" t="s">
        <v>429</v>
      </c>
      <c s="22">
        <v>2</v>
      </c>
      <c s="407"/>
      <c s="7"/>
      <c s="7"/>
      <c s="7"/>
      <c s="7"/>
    </row>
    <row r="70" spans="1:8" ht="12.75">
      <c r="A70" s="20" t="s">
        <v>0</v>
      </c>
      <c s="23" t="s">
        <v>77</v>
      </c>
      <c s="22">
        <v>4</v>
      </c>
      <c s="407"/>
      <c s="7"/>
      <c s="491"/>
      <c s="491"/>
      <c s="7"/>
    </row>
    <row r="71" spans="1:8" ht="12.75">
      <c r="A71" s="20" t="s">
        <v>3</v>
      </c>
      <c s="23" t="s">
        <v>4</v>
      </c>
      <c s="22">
        <v>2</v>
      </c>
      <c s="407"/>
      <c s="7"/>
      <c s="7"/>
      <c s="7"/>
      <c s="7"/>
    </row>
    <row r="72" spans="1:8" ht="22.5">
      <c r="A72" s="20" t="s">
        <v>5</v>
      </c>
      <c s="22" t="s">
        <v>6</v>
      </c>
      <c s="22">
        <v>2</v>
      </c>
      <c s="407"/>
      <c s="7"/>
      <c s="7"/>
      <c s="7"/>
      <c s="7"/>
    </row>
    <row r="73" spans="1:8" ht="12.75">
      <c r="A73" s="20" t="s">
        <v>11</v>
      </c>
      <c s="22" t="s">
        <v>12</v>
      </c>
      <c s="22">
        <v>2</v>
      </c>
      <c s="407"/>
      <c s="7"/>
      <c s="7"/>
      <c s="7"/>
      <c s="7"/>
    </row>
    <row r="74" spans="1:8" ht="12.75">
      <c r="A74" s="460" t="s">
        <v>470</v>
      </c>
      <c s="11" t="s">
        <v>431</v>
      </c>
      <c s="22">
        <v>1</v>
      </c>
      <c s="407"/>
      <c s="7"/>
      <c s="7"/>
      <c s="7"/>
      <c s="7"/>
    </row>
    <row r="75" spans="1:8" ht="12.75">
      <c r="A75" s="460" t="s">
        <v>471</v>
      </c>
      <c s="11" t="s">
        <v>433</v>
      </c>
      <c s="22">
        <v>1</v>
      </c>
      <c s="407"/>
      <c s="7"/>
      <c s="7"/>
      <c s="7"/>
      <c s="7"/>
    </row>
    <row r="76" spans="1:8" ht="13.5" thickBot="1">
      <c r="A76" s="461" t="s">
        <v>472</v>
      </c>
      <c s="12" t="s">
        <v>435</v>
      </c>
      <c s="22">
        <v>2</v>
      </c>
      <c s="407"/>
      <c s="7"/>
      <c s="7"/>
      <c s="7"/>
      <c s="7"/>
    </row>
    <row r="77" spans="1:15" ht="32.25" customHeight="1" thickBot="1">
      <c r="A77" s="743" t="s">
        <v>509</v>
      </c>
      <c s="745"/>
      <c s="745"/>
      <c s="745"/>
      <c s="745"/>
      <c s="745"/>
      <c s="745"/>
      <c s="745"/>
      <c s="745"/>
      <c s="745"/>
      <c s="745"/>
      <c s="746"/>
      <c s="88"/>
      <c s="88"/>
      <c s="88"/>
    </row>
    <row r="93" spans="5:7" ht="18">
      <c r="E93" s="777"/>
      <c s="777"/>
      <c s="653"/>
    </row>
    <row r="94" spans="5:7" ht="18">
      <c r="E94" s="777"/>
      <c s="777"/>
      <c s="653"/>
    </row>
    <row r="95" spans="5:7" ht="18">
      <c r="E95" s="777"/>
      <c s="778"/>
      <c s="653"/>
    </row>
    <row r="96" spans="5:7" ht="18">
      <c r="E96" s="777"/>
      <c s="778"/>
      <c s="653"/>
    </row>
    <row r="97" spans="5:7" ht="18" thickBot="1">
      <c r="E97" s="777"/>
      <c s="778"/>
      <c s="653"/>
    </row>
  </sheetData>
  <sheetProtection algorithmName="SHA-512" hashValue="qc93SClclaml8wdvmxhGBN38YBbq5IZpGX7QkCjK23sn948RghSyU8zUbN+c8VlV7eis/q5nip+aOBYPerUZ0w==" saltValue="pX9RfSh83wsd7hSxOMxLsA==" spinCount="100000" sheet="1" objects="1" scenarios="1" formatCells="0" formatColumns="0" formatRows="0" insertColumns="0" insertRows="0" insertHyperlinks="0" deleteColumns="0" deleteRows="0" sort="0" autoFilter="0" pivotTables="0"/>
  <protectedRanges>
    <protectedRange sqref="E16:G25" name="Диапазон1"/>
  </protectedRanges>
  <mergeCells count="54">
    <mergeCell ref="A55:C55"/>
    <mergeCell ref="A56:C56"/>
    <mergeCell ref="A67:C67"/>
    <mergeCell ref="J61:K61"/>
    <mergeCell ref="L41:L43"/>
    <mergeCell ref="A42:B42"/>
    <mergeCell ref="A52:C54"/>
    <mergeCell ref="E52:M52"/>
    <mergeCell ref="M42:M44"/>
    <mergeCell ref="K26:M26"/>
    <mergeCell ref="F27:K27"/>
    <mergeCell ref="F28:H28"/>
    <mergeCell ref="F29:H29"/>
    <mergeCell ref="E32:E35"/>
    <mergeCell ref="A18:D18"/>
    <mergeCell ref="A19:D19"/>
    <mergeCell ref="A35:B35"/>
    <mergeCell ref="A21:D21"/>
    <mergeCell ref="A22:D22"/>
    <mergeCell ref="A23:D23"/>
    <mergeCell ref="A24:D24"/>
    <mergeCell ref="A25:C25"/>
    <mergeCell ref="A26:D26"/>
    <mergeCell ref="A14:K14"/>
    <mergeCell ref="C9:D9"/>
    <mergeCell ref="A15:C15"/>
    <mergeCell ref="A16:C16"/>
    <mergeCell ref="A17:C17"/>
    <mergeCell ref="E9:F9"/>
    <mergeCell ref="C10:D10"/>
    <mergeCell ref="C11:D11"/>
    <mergeCell ref="C12:D12"/>
    <mergeCell ref="C13:D13"/>
    <mergeCell ref="E97:F97"/>
    <mergeCell ref="A1:K1"/>
    <mergeCell ref="A3:A4"/>
    <mergeCell ref="B3:B4"/>
    <mergeCell ref="C3:D4"/>
    <mergeCell ref="E3:F3"/>
    <mergeCell ref="G3:I12"/>
    <mergeCell ref="A5:A6"/>
    <mergeCell ref="B5:B6"/>
    <mergeCell ref="C5:D5"/>
    <mergeCell ref="C6:D6"/>
    <mergeCell ref="A7:A8"/>
    <mergeCell ref="B7:B8"/>
    <mergeCell ref="C7:D7"/>
    <mergeCell ref="C8:D8"/>
    <mergeCell ref="A20:D20"/>
    <mergeCell ref="A77:L77"/>
    <mergeCell ref="E93:F93"/>
    <mergeCell ref="E94:F94"/>
    <mergeCell ref="E95:F95"/>
    <mergeCell ref="E96:F96"/>
  </mergeCells>
  <conditionalFormatting sqref="J16:J25">
    <cfRule type="containsText" priority="2" dxfId="85" operator="containsText" stopIfTrue="1" text="очень">
      <formula>NOT(ISERROR(SEARCH("очень",J16)))</formula>
    </cfRule>
  </conditionalFormatting>
  <conditionalFormatting sqref="K16:K25">
    <cfRule type="containsText" priority="1" dxfId="85" operator="containsText" stopIfTrue="1" text="Недопустимо">
      <formula>NOT(ISERROR(SEARCH("Недопустимо",K16)))</formula>
    </cfRule>
  </conditionalFormatting>
  <hyperlinks>
    <hyperlink ref="L1" location="Содержание!R1C1" display="← СОДЕРЖАНИЕ:"/>
  </hyperlinks>
  <pageMargins left="0.75" right="0.75" top="1" bottom="1" header="0.5" footer="0.5"/>
  <pageSetup orientation="portrait" paperSize="9" r:id="rId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3"/>
  </sheetPr>
  <dimension ref="A1:P29"/>
  <sheetViews>
    <sheetView showGridLines="0" workbookViewId="0" topLeftCell="A1">
      <selection pane="topLeft" activeCell="M1" sqref="M1"/>
    </sheetView>
  </sheetViews>
  <sheetFormatPr defaultColWidth="9.14428571428571" defaultRowHeight="12.75"/>
  <cols>
    <col min="1" max="1" width="36.5714285714286" style="462" customWidth="1"/>
    <col min="2" max="2" width="13.7142857142857" style="462" customWidth="1"/>
    <col min="3" max="3" width="21.2857142857143" style="462" customWidth="1"/>
    <col min="4" max="4" width="17.2857142857143" style="462" customWidth="1"/>
    <col min="5" max="5" width="16.7142857142857" style="462" customWidth="1"/>
    <col min="6" max="6" width="23.4285714285714" style="484" customWidth="1"/>
    <col min="7" max="7" width="14.4285714285714" style="462" customWidth="1"/>
    <col min="8" max="8" width="14.2857142857143" style="462" customWidth="1"/>
    <col min="9" max="9" width="15.8571428571429" style="462" customWidth="1"/>
    <col min="10" max="10" width="17.8571428571429" style="462" customWidth="1"/>
    <col min="11" max="11" width="27.8571428571429" style="462" customWidth="1"/>
    <col min="12" max="12" width="24.1428571428571" style="462" customWidth="1"/>
    <col min="13" max="13" width="21.4285714285714" style="462" customWidth="1"/>
    <col min="14" max="14" width="10.7142857142857" style="462" customWidth="1"/>
    <col min="15" max="15" width="14.7142857142857" style="462" customWidth="1"/>
    <col min="16" max="16384" width="9.14285714285714" style="462"/>
  </cols>
  <sheetData>
    <row r="1" spans="1:13" ht="48" customHeight="1" thickBot="1">
      <c r="A1" s="853"/>
      <c s="854"/>
      <c s="854"/>
      <c s="854"/>
      <c s="854"/>
      <c s="854"/>
      <c s="855"/>
      <c s="855"/>
      <c s="855"/>
      <c s="855"/>
      <c s="855"/>
      <c s="856"/>
      <c s="704" t="s">
        <v>295</v>
      </c>
    </row>
    <row r="2" spans="1:13" ht="18.75" customHeight="1" thickBot="1">
      <c r="A2" s="828" t="s">
        <v>156</v>
      </c>
      <c s="829"/>
      <c s="829"/>
      <c s="829"/>
      <c s="829"/>
      <c s="829"/>
      <c s="829"/>
      <c s="829"/>
      <c s="829"/>
      <c s="829"/>
      <c s="829"/>
      <c s="463"/>
      <c s="464"/>
    </row>
    <row r="3" spans="1:13" ht="50.25" customHeight="1" thickBot="1">
      <c r="A3" s="678" t="s">
        <v>125</v>
      </c>
      <c s="465" t="s">
        <v>334</v>
      </c>
      <c s="466" t="s">
        <v>15</v>
      </c>
      <c s="466" t="s">
        <v>14</v>
      </c>
      <c s="677" t="s">
        <v>182</v>
      </c>
      <c s="679" t="s">
        <v>20</v>
      </c>
      <c s="857" t="s">
        <v>463</v>
      </c>
      <c s="858"/>
      <c s="858"/>
      <c s="859"/>
      <c s="467"/>
      <c s="468"/>
      <c s="464"/>
    </row>
    <row r="4" spans="1:14" ht="33.75" customHeight="1" thickBot="1">
      <c r="A4" s="469" t="s">
        <v>337</v>
      </c>
      <c s="470">
        <v>18</v>
      </c>
      <c s="680">
        <v>800</v>
      </c>
      <c s="471">
        <v>1800</v>
      </c>
      <c s="472">
        <v>0</v>
      </c>
      <c s="672">
        <f>(C4/1000)*(D4/1000)*B4*(680/1000)+(E4/1000)</f>
        <v>17.625600000000002</v>
      </c>
      <c s="823" t="str">
        <f>IF(C4&lt;350,"Увеличьте высоту фасада (мин.350 мм)",IF(D4&gt;1800,ё,IF(AND(C4&lt;501,F4&lt;12.51),"АVENTOS HS top 22 (22S2200)",IF(AND(C4&lt;651,F4&lt;15.26),"АVENTOS HS top 25 (22S2500)",IF(AND(C4&lt;801,F4&lt;18.51)," АVENTOS HS top 28 (22S2800)",IF(C4&gt;800,"Уменьшите высоту фасада (макс. 800 мм)",IF(F4&gt;18.5,"Очень тяжёлый фасад",)))))))</f>
        <v xml:space="preserve"> АVENTOS HS top 28 (22S2800)</v>
      </c>
      <c s="824"/>
      <c s="824"/>
      <c s="825"/>
      <c s="473"/>
      <c s="474"/>
      <c s="464"/>
      <c/>
    </row>
    <row r="5" spans="1:13" ht="34.5" customHeight="1" thickBot="1">
      <c r="A5" s="675" t="s">
        <v>338</v>
      </c>
      <c s="670">
        <v>19</v>
      </c>
      <c s="681">
        <v>420</v>
      </c>
      <c s="671">
        <v>1200</v>
      </c>
      <c s="671">
        <v>0</v>
      </c>
      <c s="674">
        <f>(C5/1000)*(D5/1000)*B5*(760/1000)+(E5/1000)</f>
        <v>7.2777600000000007</v>
      </c>
      <c s="860" t="str">
        <f t="shared" si="0" ref="G5:G9">IF(C5&lt;350,"Увеличьте высоту фасада (мин.350 мм)",IF(D5&gt;1800,"Уменьшите ширину фасада (макс. 1800 мм)",IF(AND(C5&lt;501,F5&lt;12.51),"АVENTOS HS top 22 (22S2200)",IF(AND(C5&lt;651,F5&lt;15.26),"АVENTOS HS top 25 (22S2500)",IF(AND(C5&lt;801,F5&lt;18.51)," АVENTOS HS top 28 (22S2800)",IF(C5&gt;800,"Уменьшите высоту фасада (макс. 800 мм)",IF(F5&gt;18.5,"Очень тяжёлый фасад",)))))))</f>
        <v>АVENTOS HS top 22 (22S2200)</v>
      </c>
      <c s="861"/>
      <c s="861"/>
      <c s="862"/>
      <c s="477"/>
      <c s="478"/>
      <c s="464"/>
    </row>
    <row r="6" spans="1:13" ht="27" customHeight="1" thickBot="1">
      <c r="A6" s="827" t="s">
        <v>36</v>
      </c>
      <c s="822"/>
      <c s="682">
        <v>600</v>
      </c>
      <c s="471">
        <v>650</v>
      </c>
      <c s="472">
        <v>0</v>
      </c>
      <c s="672">
        <f>(C6-4)/1000*(D6-4)/1000*(11.5+0.6)+(E6/1000)</f>
        <v>4.6586935999999994</v>
      </c>
      <c s="823" t="str">
        <f t="shared" si="0"/>
        <v>АVENTOS HS top 25 (22S2500)</v>
      </c>
      <c s="824"/>
      <c s="824"/>
      <c s="825"/>
      <c s="477"/>
      <c s="478"/>
      <c s="464"/>
    </row>
    <row r="7" spans="1:13" ht="27" customHeight="1" thickBot="1">
      <c r="A7" s="867" t="s">
        <v>37</v>
      </c>
      <c s="868"/>
      <c s="683">
        <v>600</v>
      </c>
      <c s="476">
        <v>0</v>
      </c>
      <c s="476">
        <v>0</v>
      </c>
      <c s="674">
        <f>(C7-4)/1000*(D7-4)/1000*(11.5+0.6)+(E7/1000)</f>
        <v>-0.028846399999999998</v>
      </c>
      <c s="860" t="str">
        <f t="shared" si="0"/>
        <v>АVENTOS HS top 25 (22S2500)</v>
      </c>
      <c s="861"/>
      <c s="861"/>
      <c s="862"/>
      <c s="477"/>
      <c s="478"/>
      <c s="464"/>
    </row>
    <row r="8" spans="1:13" ht="27" customHeight="1" thickBot="1">
      <c r="A8" s="826" t="s">
        <v>172</v>
      </c>
      <c s="822"/>
      <c s="682">
        <v>600</v>
      </c>
      <c s="471">
        <v>0</v>
      </c>
      <c s="472">
        <v>0</v>
      </c>
      <c s="672">
        <f>(C8-4)/1000*(D8-4)/1000*(8.8+0.4)+(E8/1000)</f>
        <v>-0.021932800000000002</v>
      </c>
      <c s="823" t="str">
        <f t="shared" si="0"/>
        <v>АVENTOS HS top 25 (22S2500)</v>
      </c>
      <c s="824"/>
      <c s="824"/>
      <c s="825"/>
      <c s="477"/>
      <c s="478"/>
      <c s="464"/>
    </row>
    <row r="9" spans="1:13" ht="31.5" customHeight="1" thickBot="1">
      <c r="A9" s="869" t="s">
        <v>289</v>
      </c>
      <c s="870"/>
      <c s="683">
        <v>600</v>
      </c>
      <c s="475">
        <v>0</v>
      </c>
      <c s="475">
        <v>0</v>
      </c>
      <c s="674">
        <f>(C9)/1000*(D9)/1000*4*(2500/1000)+(C9)/1000*(D9)/1000*16*(680/1000)+E9/1000</f>
        <v>0</v>
      </c>
      <c s="871" t="str">
        <f t="shared" si="0"/>
        <v>АVENTOS HS top 25 (22S2500)</v>
      </c>
      <c s="872"/>
      <c s="872"/>
      <c s="873"/>
      <c s="479"/>
      <c s="480"/>
      <c s="464"/>
    </row>
    <row r="10" spans="1:15" ht="15" customHeight="1">
      <c r="A10" s="481" t="s">
        <v>210</v>
      </c>
      <c s="482"/>
      <c s="482"/>
      <c s="482"/>
      <c s="482"/>
      <c s="482"/>
      <c s="464"/>
      <c s="464"/>
      <c s="464"/>
      <c s="464"/>
      <c s="464"/>
      <c s="464"/>
      <c s="464"/>
      <c r="O10" s="486"/>
    </row>
    <row r="11" spans="1:13" ht="17.25" customHeight="1" thickBot="1">
      <c r="A11" s="669" t="s">
        <v>445</v>
      </c>
      <c s="660" t="s">
        <v>155</v>
      </c>
      <c s="661"/>
      <c s="661"/>
      <c s="664"/>
      <c s="665"/>
      <c s="666"/>
      <c s="666"/>
      <c s="863"/>
      <c s="865"/>
      <c s="866"/>
      <c s="866"/>
      <c s="464"/>
    </row>
    <row r="12" spans="1:16" ht="54.75" customHeight="1" thickBot="1">
      <c r="A12" s="685" t="s">
        <v>445</v>
      </c>
      <c s="857" t="s">
        <v>459</v>
      </c>
      <c s="874"/>
      <c s="689" t="s">
        <v>456</v>
      </c>
      <c s="667"/>
      <c s="668"/>
      <c s="668"/>
      <c s="668"/>
      <c s="864"/>
      <c s="662"/>
      <c s="662"/>
      <c s="662"/>
      <c s="464"/>
      <c r="O12" s="487"/>
      <c s="483"/>
    </row>
    <row r="13" spans="1:13" ht="18" customHeight="1">
      <c r="A13" s="686" t="s">
        <v>444</v>
      </c>
      <c s="836" t="s">
        <v>449</v>
      </c>
      <c s="837"/>
      <c s="848" t="s">
        <v>451</v>
      </c>
      <c s="663"/>
      <c s="659"/>
      <c s="659"/>
      <c s="659"/>
      <c s="663"/>
      <c s="659"/>
      <c s="659"/>
      <c s="659"/>
      <c s="464"/>
    </row>
    <row r="14" spans="1:13" ht="18">
      <c r="A14" s="687" t="s">
        <v>446</v>
      </c>
      <c s="849" t="s">
        <v>450</v>
      </c>
      <c s="850"/>
      <c s="837"/>
      <c s="663"/>
      <c s="659"/>
      <c s="659"/>
      <c s="659"/>
      <c s="663"/>
      <c s="659"/>
      <c s="659"/>
      <c s="659"/>
      <c s="464"/>
    </row>
    <row r="15" spans="1:13" ht="18">
      <c r="A15" s="687" t="s">
        <v>447</v>
      </c>
      <c s="849" t="s">
        <v>454</v>
      </c>
      <c s="850"/>
      <c s="690" t="s">
        <v>452</v>
      </c>
      <c s="663"/>
      <c s="659"/>
      <c s="659"/>
      <c s="659"/>
      <c s="663"/>
      <c s="659"/>
      <c s="659"/>
      <c s="659"/>
      <c s="464"/>
    </row>
    <row r="16" spans="1:13" ht="18.75" thickBot="1">
      <c r="A16" s="688" t="s">
        <v>448</v>
      </c>
      <c s="851" t="s">
        <v>455</v>
      </c>
      <c s="852"/>
      <c s="691" t="s">
        <v>453</v>
      </c>
      <c s="663"/>
      <c s="659"/>
      <c s="659"/>
      <c s="659"/>
      <c s="663"/>
      <c s="659"/>
      <c s="659"/>
      <c s="659"/>
      <c s="464"/>
    </row>
    <row r="17" spans="6:8" ht="13.5" thickBot="1">
      <c r="F17" s="676"/>
      <c s="485"/>
      <c s="485"/>
    </row>
    <row r="18" spans="1:9" ht="29.25" customHeight="1" thickBot="1">
      <c r="A18" s="838" t="s">
        <v>468</v>
      </c>
      <c s="839"/>
      <c s="839"/>
      <c s="839"/>
      <c s="839"/>
      <c s="840"/>
      <c s="840"/>
      <c s="840"/>
      <c s="841"/>
    </row>
    <row r="19" spans="1:9" ht="13.5" thickBot="1">
      <c r="A19" s="692" t="s">
        <v>460</v>
      </c>
      <c s="877" t="s">
        <v>42</v>
      </c>
      <c s="878"/>
      <c s="879"/>
      <c s="880"/>
      <c s="888" t="s">
        <v>13</v>
      </c>
      <c s="889"/>
      <c s="842" t="s">
        <v>461</v>
      </c>
      <c s="843"/>
    </row>
    <row r="20" spans="1:9" ht="17.25" customHeight="1">
      <c r="A20" s="693">
        <v>1</v>
      </c>
      <c s="881" t="s">
        <v>462</v>
      </c>
      <c s="882"/>
      <c s="883"/>
      <c s="884"/>
      <c s="890" t="s">
        <v>469</v>
      </c>
      <c s="891"/>
      <c s="844">
        <v>2</v>
      </c>
      <c s="845"/>
    </row>
    <row r="21" spans="1:9" ht="18.75" customHeight="1">
      <c r="A21" s="693">
        <v>2</v>
      </c>
      <c s="832" t="s">
        <v>458</v>
      </c>
      <c s="885"/>
      <c s="886"/>
      <c s="887"/>
      <c s="830" t="s">
        <v>457</v>
      </c>
      <c s="831"/>
      <c s="846">
        <v>2</v>
      </c>
      <c s="847"/>
    </row>
    <row r="22" spans="1:9" ht="18.75" customHeight="1">
      <c r="A22" s="693">
        <v>3</v>
      </c>
      <c s="832" t="s">
        <v>507</v>
      </c>
      <c s="833"/>
      <c s="833"/>
      <c s="834"/>
      <c s="830" t="s">
        <v>508</v>
      </c>
      <c s="831"/>
      <c s="846">
        <v>2</v>
      </c>
      <c s="847"/>
    </row>
    <row r="23" spans="1:9" ht="16.5" customHeight="1">
      <c r="A23" s="693">
        <v>4</v>
      </c>
      <c s="832" t="s">
        <v>470</v>
      </c>
      <c s="885" t="s">
        <v>430</v>
      </c>
      <c s="894"/>
      <c s="895"/>
      <c s="830" t="s">
        <v>431</v>
      </c>
      <c s="831"/>
      <c s="846">
        <v>1</v>
      </c>
      <c s="847"/>
    </row>
    <row r="24" spans="1:9" ht="19.5" customHeight="1">
      <c r="A24" s="693">
        <v>5</v>
      </c>
      <c s="832" t="s">
        <v>471</v>
      </c>
      <c s="885" t="s">
        <v>432</v>
      </c>
      <c s="894"/>
      <c s="895"/>
      <c s="830" t="s">
        <v>433</v>
      </c>
      <c s="831"/>
      <c s="846">
        <v>1</v>
      </c>
      <c s="847"/>
    </row>
    <row r="25" spans="1:9" ht="18" customHeight="1" thickBot="1">
      <c r="A25" s="693">
        <v>6</v>
      </c>
      <c s="896" t="s">
        <v>472</v>
      </c>
      <c s="897" t="s">
        <v>434</v>
      </c>
      <c s="898"/>
      <c s="899"/>
      <c s="892" t="s">
        <v>435</v>
      </c>
      <c s="893"/>
      <c s="875">
        <v>2</v>
      </c>
      <c s="876"/>
    </row>
    <row r="26" spans="1:9" ht="24" thickBot="1">
      <c r="A26" s="819" t="s">
        <v>506</v>
      </c>
      <c s="820"/>
      <c s="820"/>
      <c s="820"/>
      <c s="820"/>
      <c s="820"/>
      <c s="821"/>
      <c s="821"/>
      <c s="835"/>
    </row>
    <row r="27" spans="6:8" ht="12.75">
      <c r="F27" s="676"/>
      <c s="485"/>
      <c s="485"/>
    </row>
    <row r="28" spans="6:8" ht="12.75">
      <c r="F28" s="676"/>
      <c s="485"/>
      <c s="485"/>
    </row>
    <row r="29" spans="6:8" ht="12.75" thickBot="1">
      <c r="F29" s="676"/>
      <c s="485"/>
      <c s="485"/>
    </row>
  </sheetData>
  <sheetProtection algorithmName="SHA-512" hashValue="n5FvQzK7fg6ojPwxwMBFjiq8WhQjz4wSubXyZdKGareWEPLIm9h2zVotd+doUcQ0uMWTAXIdBhjxh+glXMB/Fw==" saltValue="T69msNz6Gxbja36LrxOX0A==" spinCount="100000" sheet="1" objects="1" scenarios="1" formatCells="0" formatColumns="0" formatRows="0" insertColumns="0" insertRows="0" insertHyperlinks="0" deleteColumns="0" deleteRows="0" sort="0" autoFilter="0" pivotTables="0"/>
  <protectedRanges>
    <protectedRange sqref="C4:D9" name="Диапазон1"/>
  </protectedRanges>
  <mergeCells count="44">
    <mergeCell ref="H22:I22"/>
    <mergeCell ref="F23:G23"/>
    <mergeCell ref="F24:G24"/>
    <mergeCell ref="F25:G25"/>
    <mergeCell ref="B23:E23"/>
    <mergeCell ref="B24:E24"/>
    <mergeCell ref="B25:E25"/>
    <mergeCell ref="B20:E20"/>
    <mergeCell ref="B21:E21"/>
    <mergeCell ref="F19:G19"/>
    <mergeCell ref="F20:G20"/>
    <mergeCell ref="F21:G21"/>
    <mergeCell ref="I11:I12"/>
    <mergeCell ref="J11:L11"/>
    <mergeCell ref="A7:B7"/>
    <mergeCell ref="G7:J7"/>
    <mergeCell ref="A8:B8"/>
    <mergeCell ref="G8:J8"/>
    <mergeCell ref="A9:B9"/>
    <mergeCell ref="G9:J9"/>
    <mergeCell ref="B12:C12"/>
    <mergeCell ref="A6:B6"/>
    <mergeCell ref="G6:J6"/>
    <mergeCell ref="A1:L1"/>
    <mergeCell ref="A2:K2"/>
    <mergeCell ref="G3:J3"/>
    <mergeCell ref="G4:J4"/>
    <mergeCell ref="G5:J5"/>
    <mergeCell ref="F22:G22"/>
    <mergeCell ref="B22:E22"/>
    <mergeCell ref="A26:I26"/>
    <mergeCell ref="B13:C13"/>
    <mergeCell ref="A18:I18"/>
    <mergeCell ref="H19:I19"/>
    <mergeCell ref="H20:I20"/>
    <mergeCell ref="H21:I21"/>
    <mergeCell ref="D13:D14"/>
    <mergeCell ref="B14:C14"/>
    <mergeCell ref="B15:C15"/>
    <mergeCell ref="B16:C16"/>
    <mergeCell ref="H23:I23"/>
    <mergeCell ref="H24:I24"/>
    <mergeCell ref="H25:I25"/>
    <mergeCell ref="B19:E19"/>
  </mergeCells>
  <conditionalFormatting sqref="G4:J9">
    <cfRule type="containsText" priority="1" dxfId="85" operator="containsText" text="увеличьте">
      <formula>NOT(ISERROR(SEARCH("увеличьте",G4)))</formula>
    </cfRule>
    <cfRule type="containsText" priority="2" dxfId="85" operator="containsText" text="уменьшите">
      <formula>NOT(ISERROR(SEARCH("уменьшите",G4)))</formula>
    </cfRule>
    <cfRule type="containsText" priority="3" dxfId="85" operator="containsText" text="увеличте">
      <formula>NOT(ISERROR(SEARCH("увеличте",G4)))</formula>
    </cfRule>
  </conditionalFormatting>
  <hyperlinks>
    <hyperlink ref="M1" location="Содержание!A1" display="← СОДЕРЖАНИЕ:"/>
  </hyperlinks>
  <pageMargins left="0.75" right="0.75" top="1" bottom="1" header="0.5" footer="0.5"/>
  <pageSetup orientation="portrait" paperSize="9" r:id="rId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50"/>
  </sheetPr>
  <dimension ref="A1:J29"/>
  <sheetViews>
    <sheetView showGridLines="0" zoomScale="90" zoomScaleNormal="90" workbookViewId="0" topLeftCell="A1">
      <selection pane="topLeft" activeCell="J1" sqref="J1"/>
    </sheetView>
  </sheetViews>
  <sheetFormatPr defaultRowHeight="12.75"/>
  <cols>
    <col min="1" max="1" width="39.5714285714286" customWidth="1"/>
    <col min="2" max="2" width="12.1428571428571" customWidth="1"/>
    <col min="3" max="3" width="13.7142857142857" customWidth="1"/>
    <col min="4" max="4" width="12.5714285714286" customWidth="1"/>
    <col min="5" max="5" width="12" customWidth="1"/>
    <col min="6" max="6" width="14.2857142857143" customWidth="1"/>
    <col min="7" max="7" width="25.2857142857143" customWidth="1"/>
    <col min="8" max="8" width="25.5714285714286" customWidth="1"/>
    <col min="9" max="9" width="26.4285714285714" customWidth="1"/>
    <col min="10" max="10" width="20.7142857142857" customWidth="1"/>
    <col min="11" max="11" width="9.14285714285714" customWidth="1"/>
  </cols>
  <sheetData>
    <row r="1" spans="1:10" ht="46.5" customHeight="1" thickBot="1">
      <c r="A1" s="905"/>
      <c s="906"/>
      <c s="906"/>
      <c s="906"/>
      <c s="906"/>
      <c s="906"/>
      <c s="907"/>
      <c s="907"/>
      <c s="907"/>
      <c s="338" t="s">
        <v>295</v>
      </c>
    </row>
    <row r="2" spans="1:9" ht="23.25" customHeight="1" thickBot="1">
      <c r="A2" s="913" t="s">
        <v>474</v>
      </c>
      <c s="841"/>
      <c s="913" t="s">
        <v>25</v>
      </c>
      <c s="840"/>
      <c s="841"/>
      <c s="924" t="s">
        <v>403</v>
      </c>
      <c s="925"/>
      <c s="925"/>
      <c s="916"/>
    </row>
    <row r="3" spans="1:9" ht="18.75" customHeight="1" thickBot="1">
      <c r="A3" s="914"/>
      <c s="915"/>
      <c s="914"/>
      <c s="923"/>
      <c s="915"/>
      <c s="920" t="s">
        <v>478</v>
      </c>
      <c s="916"/>
      <c s="920" t="s">
        <v>479</v>
      </c>
      <c s="916"/>
    </row>
    <row r="4" spans="1:9" ht="20.25" customHeight="1" thickBot="1">
      <c r="A4" s="922" t="s">
        <v>473</v>
      </c>
      <c s="916"/>
      <c s="926" t="s">
        <v>480</v>
      </c>
      <c s="925"/>
      <c s="916"/>
      <c s="921" t="s">
        <v>484</v>
      </c>
      <c s="784"/>
      <c s="927"/>
      <c s="928"/>
    </row>
    <row r="5" spans="1:9" ht="24.75" customHeight="1" thickBot="1">
      <c r="A5" s="922" t="s">
        <v>475</v>
      </c>
      <c s="916"/>
      <c s="926" t="s">
        <v>481</v>
      </c>
      <c s="925"/>
      <c s="916"/>
      <c s="921" t="s">
        <v>485</v>
      </c>
      <c s="784"/>
      <c s="929"/>
      <c s="930"/>
    </row>
    <row r="6" spans="1:9" ht="23.25" customHeight="1" thickBot="1">
      <c r="A6" s="922" t="s">
        <v>476</v>
      </c>
      <c s="916"/>
      <c s="926" t="s">
        <v>482</v>
      </c>
      <c s="925"/>
      <c s="916"/>
      <c s="927"/>
      <c s="931"/>
      <c s="921" t="s">
        <v>486</v>
      </c>
      <c s="784"/>
    </row>
    <row r="7" spans="1:9" ht="26.25" customHeight="1" thickBot="1">
      <c r="A7" s="922" t="s">
        <v>477</v>
      </c>
      <c s="916"/>
      <c s="926" t="s">
        <v>483</v>
      </c>
      <c s="925"/>
      <c s="916"/>
      <c s="929"/>
      <c s="930"/>
      <c s="921" t="s">
        <v>487</v>
      </c>
      <c s="784"/>
    </row>
    <row r="8" spans="1:9" ht="16.5" customHeight="1" thickBot="1">
      <c r="A8" s="910" t="s">
        <v>157</v>
      </c>
      <c s="911"/>
      <c s="912"/>
      <c s="912"/>
      <c s="912"/>
      <c s="912"/>
      <c s="912"/>
      <c s="912"/>
      <c s="912"/>
    </row>
    <row r="9" spans="1:9" ht="47.25" customHeight="1" thickBot="1">
      <c r="A9" s="118" t="s">
        <v>125</v>
      </c>
      <c s="411" t="s">
        <v>334</v>
      </c>
      <c s="395" t="s">
        <v>15</v>
      </c>
      <c s="395" t="s">
        <v>14</v>
      </c>
      <c s="412" t="s">
        <v>182</v>
      </c>
      <c s="403" t="s">
        <v>20</v>
      </c>
      <c s="277" t="s">
        <v>130</v>
      </c>
      <c s="386" t="s">
        <v>132</v>
      </c>
      <c s="404"/>
    </row>
    <row r="10" spans="1:10" ht="33" customHeight="1" thickBot="1">
      <c r="A10" s="307" t="s">
        <v>339</v>
      </c>
      <c s="509">
        <v>19</v>
      </c>
      <c s="142">
        <v>389</v>
      </c>
      <c s="143">
        <v>1800</v>
      </c>
      <c s="399">
        <v>100</v>
      </c>
      <c s="400">
        <f>(C10/1000)*(D10/1000)*B10*(680/1000)+(E10/1000)</f>
        <v>9.1465840000000007</v>
      </c>
      <c s="401" t="str">
        <f>IF(F10&lt;1.5,"Очень лёгкий фасад",IF(F10&gt;14,"Очень тяжёлый фасад",IF(D10&gt;1800,"Уменьшите ширину фасада (макс. 1800 мм)",IF(H10="Рычаг L32 (22L3200)","Силовой механизм 22 (22L2200)",IF(H10="Рычаг L35 (22L3500)","Силовой механизм 22 (22L2200)",IF(H10="Рычаг L38 (22L3800)","Силовой механизм 25 (22L2500)",IF(H10="Рычаг L39 (22L3900)","Силовой механизм 25 (22L2500)",)))))))</f>
        <v>Силовой механизм 22 (22L2200)</v>
      </c>
      <c s="402" t="str">
        <f>IF(C10&lt;300,"недопустимая высота корпуса (мин. от 300 мм)",IF(C10&lt;340,"Рычаг L32 (22L3200)",IF(C10&lt;390,"Рычаг L35 (22L3500)",IF(C10&lt;540,"Рычаг L38 (22L3800)",IF(C10&lt;581,"Рычаг L39 (22L3900)",IF(C10&gt;580,"недопустимая высота корпуса (макс. до 580 мм)",))))))</f>
        <v>Рычаг L35 (22L3500)</v>
      </c>
      <c s="405"/>
      <c s="7"/>
    </row>
    <row r="11" spans="1:10" ht="30" customHeight="1" thickBot="1">
      <c r="A11" s="700" t="s">
        <v>341</v>
      </c>
      <c s="701">
        <v>19</v>
      </c>
      <c s="702">
        <v>580</v>
      </c>
      <c s="703">
        <v>800</v>
      </c>
      <c s="703">
        <v>0</v>
      </c>
      <c s="673">
        <f>(C11/1000)*(D11/1000)*B11*(760/1000)+(E11/1000)</f>
        <v>6.7001599999999994</v>
      </c>
      <c s="694" t="str">
        <f t="shared" si="0" ref="G11:G15">IF(F11&lt;1.5,"Очень лёгкий фасад",IF(F11&gt;14,"Очень тяжёлый фасад",IF(D11&gt;1800,"Уменьшите ширину фасада (макс. 1800 мм)",IF(H11="Рычаг L32 (22L3200)","Силовой механизм 22 (22L2200)",IF(H11="Рычаг L35 (22L3500)","Силовой механизм 22 (22L2200)",IF(H11="Рычаг L38 (22L3800)","Силовой механизм 25 (22L2500)",IF(H11="Рычаг L39 (22L3900)","Силовой механизм 25 (22L2500)",)))))))</f>
        <v>Силовой механизм 25 (22L2500)</v>
      </c>
      <c s="695" t="str">
        <f t="shared" si="1" ref="H11:H15">IF(C11&lt;300,"недопустимая высота корпуса (мин. от 300 мм)",IF(C11&lt;340,"Рычаг L32 (22L3200)",IF(C11&lt;390,"Рычаг L35 (22L3500)",IF(C11&lt;540,"Рычаг L38 (22L3800)",IF(C11&lt;581,"Рычаг L39 (22L3900)",IF(C11&gt;580,"недопустимая высота корпуса (макс. до 580 мм)",))))))</f>
        <v>Рычаг L39 (22L3900)</v>
      </c>
      <c s="405"/>
      <c s="7"/>
    </row>
    <row r="12" spans="1:9" ht="28.5" customHeight="1" thickBot="1">
      <c r="A12" s="917" t="s">
        <v>36</v>
      </c>
      <c s="918"/>
      <c s="140">
        <v>580</v>
      </c>
      <c s="141">
        <v>800</v>
      </c>
      <c s="396">
        <v>0</v>
      </c>
      <c s="397">
        <f>(C12)/1000*(D12)/1000*(11.5+0.3)+(E12/1000)</f>
        <v>5.4752000000000001</v>
      </c>
      <c s="401" t="str">
        <f t="shared" si="0"/>
        <v>Силовой механизм 25 (22L2500)</v>
      </c>
      <c s="402" t="str">
        <f t="shared" si="1"/>
        <v>Рычаг L39 (22L3900)</v>
      </c>
      <c s="405"/>
    </row>
    <row r="13" spans="1:9" ht="28.5" customHeight="1" thickBot="1">
      <c r="A13" s="936" t="s">
        <v>50</v>
      </c>
      <c s="937"/>
      <c s="702">
        <v>400</v>
      </c>
      <c s="703">
        <v>800</v>
      </c>
      <c s="703">
        <v>0</v>
      </c>
      <c s="673">
        <f>(C13)/1000*(D13)/1000*(11.5+0.3)+(E13/1000)</f>
        <v>3.7760000000000002</v>
      </c>
      <c s="694" t="str">
        <f t="shared" si="0"/>
        <v>Силовой механизм 25 (22L2500)</v>
      </c>
      <c s="695" t="str">
        <f t="shared" si="1"/>
        <v>Рычаг L38 (22L3800)</v>
      </c>
      <c s="405"/>
    </row>
    <row r="14" spans="1:9" ht="27.75" customHeight="1" thickBot="1">
      <c r="A14" s="919" t="s">
        <v>172</v>
      </c>
      <c s="918"/>
      <c s="142">
        <v>580</v>
      </c>
      <c s="143">
        <v>800</v>
      </c>
      <c s="396">
        <v>0</v>
      </c>
      <c s="398">
        <f>(C14)/1000*(D14)/1000*(8.8+0.3)+(E14/1000)</f>
        <v>4.2224000000000004</v>
      </c>
      <c s="401" t="str">
        <f t="shared" si="0"/>
        <v>Силовой механизм 25 (22L2500)</v>
      </c>
      <c s="402" t="str">
        <f t="shared" si="1"/>
        <v>Рычаг L39 (22L3900)</v>
      </c>
      <c s="405"/>
    </row>
    <row r="15" spans="1:9" ht="35.25" customHeight="1" thickBot="1">
      <c r="A15" s="938" t="s">
        <v>333</v>
      </c>
      <c s="939"/>
      <c s="696">
        <v>400</v>
      </c>
      <c s="697">
        <v>800</v>
      </c>
      <c s="698">
        <v>0</v>
      </c>
      <c s="699">
        <f>(C15)/1000*(D15)/1000*4*(2500/1000)+(C15)/1000*(D15)/1000*16*(680/1000)+(E15/1000)</f>
        <v>6.6816000000000004</v>
      </c>
      <c s="694" t="str">
        <f t="shared" si="0"/>
        <v>Силовой механизм 25 (22L2500)</v>
      </c>
      <c s="695" t="str">
        <f t="shared" si="1"/>
        <v>Рычаг L38 (22L3800)</v>
      </c>
      <c s="406"/>
    </row>
    <row r="16" spans="1:2" ht="19.5" customHeight="1" thickBot="1">
      <c r="A16" s="312" t="s">
        <v>210</v>
      </c>
      <c s="312"/>
    </row>
    <row r="17" spans="1:9" ht="23.25">
      <c r="A17" s="908" t="s">
        <v>504</v>
      </c>
      <c s="909"/>
      <c s="934"/>
      <c s="934"/>
      <c s="934"/>
      <c s="934"/>
      <c s="934"/>
      <c s="934"/>
      <c s="935"/>
    </row>
    <row r="18" spans="1:9" ht="24.6" customHeight="1">
      <c r="A18" s="67">
        <v>1</v>
      </c>
      <c s="22" t="s">
        <v>492</v>
      </c>
      <c s="932" t="s">
        <v>488</v>
      </c>
      <c s="932"/>
      <c s="933"/>
      <c s="67" t="s">
        <v>489</v>
      </c>
      <c s="67">
        <v>2</v>
      </c>
      <c s="68"/>
      <c s="68"/>
    </row>
    <row r="19" spans="1:9" ht="26.25" customHeight="1">
      <c r="A19" s="67">
        <v>3</v>
      </c>
      <c s="22" t="s">
        <v>492</v>
      </c>
      <c s="932" t="s">
        <v>490</v>
      </c>
      <c s="932"/>
      <c s="933"/>
      <c s="67" t="s">
        <v>491</v>
      </c>
      <c s="67">
        <v>2</v>
      </c>
      <c s="89"/>
      <c s="68"/>
    </row>
    <row r="20" spans="1:9" ht="21" customHeight="1">
      <c r="A20" s="67">
        <v>4</v>
      </c>
      <c s="22" t="s">
        <v>492</v>
      </c>
      <c s="932" t="s">
        <v>470</v>
      </c>
      <c s="932" t="s">
        <v>430</v>
      </c>
      <c s="932"/>
      <c s="67" t="s">
        <v>431</v>
      </c>
      <c s="67">
        <v>1</v>
      </c>
      <c s="67"/>
      <c s="67"/>
    </row>
    <row r="21" spans="1:9" ht="22.5" customHeight="1">
      <c r="A21" s="67">
        <v>5</v>
      </c>
      <c s="22" t="s">
        <v>492</v>
      </c>
      <c s="932" t="s">
        <v>471</v>
      </c>
      <c s="932" t="s">
        <v>432</v>
      </c>
      <c s="932"/>
      <c s="67" t="s">
        <v>433</v>
      </c>
      <c s="67">
        <v>1</v>
      </c>
      <c s="67"/>
      <c s="67"/>
    </row>
    <row r="22" spans="1:9" ht="23.25" customHeight="1">
      <c r="A22" s="67">
        <v>6</v>
      </c>
      <c s="22" t="s">
        <v>492</v>
      </c>
      <c s="932" t="s">
        <v>472</v>
      </c>
      <c s="932" t="s">
        <v>434</v>
      </c>
      <c s="932"/>
      <c s="67" t="s">
        <v>435</v>
      </c>
      <c s="67">
        <v>2</v>
      </c>
      <c s="68"/>
      <c s="68"/>
    </row>
    <row r="23" spans="1:9" ht="22.5" customHeight="1">
      <c r="A23" s="67">
        <v>7</v>
      </c>
      <c s="22" t="s">
        <v>492</v>
      </c>
      <c s="932" t="s">
        <v>38</v>
      </c>
      <c s="932"/>
      <c s="932"/>
      <c s="67" t="s">
        <v>22</v>
      </c>
      <c s="67">
        <v>2</v>
      </c>
      <c s="67" t="s">
        <v>505</v>
      </c>
      <c s="67" t="s">
        <v>26</v>
      </c>
    </row>
    <row r="24" spans="1:9" ht="27.75" customHeight="1">
      <c r="A24" s="67">
        <v>8</v>
      </c>
      <c s="22" t="s">
        <v>492</v>
      </c>
      <c s="932" t="s">
        <v>497</v>
      </c>
      <c s="932"/>
      <c s="932"/>
      <c s="67" t="s">
        <v>493</v>
      </c>
      <c s="67">
        <v>1</v>
      </c>
      <c s="67"/>
      <c s="705"/>
    </row>
    <row r="25" spans="1:9" ht="21" customHeight="1">
      <c r="A25" s="67">
        <v>9</v>
      </c>
      <c s="22" t="s">
        <v>492</v>
      </c>
      <c s="932" t="s">
        <v>494</v>
      </c>
      <c s="932"/>
      <c s="932"/>
      <c s="67" t="s">
        <v>500</v>
      </c>
      <c s="67">
        <v>2</v>
      </c>
      <c s="89"/>
      <c s="705"/>
    </row>
    <row r="26" spans="1:9" ht="24" customHeight="1">
      <c r="A26" s="67">
        <v>10</v>
      </c>
      <c s="22" t="s">
        <v>492</v>
      </c>
      <c s="932" t="s">
        <v>495</v>
      </c>
      <c s="932"/>
      <c s="933"/>
      <c s="67" t="s">
        <v>501</v>
      </c>
      <c s="67">
        <v>1</v>
      </c>
      <c s="89"/>
      <c s="67"/>
    </row>
    <row r="27" spans="1:9" ht="24" customHeight="1">
      <c r="A27" s="67">
        <v>11</v>
      </c>
      <c s="22" t="s">
        <v>492</v>
      </c>
      <c s="932" t="s">
        <v>496</v>
      </c>
      <c s="932"/>
      <c s="933"/>
      <c s="67" t="s">
        <v>502</v>
      </c>
      <c s="67">
        <v>1</v>
      </c>
      <c s="89"/>
      <c s="67"/>
    </row>
    <row r="28" spans="1:9" ht="21.75" customHeight="1" thickBot="1">
      <c r="A28" s="67">
        <v>12</v>
      </c>
      <c s="22" t="s">
        <v>492</v>
      </c>
      <c s="932" t="s">
        <v>499</v>
      </c>
      <c s="932"/>
      <c s="933"/>
      <c s="67" t="s">
        <v>498</v>
      </c>
      <c s="67">
        <v>1</v>
      </c>
      <c s="89"/>
      <c s="67"/>
    </row>
    <row r="29" spans="1:9" ht="24" thickBot="1">
      <c r="A29" s="900" t="s">
        <v>503</v>
      </c>
      <c s="901"/>
      <c s="902"/>
      <c s="902"/>
      <c s="902"/>
      <c s="902"/>
      <c s="902"/>
      <c s="902"/>
      <c s="903"/>
    </row>
  </sheetData>
  <sheetProtection algorithmName="SHA-512" hashValue="t0ebKN9NcSxRMNNwhsUkKqLZff+awdDQF4NoafNH20hCCCmWTHI3sjIo1dWQds5fYqlch5Lf1nE7aL1tGLUZVw==" saltValue="+AEVDZBr5xfun7RVZb1gZg==" spinCount="100000" sheet="1" formatCells="0" formatColumns="0" formatRows="0" insertColumns="0" insertRows="0" insertHyperlinks="0" deleteColumns="0" deleteRows="0" sort="0" autoFilter="0" pivotTables="0"/>
  <protectedRanges>
    <protectedRange sqref="C10:E15" name="Диапазон1"/>
  </protectedRanges>
  <mergeCells count="38">
    <mergeCell ref="C20:E20"/>
    <mergeCell ref="C21:E21"/>
    <mergeCell ref="C27:E27"/>
    <mergeCell ref="A29:I29"/>
    <mergeCell ref="C22:E22"/>
    <mergeCell ref="A14:B14"/>
    <mergeCell ref="A15:B15"/>
    <mergeCell ref="C5:E5"/>
    <mergeCell ref="C6:E6"/>
    <mergeCell ref="C19:E19"/>
    <mergeCell ref="H6:I6"/>
    <mergeCell ref="H7:I7"/>
    <mergeCell ref="F6:G7"/>
    <mergeCell ref="C28:E28"/>
    <mergeCell ref="C7:E7"/>
    <mergeCell ref="C24:E24"/>
    <mergeCell ref="C25:E25"/>
    <mergeCell ref="C26:E26"/>
    <mergeCell ref="C18:E18"/>
    <mergeCell ref="C23:E23"/>
    <mergeCell ref="A17:I17"/>
    <mergeCell ref="A6:B6"/>
    <mergeCell ref="A7:B7"/>
    <mergeCell ref="A8:I8"/>
    <mergeCell ref="A12:B12"/>
    <mergeCell ref="A13:B13"/>
    <mergeCell ref="F5:G5"/>
    <mergeCell ref="A4:B4"/>
    <mergeCell ref="A1:I1"/>
    <mergeCell ref="A2:B3"/>
    <mergeCell ref="C2:E3"/>
    <mergeCell ref="F2:I2"/>
    <mergeCell ref="F3:G3"/>
    <mergeCell ref="H3:I3"/>
    <mergeCell ref="C4:E4"/>
    <mergeCell ref="F4:G4"/>
    <mergeCell ref="H4:I5"/>
    <mergeCell ref="A5:B5"/>
  </mergeCells>
  <conditionalFormatting sqref="G10:G15">
    <cfRule type="containsText" priority="1" dxfId="85" operator="containsText" text="фасад">
      <formula>NOT(ISERROR(SEARCH("фасад",G10)))</formula>
    </cfRule>
  </conditionalFormatting>
  <conditionalFormatting sqref="G10:H15">
    <cfRule type="containsText" priority="2" dxfId="85" operator="containsText" text="очень">
      <formula>NOT(ISERROR(SEARCH("очень",G10)))</formula>
    </cfRule>
  </conditionalFormatting>
  <conditionalFormatting sqref="H10:H15">
    <cfRule type="containsText" priority="3" dxfId="85" operator="containsText" text="недопустимая">
      <formula>NOT(ISERROR(SEARCH("недопустимая",H10)))</formula>
    </cfRule>
  </conditionalFormatting>
  <hyperlinks>
    <hyperlink ref="J1" location="Содержание!A1" display="← СОДЕРЖАНИЕ:"/>
  </hyperlinks>
  <pageMargins left="0.75" right="0.75" top="1" bottom="1" header="0.5" footer="0.5"/>
  <pageSetup orientation="portrait" paperSize="9" r:id="rId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>
    <tabColor indexed="44"/>
  </sheetPr>
  <dimension ref="A1:L59"/>
  <sheetViews>
    <sheetView showGridLines="0" workbookViewId="0" topLeftCell="A1">
      <selection pane="topLeft" activeCell="I1" sqref="I1"/>
    </sheetView>
  </sheetViews>
  <sheetFormatPr defaultRowHeight="12.75"/>
  <cols>
    <col min="1" max="1" width="40" customWidth="1"/>
    <col min="2" max="2" width="10.7142857142857" customWidth="1"/>
    <col min="3" max="3" width="14.4285714285714" customWidth="1"/>
    <col min="4" max="4" width="12.7142857142857" customWidth="1"/>
    <col min="5" max="5" width="11.1428571428571" customWidth="1"/>
    <col min="6" max="6" width="17.5714285714286" customWidth="1"/>
    <col min="7" max="7" width="15.4285714285714" customWidth="1"/>
    <col min="8" max="8" width="32.2857142857143" customWidth="1"/>
    <col min="9" max="9" width="19.8571428571429" customWidth="1"/>
    <col min="10" max="10" width="12" customWidth="1"/>
    <col min="11" max="11" width="12.7142857142857" customWidth="1"/>
    <col min="12" max="12" width="14.2857142857143" customWidth="1"/>
    <col min="13" max="14" width="11.7142857142857" customWidth="1"/>
  </cols>
  <sheetData>
    <row r="1" spans="1:9" ht="47.25" customHeight="1" thickBot="1">
      <c r="A1" s="949"/>
      <c s="950"/>
      <c s="950"/>
      <c s="950"/>
      <c s="950"/>
      <c s="950"/>
      <c s="950"/>
      <c s="916"/>
      <c s="520" t="s">
        <v>295</v>
      </c>
    </row>
    <row r="2" spans="1:8" ht="24.95" customHeight="1" thickBot="1">
      <c r="A2" s="947" t="s">
        <v>42</v>
      </c>
      <c s="841"/>
      <c s="953" t="s">
        <v>140</v>
      </c>
      <c s="954"/>
      <c s="784"/>
      <c s="941" t="s">
        <v>41</v>
      </c>
      <c s="942"/>
      <c s="120"/>
    </row>
    <row r="3" spans="1:8" ht="18" customHeight="1" thickBot="1">
      <c r="A3" s="948"/>
      <c s="915"/>
      <c s="955"/>
      <c s="956"/>
      <c s="957"/>
      <c s="308" t="s">
        <v>23</v>
      </c>
      <c s="121" t="s">
        <v>24</v>
      </c>
      <c s="120"/>
    </row>
    <row r="4" spans="1:8" ht="21" customHeight="1">
      <c r="A4" s="122" t="s">
        <v>404</v>
      </c>
      <c s="413"/>
      <c s="951" t="s">
        <v>351</v>
      </c>
      <c s="951"/>
      <c s="952"/>
      <c s="123">
        <v>420</v>
      </c>
      <c s="124">
        <v>1610</v>
      </c>
      <c s="90"/>
    </row>
    <row r="5" spans="1:8" ht="21" customHeight="1">
      <c r="A5" s="122" t="s">
        <v>405</v>
      </c>
      <c s="414"/>
      <c s="951" t="s">
        <v>352</v>
      </c>
      <c s="951"/>
      <c s="952"/>
      <c s="125">
        <v>930</v>
      </c>
      <c s="126">
        <v>2800</v>
      </c>
      <c s="120"/>
    </row>
    <row r="6" spans="1:8" ht="20.25" customHeight="1">
      <c r="A6" s="122" t="s">
        <v>406</v>
      </c>
      <c s="414"/>
      <c s="951" t="s">
        <v>353</v>
      </c>
      <c s="951"/>
      <c s="952"/>
      <c s="125">
        <v>1730</v>
      </c>
      <c s="126">
        <v>5200</v>
      </c>
      <c s="120"/>
    </row>
    <row r="7" spans="1:8" ht="19.5" customHeight="1" thickBot="1">
      <c r="A7" s="122" t="s">
        <v>407</v>
      </c>
      <c s="416"/>
      <c s="951" t="s">
        <v>354</v>
      </c>
      <c s="951"/>
      <c s="952"/>
      <c s="127">
        <v>3200</v>
      </c>
      <c s="128">
        <v>9000</v>
      </c>
      <c s="120"/>
    </row>
    <row r="8" spans="1:8" ht="21" customHeight="1" thickBot="1">
      <c r="A8" s="943" t="s">
        <v>158</v>
      </c>
      <c s="944"/>
      <c s="945"/>
      <c s="945"/>
      <c s="945"/>
      <c s="945"/>
      <c s="945"/>
      <c s="946"/>
    </row>
    <row r="9" spans="1:8" ht="42" customHeight="1" thickBot="1">
      <c r="A9" s="415" t="s">
        <v>125</v>
      </c>
      <c s="521" t="s">
        <v>334</v>
      </c>
      <c s="101" t="s">
        <v>15</v>
      </c>
      <c s="102" t="s">
        <v>14</v>
      </c>
      <c s="309" t="s">
        <v>182</v>
      </c>
      <c s="103" t="s">
        <v>20</v>
      </c>
      <c s="119" t="s">
        <v>18</v>
      </c>
      <c s="129" t="s">
        <v>135</v>
      </c>
    </row>
    <row r="10" spans="1:9" ht="42.75" customHeight="1" thickBot="1">
      <c r="A10" s="130" t="s">
        <v>342</v>
      </c>
      <c s="427">
        <v>18</v>
      </c>
      <c s="326">
        <v>358</v>
      </c>
      <c s="327">
        <v>798</v>
      </c>
      <c s="328">
        <v>0</v>
      </c>
      <c s="131">
        <f>(C10)/1000*(D10)/1000*B10*(680/1000)+(E10/1000*2)</f>
        <v>3.4967721599999999</v>
      </c>
      <c s="132">
        <f t="shared" si="0" ref="G10:G15">F10*C10</f>
        <v>1251.84443328</v>
      </c>
      <c s="133" t="str">
        <f>IF(C10&lt;208,"увеличьте высоту фасада (мин. 208 мм)",IF(C10&gt;600,"уменьшите высоту фасада (макс. 600 мм)",IF(G10&lt;420,"очень лёгкий фасад, используйте механизм AVENTOS HK-S или HK-XS",IF(G10&lt;1100,"2 силовых механизма AVENTOS HK top 23",IF(G10&lt;2400,"2 силовых механизма AVENTOS HK top 25",IF(G10&lt;5100,"2 силовых механизма AVENTOS HK top 27",IF(G10&lt;9000,"2 силовых механизма AVENTOS HK top 29",IF(G10&gt;9000,"очень тяжёлый фасад",))))))))</f>
        <v>2 силовых механизма AVENTOS HK top 25</v>
      </c>
      <c s="7"/>
    </row>
    <row r="11" spans="1:12" ht="27.75" customHeight="1" thickBot="1">
      <c r="A11" s="134" t="s">
        <v>340</v>
      </c>
      <c s="417">
        <v>19</v>
      </c>
      <c s="329">
        <v>460</v>
      </c>
      <c s="330">
        <v>555</v>
      </c>
      <c s="331">
        <v>0</v>
      </c>
      <c s="510">
        <f>(C11)/1000*(D11)/1000*B11*(760/1000)+(E11/1000*2)</f>
        <v>3.6865320000000006</v>
      </c>
      <c s="136">
        <f t="shared" si="0"/>
        <v>1695.8047200000003</v>
      </c>
      <c s="310" t="str">
        <f t="shared" si="1" ref="H11:H15">IF(C11&lt;208,"увеличьте высоту фасада (мин. 208 мм)",IF(C11&gt;600,"уменьшите высоту фасада (макс. 600 мм)",IF(G11&lt;420,"очень лёгкий фасад, используйте механизм AVENTOS HK-S или HK-XS",IF(G11&lt;1100,"2 силовых механизма AVENTOS HK top 23",IF(G11&lt;2400,"2 силовых механизма AVENTOS HK top 25",IF(G11&lt;5100,"2 силовых механизма AVENTOS HK top 27",IF(G11&lt;9000,"2 силовых механизма AVENTOS HK top 29",IF(G11&gt;9000,"очень тяжёлый фасад",))))))))</f>
        <v>2 силовых механизма AVENTOS HK top 25</v>
      </c>
      <c s="26"/>
      <c s="26"/>
      <c s="25"/>
      <c s="25"/>
    </row>
    <row r="12" spans="1:12" ht="25.5" customHeight="1" thickBot="1">
      <c r="A12" s="919" t="s">
        <v>36</v>
      </c>
      <c s="918"/>
      <c s="325">
        <v>600</v>
      </c>
      <c s="332">
        <v>600</v>
      </c>
      <c s="333">
        <v>0</v>
      </c>
      <c s="137">
        <f>(C12)/1000*(D12)/1000*(11.5+0.3*2)+(E12/1000*2)</f>
        <v>4.3559999999999999</v>
      </c>
      <c s="138">
        <f t="shared" si="0"/>
        <v>2613.5999999999999</v>
      </c>
      <c s="133" t="str">
        <f t="shared" si="1"/>
        <v>2 силовых механизма AVENTOS HK top 27</v>
      </c>
      <c s="26"/>
      <c s="26"/>
      <c s="25"/>
      <c s="25"/>
    </row>
    <row r="13" spans="1:8" ht="28.5" customHeight="1" thickBot="1">
      <c r="A13" s="959" t="s">
        <v>37</v>
      </c>
      <c s="918"/>
      <c s="329">
        <v>600</v>
      </c>
      <c s="334">
        <v>762</v>
      </c>
      <c s="335">
        <v>0</v>
      </c>
      <c s="135">
        <f>(C13)/1000*(D13)/1000*(11.5+0.3*2)+(E13/1000*2)</f>
        <v>5.5321199999999999</v>
      </c>
      <c s="136">
        <f t="shared" si="0"/>
        <v>3319.2719999999999</v>
      </c>
      <c s="310" t="str">
        <f t="shared" si="1"/>
        <v>2 силовых механизма AVENTOS HK top 27</v>
      </c>
    </row>
    <row r="14" spans="1:8" ht="27" customHeight="1" thickBot="1">
      <c r="A14" s="919" t="s">
        <v>172</v>
      </c>
      <c s="918"/>
      <c s="325">
        <v>600</v>
      </c>
      <c s="332">
        <v>500</v>
      </c>
      <c s="333">
        <v>0</v>
      </c>
      <c s="137">
        <f>(C14)/1000*(D14)/1000*(8.8+0.3*2)+(E14/1000*2)</f>
        <v>2.8199999999999998</v>
      </c>
      <c s="139">
        <f t="shared" si="0"/>
        <v>1692</v>
      </c>
      <c s="133" t="str">
        <f t="shared" si="1"/>
        <v>2 силовых механизма AVENTOS HK top 25</v>
      </c>
    </row>
    <row r="15" spans="1:8" ht="29.25" customHeight="1" thickBot="1">
      <c r="A15" s="960" t="s">
        <v>289</v>
      </c>
      <c s="904"/>
      <c s="329">
        <v>600</v>
      </c>
      <c s="417">
        <v>600</v>
      </c>
      <c s="417">
        <v>0</v>
      </c>
      <c s="135">
        <f>(C15)/1000*(D15)/1000*4*(2500/1000)+(C15)/1000*(D15)/1000*16*(680/1000)+(E15/1000*2)</f>
        <v>7.5167999999999999</v>
      </c>
      <c s="311">
        <f t="shared" si="0"/>
        <v>4510.0799999999999</v>
      </c>
      <c s="310" t="str">
        <f t="shared" si="1"/>
        <v>2 силовых механизма AVENTOS HK top 27</v>
      </c>
    </row>
    <row r="16" spans="1:2" ht="20.25" customHeight="1">
      <c r="A16" s="312" t="s">
        <v>210</v>
      </c>
      <c s="312"/>
    </row>
    <row r="34" ht="10.5" customHeight="1"/>
    <row r="35" ht="12.75" hidden="1"/>
    <row r="36" ht="12.75" hidden="1"/>
    <row r="37" ht="12.75" hidden="1"/>
    <row r="38" ht="12.75" hidden="1"/>
    <row r="58" ht="13.5" thickBot="1"/>
    <row r="59" spans="1:8" ht="24" thickBot="1">
      <c r="A59" s="940" t="s">
        <v>464</v>
      </c>
      <c s="925"/>
      <c s="925"/>
      <c s="925"/>
      <c s="925"/>
      <c s="925"/>
      <c s="925"/>
      <c s="916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protectedRanges>
    <protectedRange sqref="C10:E15" name="Диапазон1"/>
  </protectedRanges>
  <mergeCells count="14">
    <mergeCell ref="A59:H59"/>
    <mergeCell ref="C5:E5"/>
    <mergeCell ref="A1:H1"/>
    <mergeCell ref="A2:B3"/>
    <mergeCell ref="C2:E3"/>
    <mergeCell ref="F2:G2"/>
    <mergeCell ref="C4:E4"/>
    <mergeCell ref="A15:B15"/>
    <mergeCell ref="C6:E6"/>
    <mergeCell ref="C7:E7"/>
    <mergeCell ref="A8:H8"/>
    <mergeCell ref="A12:B12"/>
    <mergeCell ref="A13:B13"/>
    <mergeCell ref="A14:B14"/>
  </mergeCells>
  <conditionalFormatting sqref="H10:H15">
    <cfRule type="containsText" priority="1" dxfId="85" operator="containsText" text="уменьшите высоту фасада">
      <formula>NOT(ISERROR(SEARCH("уменьшите высоту фасада",H10)))</formula>
    </cfRule>
    <cfRule type="containsText" priority="2" dxfId="85" operator="containsText" text="увеличьте высоту фасада">
      <formula>NOT(ISERROR(SEARCH("увеличьте высоту фасада",H10)))</formula>
    </cfRule>
    <cfRule type="containsText" priority="7" dxfId="85" operator="containsText" stopIfTrue="1" text="очень">
      <formula>NOT(ISERROR(SEARCH("очень",H10)))</formula>
    </cfRule>
  </conditionalFormatting>
  <hyperlinks>
    <hyperlink ref="I1" location="Содержание!R1C1" display="← СОДЕРЖАНИЕ:"/>
  </hyperlinks>
  <pageMargins left="0.75" right="0.75" top="1" bottom="1" header="0.5" footer="0.5"/>
  <pageSetup orientation="portrait" paperSize="9" r:id="rId2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1">
    <tabColor indexed="47"/>
  </sheetPr>
  <dimension ref="A1:Q26"/>
  <sheetViews>
    <sheetView showGridLines="0" zoomScale="90" zoomScaleNormal="90" workbookViewId="0" topLeftCell="A1">
      <selection pane="topLeft" activeCell="J1" sqref="J1"/>
    </sheetView>
  </sheetViews>
  <sheetFormatPr defaultRowHeight="12.75"/>
  <cols>
    <col min="1" max="1" width="43" customWidth="1"/>
    <col min="2" max="2" width="12" customWidth="1"/>
    <col min="3" max="3" width="15.7142857142857" customWidth="1"/>
    <col min="4" max="4" width="15" customWidth="1"/>
    <col min="5" max="5" width="12" customWidth="1"/>
    <col min="6" max="6" width="13.4285714285714" customWidth="1"/>
    <col min="7" max="7" width="13.1428571428571" customWidth="1"/>
    <col min="8" max="8" width="17.7142857142857" customWidth="1"/>
    <col min="9" max="9" width="36.4285714285714" customWidth="1"/>
    <col min="10" max="10" width="19.5714285714286" customWidth="1"/>
    <col min="11" max="11" width="8.85714285714286" customWidth="1"/>
    <col min="12" max="12" width="8.28571428571429" customWidth="1"/>
    <col min="13" max="13" width="12.7142857142857" customWidth="1"/>
    <col min="14" max="14" width="12.2857142857143" customWidth="1"/>
    <col min="17" max="17" width="13.4285714285714" customWidth="1"/>
  </cols>
  <sheetData>
    <row r="1" spans="1:10" ht="49.5" customHeight="1" thickBot="1">
      <c r="A1" s="979"/>
      <c s="980"/>
      <c s="980"/>
      <c s="980"/>
      <c s="980"/>
      <c s="980"/>
      <c s="980"/>
      <c s="981"/>
      <c s="982"/>
      <c s="337" t="s">
        <v>295</v>
      </c>
    </row>
    <row r="2" spans="1:9" ht="33.75" customHeight="1" thickBot="1">
      <c r="A2" s="1010" t="s">
        <v>42</v>
      </c>
      <c s="1011"/>
      <c s="1001" t="s">
        <v>139</v>
      </c>
      <c s="1001"/>
      <c s="1002"/>
      <c s="941" t="s">
        <v>41</v>
      </c>
      <c s="989"/>
      <c s="277" t="s">
        <v>113</v>
      </c>
      <c s="316"/>
    </row>
    <row r="3" spans="1:9" ht="15.75" customHeight="1" thickBot="1">
      <c r="A3" s="1012"/>
      <c s="1013"/>
      <c s="1003"/>
      <c s="1003"/>
      <c s="1004"/>
      <c s="392" t="s">
        <v>23</v>
      </c>
      <c s="394" t="s">
        <v>24</v>
      </c>
      <c s="393" t="s">
        <v>114</v>
      </c>
      <c s="316"/>
    </row>
    <row r="4" spans="1:9" ht="26.25" customHeight="1" hidden="1">
      <c r="A4" s="428" t="s">
        <v>120</v>
      </c>
      <c s="317"/>
      <c s="990" t="s">
        <v>115</v>
      </c>
      <c s="990"/>
      <c s="429"/>
      <c s="313">
        <v>220</v>
      </c>
      <c s="314">
        <v>500</v>
      </c>
      <c s="315" t="s">
        <v>116</v>
      </c>
      <c s="316"/>
    </row>
    <row r="5" spans="1:9" ht="30" customHeight="1">
      <c r="A5" s="1014" t="s">
        <v>408</v>
      </c>
      <c s="1015"/>
      <c s="1005" t="s">
        <v>137</v>
      </c>
      <c s="1005"/>
      <c s="1006"/>
      <c s="112">
        <v>400</v>
      </c>
      <c s="113">
        <v>1000</v>
      </c>
      <c s="114" t="s">
        <v>117</v>
      </c>
      <c s="316"/>
    </row>
    <row r="6" spans="1:9" ht="37.5" customHeight="1">
      <c r="A6" s="1014" t="s">
        <v>409</v>
      </c>
      <c s="1015"/>
      <c s="1005" t="s">
        <v>290</v>
      </c>
      <c s="1005"/>
      <c s="1006"/>
      <c s="112">
        <v>680</v>
      </c>
      <c s="113">
        <v>1520</v>
      </c>
      <c s="114" t="s">
        <v>118</v>
      </c>
      <c s="316"/>
    </row>
    <row r="7" spans="1:9" ht="29.25" customHeight="1" thickBot="1">
      <c r="A7" s="1016" t="s">
        <v>410</v>
      </c>
      <c s="1017"/>
      <c s="1007" t="s">
        <v>138</v>
      </c>
      <c s="1007"/>
      <c s="1004"/>
      <c s="115">
        <v>960</v>
      </c>
      <c s="116">
        <v>2215</v>
      </c>
      <c s="117" t="s">
        <v>119</v>
      </c>
      <c s="316"/>
    </row>
    <row r="8" spans="1:9" ht="20.25" customHeight="1" thickBot="1">
      <c r="A8" s="991" t="s">
        <v>170</v>
      </c>
      <c s="992"/>
      <c s="993"/>
      <c s="993"/>
      <c s="993"/>
      <c s="993"/>
      <c s="993"/>
      <c s="993"/>
      <c s="994"/>
    </row>
    <row r="9" spans="1:14" ht="47.25" customHeight="1" thickBot="1">
      <c r="A9" s="415" t="s">
        <v>125</v>
      </c>
      <c s="411" t="s">
        <v>334</v>
      </c>
      <c s="430" t="s">
        <v>15</v>
      </c>
      <c s="430" t="s">
        <v>14</v>
      </c>
      <c s="431" t="s">
        <v>182</v>
      </c>
      <c s="432" t="s">
        <v>20</v>
      </c>
      <c s="512" t="s">
        <v>18</v>
      </c>
      <c s="987" t="s">
        <v>136</v>
      </c>
      <c s="988"/>
      <c s="75"/>
      <c s="25"/>
      <c s="25"/>
      <c s="25"/>
      <c s="25"/>
    </row>
    <row r="10" spans="1:14" ht="36" customHeight="1" thickBot="1">
      <c r="A10" s="130" t="s">
        <v>342</v>
      </c>
      <c s="447">
        <v>18</v>
      </c>
      <c s="433">
        <v>300</v>
      </c>
      <c s="434">
        <v>600</v>
      </c>
      <c s="435">
        <v>0</v>
      </c>
      <c s="436">
        <f>(C10)/1000*(D10)/1000*B10*(680/1000)+(E10/1000*2)</f>
        <v>2.2031999999999998</v>
      </c>
      <c s="511">
        <f t="shared" si="0" ref="G10:G15">F10*C10</f>
        <v>660.95999999999992</v>
      </c>
      <c s="997" t="str">
        <f>IF(C10&lt;150,"Увеличьте высоту фасада (мин. 150 мм)",IF(C10&gt;600,"Уменьшите высоту фасада (макс. 600 мм)",IF(G10&lt;400,"Очень лёгкий фасад, используйте комбинацию механизмов AVENTOS HK-S 20K2A01+20K2C01 или AVENTOS HK-XS",IF(G10&lt;850,"2 силовых механизма AVENTOS HK-S тип C",IF(G10&lt;1000,"2 силовых механизма AVENTOS HK-S, тип С + тип Е",IF(G10&lt;2005,"2 силовых механизма AVENTOS HK-S тип Е",IF(G10&gt;2005,"Очень тяжёлый фасад, используйте механизм AVENTOS HK",)))))))</f>
        <v>2 силовых механизма AVENTOS HK-S тип C</v>
      </c>
      <c s="998"/>
      <c s="75"/>
      <c s="25"/>
      <c s="25"/>
      <c s="25"/>
      <c s="25"/>
    </row>
    <row r="11" spans="1:17" ht="33.75" customHeight="1" thickBot="1">
      <c r="A11" s="514" t="s">
        <v>340</v>
      </c>
      <c s="448">
        <v>16</v>
      </c>
      <c s="438">
        <v>400</v>
      </c>
      <c s="439">
        <v>600</v>
      </c>
      <c s="440">
        <v>0</v>
      </c>
      <c s="513">
        <f>(C11)/1000*(D11)/1000*B11*(760/1000)+(E11/1000*2)</f>
        <v>2.9184000000000001</v>
      </c>
      <c s="441">
        <f t="shared" si="0"/>
        <v>1167.3600000000001</v>
      </c>
      <c s="999" t="str">
        <f>IF(C11&lt;150,"Увеличьте высоту фасада (мин. 150 мм)",IF(C11&gt;600,"Уменьшите высоту фасада (макс. 600 мм)",IF(G11&lt;400,"Очень лёгкий фасад, используйте комбинацию механизмов AVENTOS HK-S 20K2A01+20K2C01 или AVENTOS HK-XS",IF(G11&lt;850,"2 силовых механизма AVENTOS HK-S тип C",IF(G11&lt;1000,"2 силовых механизма AVENTOS HK-S, тип С + тип Е",IF(G11&lt;2005,"2 силовых механизма AVENTOS HK-S тип Е",IF(G11&gt;2005,"Очень тяжёлый фасад, используйте механизм AVENTOS HK",)))))))</f>
        <v>2 силовых механизма AVENTOS HK-S тип Е</v>
      </c>
      <c s="1000"/>
      <c s="77"/>
      <c s="77"/>
      <c s="77"/>
      <c s="966"/>
      <c s="966"/>
      <c s="966"/>
      <c s="966"/>
      <c s="70"/>
    </row>
    <row r="12" spans="1:17" ht="28.5" customHeight="1" thickBot="1">
      <c r="A12" s="976" t="s">
        <v>49</v>
      </c>
      <c s="918"/>
      <c s="443">
        <v>300</v>
      </c>
      <c s="435">
        <v>600</v>
      </c>
      <c s="434">
        <v>0</v>
      </c>
      <c s="442">
        <f>(C12)/1000*(D12)/1000*(11.5+0.3*2)+(E12/1000*2)</f>
        <v>2.1779999999999999</v>
      </c>
      <c s="444">
        <f t="shared" si="0"/>
        <v>653.39999999999998</v>
      </c>
      <c s="971" t="str">
        <f t="shared" si="1" ref="H12:H15">IF(C12&lt;150,"Увеличьте высоту фасада (мин. 150 мм)",IF(C12&gt;600,"Уменьшите высоту фасада (макс. 600 мм)",IF(G12&lt;400,"Очень лёгкий фасад, используйте комбинацию механизмов AVENTOS HK-S 20K2A01+20K2C01 или AVENTOS HK-XS",IF(G12&lt;850,"2 силовых механизма AVENTOS HK-S тип C",IF(G12&lt;1000,"2 силовых механизма AVENTOS HK-S, тип С + тип Е",IF(G12&lt;2005,"2 силовых механизма AVENTOS HK-S тип Е",IF(G12&gt;2005,"Очень тяжёлый фасад, используйте механизм AVENTOS HK",)))))))</f>
        <v>2 силовых механизма AVENTOS HK-S тип C</v>
      </c>
      <c s="972"/>
      <c s="24"/>
      <c s="24"/>
      <c s="24"/>
      <c s="967"/>
      <c s="967"/>
      <c s="967"/>
      <c s="967"/>
      <c s="25"/>
    </row>
    <row r="13" spans="1:17" ht="25.5" customHeight="1" thickBot="1">
      <c r="A13" s="977" t="s">
        <v>37</v>
      </c>
      <c s="778"/>
      <c s="515">
        <v>490</v>
      </c>
      <c s="516">
        <v>900</v>
      </c>
      <c s="439">
        <v>0</v>
      </c>
      <c s="517">
        <f>(C13)/1000*(D13)/1000*(11.5+0.3*2)+(E13/1000*2)</f>
        <v>5.3361000000000001</v>
      </c>
      <c s="441">
        <f t="shared" si="0"/>
        <v>2614.6889999999999</v>
      </c>
      <c s="973" t="str">
        <f t="shared" si="1"/>
        <v>Очень тяжёлый фасад, используйте механизм AVENTOS HK</v>
      </c>
      <c s="974"/>
      <c s="76"/>
      <c s="76"/>
      <c s="76"/>
      <c s="968"/>
      <c s="968"/>
      <c s="968"/>
      <c s="968"/>
      <c s="71"/>
    </row>
    <row r="14" spans="1:17" ht="27" customHeight="1" thickBot="1">
      <c r="A14" s="976" t="s">
        <v>172</v>
      </c>
      <c s="978"/>
      <c s="433">
        <v>400</v>
      </c>
      <c s="434">
        <v>600</v>
      </c>
      <c s="435">
        <v>0</v>
      </c>
      <c s="436">
        <f>(C14)/1000*(D14)/1000*(8.8+0.3*2)+(E14/1000*2)</f>
        <v>2.2559999999999998</v>
      </c>
      <c s="511">
        <f t="shared" si="0"/>
        <v>902.39999999999986</v>
      </c>
      <c s="971" t="str">
        <f t="shared" si="1"/>
        <v>2 силовых механизма AVENTOS HK-S, тип С + тип Е</v>
      </c>
      <c s="972"/>
      <c s="76"/>
      <c s="76"/>
      <c s="76"/>
      <c s="968"/>
      <c s="968"/>
      <c s="968"/>
      <c s="968"/>
      <c s="71"/>
    </row>
    <row r="15" spans="1:17" ht="31.5" customHeight="1" thickBot="1">
      <c r="A15" s="960" t="s">
        <v>289</v>
      </c>
      <c s="904"/>
      <c s="518">
        <v>300</v>
      </c>
      <c s="437">
        <v>300</v>
      </c>
      <c s="519">
        <v>0</v>
      </c>
      <c s="445">
        <f>(C15)/1000*(D15)/1000*4*(2500/1000)+(C15)/1000*(D15)/1000*16*(680/1000)+(E15/1000*2)</f>
        <v>1.8792</v>
      </c>
      <c s="446">
        <f t="shared" si="0"/>
        <v>563.75999999999999</v>
      </c>
      <c s="995" t="str">
        <f t="shared" si="1"/>
        <v>2 силовых механизма AVENTOS HK-S тип C</v>
      </c>
      <c s="996"/>
      <c s="76"/>
      <c s="76"/>
      <c s="76"/>
      <c s="278"/>
      <c s="278"/>
      <c s="278"/>
      <c s="278"/>
      <c s="71"/>
    </row>
    <row r="16" spans="1:17" ht="24" customHeight="1" thickBot="1">
      <c r="A16" s="318" t="s">
        <v>210</v>
      </c>
      <c s="312"/>
      <c r="I16" s="319"/>
      <c s="76"/>
      <c s="76"/>
      <c s="76"/>
      <c s="968"/>
      <c s="968"/>
      <c s="968"/>
      <c s="968"/>
      <c s="71"/>
    </row>
    <row r="17" spans="1:17" ht="24.75" customHeight="1">
      <c r="A17" s="983" t="s">
        <v>161</v>
      </c>
      <c s="984"/>
      <c s="984"/>
      <c s="984"/>
      <c s="984"/>
      <c s="984"/>
      <c s="984"/>
      <c s="985"/>
      <c s="986"/>
      <c s="76"/>
      <c s="76"/>
      <c s="76"/>
      <c s="968"/>
      <c s="968"/>
      <c s="968"/>
      <c s="968"/>
      <c s="71"/>
    </row>
    <row r="18" spans="1:9" ht="21" customHeight="1">
      <c r="A18" s="965" t="s">
        <v>162</v>
      </c>
      <c s="965"/>
      <c s="965"/>
      <c s="975" t="s">
        <v>52</v>
      </c>
      <c s="970"/>
      <c s="67">
        <v>2</v>
      </c>
      <c s="67" t="s">
        <v>76</v>
      </c>
      <c s="963" t="s">
        <v>48</v>
      </c>
      <c s="958"/>
    </row>
    <row r="19" spans="1:9" ht="21" customHeight="1">
      <c r="A19" s="965" t="s">
        <v>163</v>
      </c>
      <c s="965"/>
      <c s="965"/>
      <c s="975" t="s">
        <v>43</v>
      </c>
      <c s="970"/>
      <c s="67">
        <v>1</v>
      </c>
      <c s="67" t="s">
        <v>45</v>
      </c>
      <c s="963" t="s">
        <v>46</v>
      </c>
      <c s="964"/>
    </row>
    <row r="20" spans="1:9" ht="26.25" customHeight="1">
      <c r="A20" s="965" t="s">
        <v>164</v>
      </c>
      <c s="965"/>
      <c s="965"/>
      <c s="975" t="s">
        <v>44</v>
      </c>
      <c s="970"/>
      <c s="67">
        <v>1</v>
      </c>
      <c s="67" t="s">
        <v>45</v>
      </c>
      <c s="963" t="s">
        <v>46</v>
      </c>
      <c s="964"/>
    </row>
    <row r="21" spans="1:9" ht="29.25" customHeight="1">
      <c r="A21" s="965" t="s">
        <v>165</v>
      </c>
      <c s="965"/>
      <c s="965"/>
      <c s="969" t="s">
        <v>77</v>
      </c>
      <c s="970"/>
      <c s="67">
        <v>2</v>
      </c>
      <c s="67" t="s">
        <v>27</v>
      </c>
      <c s="963" t="s">
        <v>40</v>
      </c>
      <c s="964"/>
    </row>
    <row r="22" spans="1:9" ht="24.75" customHeight="1">
      <c r="A22" s="965" t="s">
        <v>168</v>
      </c>
      <c s="965"/>
      <c s="965"/>
      <c s="975" t="s">
        <v>159</v>
      </c>
      <c s="970"/>
      <c s="67">
        <v>1</v>
      </c>
      <c s="67"/>
      <c s="963" t="s">
        <v>48</v>
      </c>
      <c s="964"/>
    </row>
    <row r="23" spans="1:9" ht="24.75" customHeight="1">
      <c r="A23" s="965" t="s">
        <v>166</v>
      </c>
      <c s="965"/>
      <c s="965"/>
      <c s="975" t="s">
        <v>160</v>
      </c>
      <c s="970"/>
      <c s="67">
        <v>1</v>
      </c>
      <c s="67"/>
      <c s="963" t="s">
        <v>48</v>
      </c>
      <c s="964"/>
    </row>
    <row r="24" spans="1:9" ht="27.75" customHeight="1">
      <c r="A24" s="1008" t="s">
        <v>167</v>
      </c>
      <c s="1009"/>
      <c s="1009"/>
      <c s="975" t="s">
        <v>47</v>
      </c>
      <c s="970"/>
      <c s="67">
        <v>1</v>
      </c>
      <c s="67"/>
      <c s="963" t="s">
        <v>48</v>
      </c>
      <c s="964"/>
    </row>
    <row r="25" ht="24" customHeight="1"/>
    <row r="26" spans="1:9" ht="32.25" customHeight="1" thickBot="1">
      <c r="A26" s="961" t="s">
        <v>465</v>
      </c>
      <c s="749"/>
      <c s="749"/>
      <c s="749"/>
      <c s="749"/>
      <c s="749"/>
      <c s="749"/>
      <c s="749"/>
      <c s="962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protectedRanges>
    <protectedRange sqref="C10:E15" name="Диапазон1"/>
  </protectedRanges>
  <customSheetViews>
    <customSheetView guid="{a25b6f15-9b48-4230-9c30-183637d1319e}" hiddenRows="1" showGridLines="0" topLeftCell="A2">
      <selection pane="topLeft" activeCell="F11" sqref="F11:G11"/>
      <pageMargins left="0.75" right="0.75" top="1" bottom="1" header="0.5" footer="0.5"/>
      <pageSetup orientation="portrait" paperSize="9" r:id="rId5"/>
      <headerFooter alignWithMargins="0"/>
    </customSheetView>
  </customSheetViews>
  <mergeCells count="57">
    <mergeCell ref="D24:E24"/>
    <mergeCell ref="C2:E3"/>
    <mergeCell ref="C5:E5"/>
    <mergeCell ref="C6:E6"/>
    <mergeCell ref="C7:E7"/>
    <mergeCell ref="A24:C24"/>
    <mergeCell ref="A2:B3"/>
    <mergeCell ref="A5:B5"/>
    <mergeCell ref="A6:B6"/>
    <mergeCell ref="A7:B7"/>
    <mergeCell ref="D22:E22"/>
    <mergeCell ref="A1:I1"/>
    <mergeCell ref="A18:C18"/>
    <mergeCell ref="A19:C19"/>
    <mergeCell ref="A20:C20"/>
    <mergeCell ref="A17:I17"/>
    <mergeCell ref="H9:I9"/>
    <mergeCell ref="F2:G2"/>
    <mergeCell ref="C4:D4"/>
    <mergeCell ref="A8:I8"/>
    <mergeCell ref="D18:E18"/>
    <mergeCell ref="D19:E19"/>
    <mergeCell ref="D20:E20"/>
    <mergeCell ref="H15:I15"/>
    <mergeCell ref="H14:I14"/>
    <mergeCell ref="H10:I10"/>
    <mergeCell ref="H11:I11"/>
    <mergeCell ref="H12:I12"/>
    <mergeCell ref="H13:I13"/>
    <mergeCell ref="A23:C23"/>
    <mergeCell ref="H18:I18"/>
    <mergeCell ref="H19:I19"/>
    <mergeCell ref="H20:I20"/>
    <mergeCell ref="H21:I21"/>
    <mergeCell ref="H22:I22"/>
    <mergeCell ref="H23:I23"/>
    <mergeCell ref="D23:E23"/>
    <mergeCell ref="A12:B12"/>
    <mergeCell ref="A13:B13"/>
    <mergeCell ref="A14:B14"/>
    <mergeCell ref="A15:B15"/>
    <mergeCell ref="A26:I26"/>
    <mergeCell ref="H24:I24"/>
    <mergeCell ref="A21:C21"/>
    <mergeCell ref="A22:C22"/>
    <mergeCell ref="M11:P11"/>
    <mergeCell ref="M12:N12"/>
    <mergeCell ref="O12:P12"/>
    <mergeCell ref="M13:N13"/>
    <mergeCell ref="O13:P13"/>
    <mergeCell ref="M17:N17"/>
    <mergeCell ref="O17:P17"/>
    <mergeCell ref="M14:N14"/>
    <mergeCell ref="O14:P14"/>
    <mergeCell ref="M16:N16"/>
    <mergeCell ref="O16:P16"/>
    <mergeCell ref="D21:E21"/>
  </mergeCells>
  <conditionalFormatting sqref="H10:I15">
    <cfRule type="containsText" priority="10" dxfId="85" operator="containsText" text="уменьшите высоту фасада">
      <formula>NOT(ISERROR(SEARCH("уменьшите высоту фасада",H10)))</formula>
    </cfRule>
    <cfRule type="containsText" priority="11" dxfId="85" operator="containsText" text="увеличьте высоту фасада">
      <formula>NOT(ISERROR(SEARCH("увеличьте высоту фасада",H10)))</formula>
    </cfRule>
    <cfRule type="containsText" priority="15" dxfId="85" operator="containsText" stopIfTrue="1" text="очень">
      <formula>NOT(ISERROR(SEARCH("очень",H10)))</formula>
    </cfRule>
  </conditionalFormatting>
  <hyperlinks>
    <hyperlink ref="J1" location="Содержание!R1C1" display="← СОДЕРЖАНИЕ:"/>
  </hyperlinks>
  <pageMargins left="0.75" right="0.75" top="1" bottom="1" header="0.5" footer="0.5"/>
  <pageSetup orientation="portrait" paperSize="9" r:id="rId4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>
    <tabColor theme="7" tint="-0.249960005283356"/>
  </sheetPr>
  <dimension ref="A1:AP59"/>
  <sheetViews>
    <sheetView showGridLines="0" zoomScale="80" zoomScaleNormal="80" workbookViewId="0" topLeftCell="D1">
      <selection pane="topLeft" activeCell="V1" sqref="V1"/>
    </sheetView>
  </sheetViews>
  <sheetFormatPr defaultRowHeight="12.75"/>
  <cols>
    <col min="1" max="1" width="12.5714285714286" customWidth="1"/>
    <col min="2" max="2" width="20.5714285714286" customWidth="1"/>
    <col min="3" max="3" width="13.7142857142857" customWidth="1"/>
    <col min="4" max="4" width="12.1428571428571" customWidth="1"/>
    <col min="5" max="5" width="15.1428571428571" customWidth="1"/>
    <col min="6" max="6" width="17.1428571428571" customWidth="1"/>
    <col min="7" max="7" width="11.8571428571429" customWidth="1"/>
    <col min="8" max="8" width="10.2857142857143" customWidth="1"/>
    <col min="9" max="9" width="14.4285714285714" customWidth="1"/>
    <col min="10" max="10" width="11.5714285714286" customWidth="1"/>
    <col min="11" max="12" width="11.2857142857143" customWidth="1"/>
    <col min="13" max="13" width="4.57142857142857" customWidth="1"/>
    <col min="14" max="14" width="12.7142857142857" customWidth="1"/>
    <col min="15" max="15" width="11.4285714285714" customWidth="1"/>
    <col min="16" max="16" width="14.2857142857143" customWidth="1"/>
    <col min="17" max="17" width="13.4285714285714" customWidth="1"/>
    <col min="18" max="18" width="8.28571428571429" customWidth="1"/>
    <col min="19" max="19" width="9.14285714285714" customWidth="1"/>
    <col min="20" max="20" width="9.42857142857143" customWidth="1"/>
    <col min="21" max="21" width="8.28571428571429" customWidth="1"/>
    <col min="22" max="22" width="24" customWidth="1"/>
    <col min="23" max="23" width="10.1428571428571" customWidth="1"/>
    <col min="24" max="24" width="10.2857142857143" customWidth="1"/>
    <col min="25" max="25" width="12.1428571428571" customWidth="1"/>
    <col min="27" max="31" width="9.14285714285714" style="7"/>
    <col min="32" max="32" width="0" style="7" hidden="1" customWidth="1"/>
    <col min="33" max="42" width="9.14285714285714" style="7" hidden="1" customWidth="1"/>
    <col min="43" max="46" width="9.14285714285714" style="7" customWidth="1"/>
    <col min="47" max="51" width="9.14285714285714" style="7"/>
  </cols>
  <sheetData>
    <row r="1" spans="1:22" ht="51.75" customHeight="1" thickBot="1">
      <c r="A1" s="1091"/>
      <c s="1092"/>
      <c s="1092"/>
      <c s="1092"/>
      <c s="1092"/>
      <c s="1092"/>
      <c s="1092"/>
      <c s="1092"/>
      <c s="1092"/>
      <c s="1092"/>
      <c s="1093"/>
      <c s="1093"/>
      <c s="1093"/>
      <c s="1093"/>
      <c s="1093"/>
      <c s="1093"/>
      <c s="1093"/>
      <c s="1093"/>
      <c s="1093"/>
      <c s="1093"/>
      <c s="1093"/>
      <c s="339" t="s">
        <v>295</v>
      </c>
    </row>
    <row r="2" spans="1:21" ht="24" customHeight="1" thickBot="1">
      <c r="A2" s="953" t="s">
        <v>149</v>
      </c>
      <c s="954"/>
      <c s="954"/>
      <c s="1102"/>
      <c s="1106" t="s">
        <v>141</v>
      </c>
      <c s="1107"/>
      <c s="1107"/>
      <c s="1107"/>
      <c s="1108"/>
      <c s="73"/>
      <c s="94"/>
      <c s="94"/>
      <c s="73"/>
      <c s="953" t="s">
        <v>145</v>
      </c>
      <c s="954"/>
      <c s="954"/>
      <c s="1102"/>
      <c s="1106" t="s">
        <v>141</v>
      </c>
      <c s="1107"/>
      <c s="1107"/>
      <c s="1108"/>
    </row>
    <row r="3" spans="1:21" ht="21" customHeight="1" thickBot="1">
      <c r="A3" s="1103"/>
      <c s="1104"/>
      <c s="1104"/>
      <c s="1105"/>
      <c s="1109" t="s">
        <v>23</v>
      </c>
      <c s="1110"/>
      <c s="1112" t="s">
        <v>24</v>
      </c>
      <c s="925"/>
      <c s="916"/>
      <c s="73"/>
      <c s="95"/>
      <c s="95"/>
      <c s="96"/>
      <c s="1103"/>
      <c s="1104"/>
      <c s="1104"/>
      <c s="1105"/>
      <c s="1109" t="s">
        <v>23</v>
      </c>
      <c s="1110"/>
      <c s="1110" t="s">
        <v>24</v>
      </c>
      <c s="1111"/>
    </row>
    <row r="4" spans="1:21" ht="27" customHeight="1">
      <c r="A4" s="953" t="s">
        <v>144</v>
      </c>
      <c s="1067"/>
      <c s="1067"/>
      <c s="97" t="s">
        <v>81</v>
      </c>
      <c s="1070">
        <v>200</v>
      </c>
      <c s="1071"/>
      <c s="1113">
        <v>1000</v>
      </c>
      <c s="1114"/>
      <c s="1115"/>
      <c s="73"/>
      <c s="95"/>
      <c s="95"/>
      <c s="96"/>
      <c s="953" t="s">
        <v>146</v>
      </c>
      <c s="1067"/>
      <c s="1067"/>
      <c s="97" t="s">
        <v>81</v>
      </c>
      <c s="1070">
        <v>180</v>
      </c>
      <c s="1071"/>
      <c s="1071">
        <v>800</v>
      </c>
      <c s="1095"/>
    </row>
    <row r="5" spans="1:21" ht="27" customHeight="1" thickBot="1">
      <c r="A5" s="1068"/>
      <c s="1069"/>
      <c s="1069"/>
      <c s="98" t="s">
        <v>83</v>
      </c>
      <c s="1096">
        <v>400</v>
      </c>
      <c s="1097"/>
      <c s="1116">
        <v>2000</v>
      </c>
      <c s="1117"/>
      <c s="730"/>
      <c s="73"/>
      <c s="95"/>
      <c s="95"/>
      <c s="96"/>
      <c s="1068"/>
      <c s="1069"/>
      <c s="1069"/>
      <c s="98" t="s">
        <v>83</v>
      </c>
      <c s="1096">
        <v>360</v>
      </c>
      <c s="1097"/>
      <c s="1097">
        <v>1600</v>
      </c>
      <c s="1098"/>
    </row>
    <row r="6" spans="1:21" ht="27" customHeight="1">
      <c r="A6" s="953" t="s">
        <v>143</v>
      </c>
      <c s="1067"/>
      <c s="1067"/>
      <c s="99" t="s">
        <v>81</v>
      </c>
      <c s="1070">
        <v>500</v>
      </c>
      <c s="1071"/>
      <c s="1113">
        <v>1500</v>
      </c>
      <c s="1114"/>
      <c s="1115"/>
      <c s="73"/>
      <c s="95"/>
      <c s="95"/>
      <c s="73"/>
      <c s="953" t="s">
        <v>147</v>
      </c>
      <c s="1067"/>
      <c s="1067"/>
      <c s="99" t="s">
        <v>81</v>
      </c>
      <c s="1070">
        <v>500</v>
      </c>
      <c s="1071"/>
      <c s="1071">
        <v>1200</v>
      </c>
      <c s="1095"/>
    </row>
    <row r="7" spans="1:21" ht="24.75" customHeight="1" thickBot="1">
      <c r="A7" s="1068"/>
      <c s="1069"/>
      <c s="1069"/>
      <c s="98" t="s">
        <v>83</v>
      </c>
      <c s="1096">
        <v>1000</v>
      </c>
      <c s="1097"/>
      <c s="1116">
        <v>3000</v>
      </c>
      <c s="1117"/>
      <c s="730"/>
      <c s="73"/>
      <c s="95"/>
      <c s="95"/>
      <c s="73"/>
      <c s="1068"/>
      <c s="1069"/>
      <c s="1069"/>
      <c s="98" t="s">
        <v>83</v>
      </c>
      <c s="1096">
        <v>1000</v>
      </c>
      <c s="1097"/>
      <c s="1097">
        <v>2400</v>
      </c>
      <c s="1098"/>
    </row>
    <row r="8" spans="1:21" ht="30.75" customHeight="1">
      <c r="A8" s="953" t="s">
        <v>142</v>
      </c>
      <c s="1067"/>
      <c s="1067"/>
      <c s="100" t="s">
        <v>81</v>
      </c>
      <c s="1099">
        <v>800</v>
      </c>
      <c s="1100"/>
      <c s="1113">
        <v>1800</v>
      </c>
      <c s="1114"/>
      <c s="1115"/>
      <c s="73"/>
      <c s="73"/>
      <c s="73"/>
      <c s="73"/>
      <c s="953" t="s">
        <v>148</v>
      </c>
      <c s="1067"/>
      <c s="1067"/>
      <c s="100" t="s">
        <v>81</v>
      </c>
      <c s="1099">
        <v>800</v>
      </c>
      <c s="1100"/>
      <c s="1100">
        <v>1600</v>
      </c>
      <c s="1101"/>
    </row>
    <row r="9" spans="1:21" ht="25.5" customHeight="1" thickBot="1">
      <c r="A9" s="1068"/>
      <c s="1069"/>
      <c s="1069"/>
      <c s="98" t="s">
        <v>83</v>
      </c>
      <c s="1096">
        <v>1600</v>
      </c>
      <c s="1097"/>
      <c s="1116">
        <v>3600</v>
      </c>
      <c s="1117"/>
      <c s="730"/>
      <c s="73"/>
      <c s="73"/>
      <c s="73"/>
      <c s="73"/>
      <c s="1068"/>
      <c s="1069"/>
      <c s="1069"/>
      <c s="98" t="s">
        <v>83</v>
      </c>
      <c s="1096">
        <v>1600</v>
      </c>
      <c s="1097"/>
      <c s="1097">
        <v>3200</v>
      </c>
      <c s="1098"/>
    </row>
    <row r="10" spans="1:21" ht="27.75" customHeight="1" thickBot="1">
      <c r="A10" s="1094" t="s">
        <v>171</v>
      </c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  <c s="1094"/>
    </row>
    <row r="11" spans="1:21" ht="45" customHeight="1" thickBot="1">
      <c r="A11" s="1085" t="s">
        <v>125</v>
      </c>
      <c s="744"/>
      <c s="744"/>
      <c s="411" t="s">
        <v>334</v>
      </c>
      <c s="101" t="s">
        <v>15</v>
      </c>
      <c s="102" t="s">
        <v>14</v>
      </c>
      <c s="309" t="s">
        <v>182</v>
      </c>
      <c s="103" t="s">
        <v>78</v>
      </c>
      <c s="277" t="s">
        <v>18</v>
      </c>
      <c s="1120" t="s">
        <v>150</v>
      </c>
      <c s="1121"/>
      <c s="1121"/>
      <c s="1121"/>
      <c s="1121"/>
      <c s="1122"/>
      <c s="1120" t="s">
        <v>151</v>
      </c>
      <c s="1121"/>
      <c s="1121"/>
      <c s="1121"/>
      <c s="1121"/>
      <c s="1122"/>
    </row>
    <row r="12" spans="1:21" ht="41.25" customHeight="1" thickBot="1">
      <c r="A12" s="1063" t="s">
        <v>343</v>
      </c>
      <c s="1086"/>
      <c s="1087"/>
      <c s="449">
        <v>18</v>
      </c>
      <c s="451">
        <v>460</v>
      </c>
      <c s="451">
        <v>600</v>
      </c>
      <c s="451">
        <v>0</v>
      </c>
      <c s="104">
        <f>(E12)/1000*(F12)/1000*D12*(680/1000)+(G12/1000*2)</f>
        <v>3.3782400000000004</v>
      </c>
      <c s="105">
        <f>H12*E12</f>
        <v>1553.9904000000001</v>
      </c>
      <c s="1032" t="str">
        <f>IF(E12&lt;240,"Увеличьте высоту фасада (мин. 240 мм)",IF(E12&gt;600,"Уменьшите высоту фасада (макс. 600 мм)",IF(I12&lt;400,"Очень лёгкий фасад, используйте 1 силовой механизм AVENTOS HK-XS тип 11",IF(I12&lt;1200,"2 силовых механизма AVENTOS HK-XS тип 11 или 1 силовой механизм AVENTOS HK-XS тип 13",IF(I12&lt;1350,"2 силовых механизма AVENTOS HK-XS тип 13 или 1 силовой механизм AVENTOS HK-XS тип 15",IF(I12&lt;1700,"2 силовых механизма AVENTOS HK-XS тип 13 или 1 силовой механизм AVENTOS HK-XS тип 15",IF(I12&lt;3600,"2 силовых механизма AVENTOS HK-XS тип 15",IF(I12&gt;3600,"Очень тяжёлый фасад, используйте механизм AVENTOS HK",))))))))</f>
        <v>2 силовых механизма AVENTOS HK-XS тип 13 или 1 силовой механизм AVENTOS HK-XS тип 15</v>
      </c>
      <c s="1033"/>
      <c s="1033"/>
      <c s="1033"/>
      <c s="1033"/>
      <c s="1034"/>
      <c s="1033" t="str">
        <f t="shared" si="0" ref="P12:P17">IF(E12&lt;240,"Увеличьте высоту фасада (мин. 240 мм)",IF(E12&gt;600,"Уменьшите высоту фасада (макс. 600 мм)",IF(I12&lt;360,"Очень лёгкий фасад, используйте 1 силовой механизм AVENTOS HK-XS тип 11Т",IF(I12&lt;1150,"2 силовых механизма AVENTOS HK-XS тип 11Т или 1 силовой механизм AVENTOS HK-XS тип 13Т",IF(I12&lt;1350,"2 силовых механизма AVENTOS HK-XS тип 13Т или 1 силовой механизм AVENTOS HK-XS тип 15Т",IF(I12&lt;1600,"2 силовых механизма AVENTOS HK-XS тип 13Т или 1 силовой механизм AVENTOS HK-XS тип 15Т",IF(I12&lt;3200,"2 силовых механизма AVENTOS HK-XS тип 15Т",IF(I12&gt;3200,"Очень тяжёлый фасад, используйте механизм AVENTOS HK",))))))))</f>
        <v>2 силовых механизма AVENTOS HK-XS тип 13Т или 1 силовой механизм AVENTOS HK-XS тип 15Т</v>
      </c>
      <c s="1033"/>
      <c s="1033"/>
      <c s="1033"/>
      <c s="1033"/>
      <c s="1034"/>
    </row>
    <row r="13" spans="1:21" ht="34.5" customHeight="1" thickBot="1">
      <c r="A13" s="1088" t="s">
        <v>344</v>
      </c>
      <c s="1089"/>
      <c s="1090"/>
      <c s="450">
        <v>18</v>
      </c>
      <c s="452">
        <v>400</v>
      </c>
      <c s="452">
        <v>740</v>
      </c>
      <c s="452">
        <v>0</v>
      </c>
      <c s="104">
        <f>(E13)/1000*(F13)/1000*D13*(760/1000)+(G13/1000*2)</f>
        <v>4.0492799999999995</v>
      </c>
      <c s="107">
        <f t="shared" si="1" ref="I13:I17">H13*E13</f>
        <v>1619.7119999999998</v>
      </c>
      <c s="1029" t="str">
        <f t="shared" si="2" ref="J13:J16">IF(E13&lt;240,"Увеличьте высоту фасада (мин. 240 мм)",IF(E13&gt;600,"Уменьшите высоту фасада (макс. 600 мм)",IF(I13&lt;400,"Очень лёгкий фасад, используйте 1 силовой механизм AVENTOS HK-XS тип 11",IF(I13&lt;1200,"2 силовых механизма AVENTOS HK-XS тип 11 или 1 силовой механизм AVENTOS HK-XS тип 13",IF(I13&lt;1350,"2 силовых механизма AVENTOS HK-XS тип 13 или 1 силовой механизм AVENTOS HK-XS тип 15",IF(I13&lt;1700,"2 силовых механизма AVENTOS HK-XS тип 13 или 1 силовой механизм AVENTOS HK-XS тип 15",IF(I13&lt;3600,"2 силовых механизма AVENTOS HK-XS тип 15",IF(I13&gt;3600,"Очень тяжёлый фасад, используйте механизм AVENTOS HK",))))))))</f>
        <v>2 силовых механизма AVENTOS HK-XS тип 13 или 1 силовой механизм AVENTOS HK-XS тип 15</v>
      </c>
      <c s="1030"/>
      <c s="1030"/>
      <c s="1030"/>
      <c s="1030"/>
      <c s="1031"/>
      <c s="1030" t="str">
        <f t="shared" si="0"/>
        <v>2 силовых механизма AVENTOS HK-XS тип 15Т</v>
      </c>
      <c s="1030"/>
      <c s="1030"/>
      <c s="1030"/>
      <c s="1030"/>
      <c s="1031"/>
    </row>
    <row r="14" spans="1:21" ht="39" customHeight="1" thickBot="1">
      <c r="A14" s="1063" t="s">
        <v>79</v>
      </c>
      <c s="745"/>
      <c s="745"/>
      <c s="746"/>
      <c s="451">
        <v>600</v>
      </c>
      <c s="451">
        <v>450</v>
      </c>
      <c s="451">
        <v>0</v>
      </c>
      <c s="104">
        <f>(E14-4)/1000*(F14-4)/1000*(11.5+0.3*2)+(G14/1000)</f>
        <v>3.2163735999999998</v>
      </c>
      <c s="108">
        <f t="shared" si="1"/>
        <v>1929.8241599999999</v>
      </c>
      <c s="1032" t="str">
        <f t="shared" si="2"/>
        <v>2 силовых механизма AVENTOS HK-XS тип 15</v>
      </c>
      <c s="1033"/>
      <c s="1033"/>
      <c s="1033"/>
      <c s="1033"/>
      <c s="1034"/>
      <c s="1033" t="str">
        <f t="shared" si="0"/>
        <v>2 силовых механизма AVENTOS HK-XS тип 15Т</v>
      </c>
      <c s="1033"/>
      <c s="1033"/>
      <c s="1033"/>
      <c s="1033"/>
      <c s="1034"/>
    </row>
    <row r="15" spans="1:21" ht="38.25" customHeight="1" thickBot="1">
      <c r="A15" s="1040" t="s">
        <v>80</v>
      </c>
      <c s="1041"/>
      <c s="1041"/>
      <c s="904"/>
      <c s="452">
        <v>400</v>
      </c>
      <c s="452">
        <v>800</v>
      </c>
      <c s="452">
        <v>0</v>
      </c>
      <c s="106">
        <f>(E15-4)/1000*(F15-4)/1000*(11.5+0.3*2)+(G15/1000)</f>
        <v>3.8141135999999998</v>
      </c>
      <c s="109">
        <f t="shared" si="1"/>
        <v>1525.64544</v>
      </c>
      <c s="1029" t="str">
        <f t="shared" si="2"/>
        <v>2 силовых механизма AVENTOS HK-XS тип 13 или 1 силовой механизм AVENTOS HK-XS тип 15</v>
      </c>
      <c s="1030"/>
      <c s="1030"/>
      <c s="1030"/>
      <c s="1030"/>
      <c s="1031"/>
      <c s="1030" t="str">
        <f t="shared" si="0"/>
        <v>2 силовых механизма AVENTOS HK-XS тип 13Т или 1 силовой механизм AVENTOS HK-XS тип 15Т</v>
      </c>
      <c s="1030"/>
      <c s="1030"/>
      <c s="1030"/>
      <c s="1030"/>
      <c s="1031"/>
    </row>
    <row r="16" spans="1:21" ht="35.25" customHeight="1" thickBot="1">
      <c r="A16" s="1037" t="s">
        <v>172</v>
      </c>
      <c s="1038"/>
      <c s="1038"/>
      <c s="1039"/>
      <c s="451">
        <v>450</v>
      </c>
      <c s="451">
        <v>600</v>
      </c>
      <c s="451">
        <v>0</v>
      </c>
      <c s="110">
        <f>(E16-4)/1000*(F16-4)/1000*(8.8+0.3*2)+(G16/1000)</f>
        <v>2.4986704000000004</v>
      </c>
      <c s="111">
        <f t="shared" si="1"/>
        <v>1124.4016800000002</v>
      </c>
      <c s="1032" t="str">
        <f t="shared" si="2"/>
        <v>2 силовых механизма AVENTOS HK-XS тип 11 или 1 силовой механизм AVENTOS HK-XS тип 13</v>
      </c>
      <c s="1033"/>
      <c s="1033"/>
      <c s="1033"/>
      <c s="1033"/>
      <c s="1034"/>
      <c s="1033" t="str">
        <f t="shared" si="0"/>
        <v>2 силовых механизма AVENTOS HK-XS тип 11Т или 1 силовой механизм AVENTOS HK-XS тип 13Т</v>
      </c>
      <c s="1033"/>
      <c s="1033"/>
      <c s="1033"/>
      <c s="1033"/>
      <c s="1034"/>
    </row>
    <row r="17" spans="1:21" ht="35.25" customHeight="1" thickBot="1">
      <c r="A17" s="1064" t="s">
        <v>289</v>
      </c>
      <c s="1065"/>
      <c s="1065"/>
      <c s="1066"/>
      <c s="451">
        <v>350</v>
      </c>
      <c s="451">
        <v>600</v>
      </c>
      <c s="451">
        <v>0</v>
      </c>
      <c s="110">
        <f>(E17)/1000*(F17)/1000*4*(2500/1000)+(E17)/1000*(F17)/1000*16*(680/1000)+(G17/1000)</f>
        <v>4.3848000000000003</v>
      </c>
      <c s="111">
        <f t="shared" si="1"/>
        <v>1534.6800000000001</v>
      </c>
      <c s="1032" t="str">
        <f t="shared" si="3" ref="J17">IF(E17&lt;240,"Увеличьте высоту фасада (мин. 240 мм)",IF(E17&gt;600,"Уменьшите высоту фасада (макс. 600 мм)",IF(I17&lt;400,"Очень лёгкий фасад, используйте 1 силовой механизм AVENTOS HK-XS тип 11",IF(I17&lt;1200,"2 силовых механизма AVENTOS HK-XS тип 11 или 1 силовой механизм AVENTOS HK-XS тип 13",IF(I17&lt;1350,"2 силовых механизма AVENTOS HK-XS тип 13 или 1 силовой механизм AVENTOS HK-XS тип 15",IF(I17&lt;1700,"2 силовых механизма AVENTOS HK-XS тип 13 или 1 силовой механизм AVENTOS HK-XS тип 15",IF(I17&lt;3600,"2 силовых механизма AVENTOS HK-XS тип 15",IF(I17&gt;3600,"Очень тяжёлый фасад, используйте механизм AVENTOS HK",))))))))</f>
        <v>2 силовых механизма AVENTOS HK-XS тип 13 или 1 силовой механизм AVENTOS HK-XS тип 15</v>
      </c>
      <c s="1033"/>
      <c s="1033"/>
      <c s="1033"/>
      <c s="1033"/>
      <c s="1034"/>
      <c s="1033" t="str">
        <f t="shared" si="0"/>
        <v>2 силовых механизма AVENTOS HK-XS тип 13Т или 1 силовой механизм AVENTOS HK-XS тип 15Т</v>
      </c>
      <c s="1033"/>
      <c s="1033"/>
      <c s="1033"/>
      <c s="1033"/>
      <c s="1034"/>
    </row>
    <row r="18" spans="1:41" ht="23.25" customHeight="1" thickBot="1">
      <c r="A18" s="1035" t="s">
        <v>293</v>
      </c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s="1036"/>
      <c r="AH18" s="566"/>
      <c s="566"/>
      <c s="566"/>
      <c s="566"/>
      <c s="566"/>
      <c s="566"/>
      <c s="566"/>
      <c s="566"/>
    </row>
    <row r="19" spans="1:41" ht="37.5" customHeight="1">
      <c r="A19" s="1075" t="s">
        <v>87</v>
      </c>
      <c s="1076"/>
      <c s="1076"/>
      <c s="1076"/>
      <c s="1076"/>
      <c s="1076"/>
      <c s="1076"/>
      <c s="1076"/>
      <c s="1076"/>
      <c s="1076"/>
      <c s="1076"/>
      <c s="1077"/>
      <c s="522"/>
      <c s="1072" t="s">
        <v>356</v>
      </c>
      <c s="1073"/>
      <c s="1073"/>
      <c s="1074"/>
      <c s="549"/>
      <c s="1082" t="s">
        <v>357</v>
      </c>
      <c s="1083"/>
      <c s="1083"/>
      <c s="1083"/>
      <c s="1084"/>
      <c s="523"/>
      <c r="AH19" s="566"/>
      <c s="566"/>
      <c s="566"/>
      <c s="566"/>
      <c s="566"/>
      <c s="566"/>
      <c s="566"/>
      <c s="566"/>
    </row>
    <row r="20" spans="1:42" ht="28.5" customHeight="1">
      <c r="A20" s="1118" t="s">
        <v>152</v>
      </c>
      <c s="1119"/>
      <c s="1119"/>
      <c s="1119"/>
      <c s="1119"/>
      <c s="1119"/>
      <c s="1119"/>
      <c s="1119"/>
      <c s="1119"/>
      <c s="1119"/>
      <c s="1119"/>
      <c s="1119"/>
      <c s="69"/>
      <c s="1049" t="s">
        <v>358</v>
      </c>
      <c s="1050"/>
      <c s="1050"/>
      <c s="1051"/>
      <c s="538"/>
      <c s="1049" t="s">
        <v>358</v>
      </c>
      <c s="1081"/>
      <c s="1081"/>
      <c s="1081"/>
      <c s="776"/>
      <c s="543"/>
      <c r="AG20" s="567"/>
      <c s="573"/>
      <c s="573"/>
      <c s="573"/>
      <c s="573"/>
      <c s="573"/>
      <c s="573"/>
      <c s="573"/>
      <c s="573"/>
      <c s="567"/>
    </row>
    <row r="21" spans="1:42" ht="59.25" customHeight="1">
      <c r="A21" s="1045" t="s">
        <v>88</v>
      </c>
      <c s="1046"/>
      <c s="1046"/>
      <c s="1046"/>
      <c s="1046"/>
      <c s="1058"/>
      <c s="1058"/>
      <c s="1058"/>
      <c s="1058"/>
      <c s="545" t="s">
        <v>89</v>
      </c>
      <c s="546" t="s">
        <v>84</v>
      </c>
      <c s="546" t="s">
        <v>85</v>
      </c>
      <c r="N21" s="1059" t="s">
        <v>388</v>
      </c>
      <c s="1060"/>
      <c s="1061" t="s">
        <v>361</v>
      </c>
      <c s="1062"/>
      <c s="533"/>
      <c s="1078" t="s">
        <v>389</v>
      </c>
      <c s="1079"/>
      <c s="1080"/>
      <c s="1061" t="s">
        <v>390</v>
      </c>
      <c s="834"/>
      <c s="544"/>
      <c r="AF21" s="492"/>
      <c s="568"/>
      <c s="574" t="str">
        <f>IF(AK21=1,"0",IF(AK21=2,"9,5 "))</f>
        <v>0</v>
      </c>
      <c s="575" t="s">
        <v>359</v>
      </c>
      <c s="573">
        <v>0</v>
      </c>
      <c s="573">
        <v>1</v>
      </c>
      <c s="573"/>
      <c s="573" t="str">
        <f>IF(AK21=1,"0",IF(AK21=2,"9,5 "))</f>
        <v>0</v>
      </c>
      <c s="573"/>
      <c s="573"/>
      <c s="567"/>
    </row>
    <row r="22" spans="1:42" ht="33" customHeight="1">
      <c r="A22" s="1045" t="s">
        <v>91</v>
      </c>
      <c s="1058"/>
      <c s="1058"/>
      <c s="1058"/>
      <c s="1058"/>
      <c s="1058"/>
      <c s="1058"/>
      <c s="1058"/>
      <c s="1058"/>
      <c s="1044">
        <v>1</v>
      </c>
      <c s="1044"/>
      <c s="1044"/>
      <c s="7"/>
      <c s="1052"/>
      <c s="1053"/>
      <c s="1054"/>
      <c s="1055"/>
      <c s="529"/>
      <c s="1024"/>
      <c s="1025"/>
      <c s="1026"/>
      <c s="541"/>
      <c s="550"/>
      <c s="70"/>
      <c r="AF22" s="492"/>
      <c s="568"/>
      <c s="574">
        <f>AK26</f>
        <v>18</v>
      </c>
      <c s="575" t="s">
        <v>360</v>
      </c>
      <c s="573">
        <v>9.5</v>
      </c>
      <c s="573"/>
      <c s="573"/>
      <c s="573"/>
      <c s="573"/>
      <c s="573"/>
      <c s="567"/>
    </row>
    <row r="23" spans="1:42" ht="30" customHeight="1">
      <c r="A23" s="1045" t="s">
        <v>93</v>
      </c>
      <c s="1046"/>
      <c s="1046"/>
      <c s="1046"/>
      <c s="1046"/>
      <c s="1047" t="s">
        <v>94</v>
      </c>
      <c s="1047"/>
      <c s="1047"/>
      <c s="1047"/>
      <c s="1044" t="s">
        <v>95</v>
      </c>
      <c s="1044"/>
      <c s="1044"/>
      <c r="N23" s="1056"/>
      <c s="537"/>
      <c s="524"/>
      <c s="556"/>
      <c s="533"/>
      <c s="561"/>
      <c s="542"/>
      <c s="542"/>
      <c s="70"/>
      <c s="551"/>
      <c s="70"/>
      <c r="AF23" s="492"/>
      <c s="568"/>
      <c s="573"/>
      <c s="573"/>
      <c s="573"/>
      <c s="573"/>
      <c s="573"/>
      <c s="573"/>
      <c s="573"/>
      <c s="573"/>
      <c s="567"/>
    </row>
    <row r="24" spans="1:42" ht="39" customHeight="1">
      <c r="A24" s="1046"/>
      <c s="1046"/>
      <c s="1046"/>
      <c s="1046"/>
      <c s="1046"/>
      <c s="1047" t="s">
        <v>96</v>
      </c>
      <c s="1047"/>
      <c s="1047"/>
      <c s="1047"/>
      <c s="1044" t="s">
        <v>27</v>
      </c>
      <c s="1044"/>
      <c s="1044"/>
      <c r="N24" s="1057"/>
      <c s="537"/>
      <c s="524"/>
      <c s="556"/>
      <c s="533"/>
      <c s="561"/>
      <c s="542"/>
      <c s="542"/>
      <c s="70"/>
      <c s="1022">
        <f>125.5+AL26+AM21</f>
        <v>141.5</v>
      </c>
      <c s="70"/>
      <c r="AF24" s="492"/>
      <c s="568"/>
      <c s="573"/>
      <c s="573"/>
      <c s="573"/>
      <c s="573"/>
      <c s="573"/>
      <c s="573"/>
      <c s="573"/>
      <c s="573"/>
      <c s="567"/>
    </row>
    <row r="25" spans="1:42" ht="41.25" customHeight="1">
      <c r="A25" s="1048" t="s">
        <v>97</v>
      </c>
      <c s="933"/>
      <c s="933"/>
      <c s="933"/>
      <c s="933"/>
      <c s="1047" t="s">
        <v>98</v>
      </c>
      <c s="1047"/>
      <c s="1047"/>
      <c s="1047"/>
      <c s="1044" t="s">
        <v>99</v>
      </c>
      <c s="1044"/>
      <c s="1044"/>
      <c s="7"/>
      <c s="569" t="s">
        <v>29</v>
      </c>
      <c s="527"/>
      <c s="525"/>
      <c s="557"/>
      <c s="534"/>
      <c s="561"/>
      <c s="542"/>
      <c s="542"/>
      <c s="70"/>
      <c s="1023"/>
      <c s="77"/>
      <c r="AF25" s="492"/>
      <c s="568"/>
      <c s="573"/>
      <c s="573"/>
      <c s="573"/>
      <c s="573"/>
      <c s="573"/>
      <c s="573"/>
      <c s="573"/>
      <c s="573"/>
      <c s="567"/>
    </row>
    <row r="26" spans="1:42" ht="68.25" customHeight="1">
      <c r="A26" s="933"/>
      <c s="933"/>
      <c s="933"/>
      <c s="933"/>
      <c s="933"/>
      <c s="1047" t="s">
        <v>103</v>
      </c>
      <c s="1047"/>
      <c s="1047"/>
      <c s="1047"/>
      <c s="1044" t="s">
        <v>104</v>
      </c>
      <c s="1044"/>
      <c s="1044"/>
      <c r="N26" s="570">
        <f>137+AH21+AH22</f>
        <v>155</v>
      </c>
      <c s="527"/>
      <c s="525"/>
      <c s="557"/>
      <c s="534"/>
      <c s="561"/>
      <c s="542"/>
      <c s="542"/>
      <c s="70"/>
      <c s="572">
        <f>15.5+AO26</f>
        <v>31.5</v>
      </c>
      <c s="70"/>
      <c r="AF26" s="492"/>
      <c s="568"/>
      <c s="573"/>
      <c s="573"/>
      <c s="573" t="s">
        <v>376</v>
      </c>
      <c s="573">
        <v>18</v>
      </c>
      <c s="573">
        <v>16</v>
      </c>
      <c s="573" t="s">
        <v>376</v>
      </c>
      <c s="573" t="s">
        <v>376</v>
      </c>
      <c s="573">
        <v>16</v>
      </c>
      <c s="567"/>
    </row>
    <row r="27" spans="1:42" ht="43.5" customHeight="1">
      <c r="A27" s="1042" t="s">
        <v>107</v>
      </c>
      <c s="1043"/>
      <c s="1043"/>
      <c s="1043"/>
      <c s="1043"/>
      <c s="1043"/>
      <c s="1043"/>
      <c s="1043"/>
      <c s="1043"/>
      <c s="1044" t="s">
        <v>77</v>
      </c>
      <c s="1044"/>
      <c s="1044"/>
      <c r="N27" s="571" t="s">
        <v>387</v>
      </c>
      <c s="532"/>
      <c s="526"/>
      <c s="558"/>
      <c s="535"/>
      <c s="562"/>
      <c s="535"/>
      <c s="535"/>
      <c s="70"/>
      <c s="551"/>
      <c s="70"/>
      <c r="AF27" s="492"/>
      <c s="568"/>
      <c s="573"/>
      <c s="573"/>
      <c s="573" t="s">
        <v>377</v>
      </c>
      <c s="573"/>
      <c s="573"/>
      <c s="573" t="s">
        <v>377</v>
      </c>
      <c s="573" t="s">
        <v>377</v>
      </c>
      <c s="573"/>
      <c s="567"/>
    </row>
    <row r="28" spans="1:42" ht="38.25" customHeight="1">
      <c r="A28" s="1124" t="s">
        <v>355</v>
      </c>
      <c s="1125"/>
      <c s="1125"/>
      <c s="1125"/>
      <c s="1125"/>
      <c s="1125"/>
      <c s="1125"/>
      <c s="1125"/>
      <c s="1125"/>
      <c s="1125"/>
      <c s="1125"/>
      <c s="1006"/>
      <c r="N28" s="1027"/>
      <c s="536"/>
      <c s="539"/>
      <c s="559"/>
      <c s="531"/>
      <c s="563"/>
      <c s="547"/>
      <c s="547"/>
      <c s="548"/>
      <c s="565"/>
      <c s="24"/>
      <c r="AF28" s="492"/>
      <c s="568"/>
      <c s="573"/>
      <c s="573"/>
      <c s="573" t="s">
        <v>378</v>
      </c>
      <c s="573"/>
      <c s="573"/>
      <c s="573" t="s">
        <v>378</v>
      </c>
      <c s="573" t="s">
        <v>378</v>
      </c>
      <c s="573"/>
      <c s="567"/>
    </row>
    <row r="29" spans="1:42" ht="27.75" customHeight="1" thickBot="1">
      <c r="A29" s="1045" t="s">
        <v>88</v>
      </c>
      <c s="1046"/>
      <c s="1046"/>
      <c s="1046"/>
      <c s="1046"/>
      <c s="1058"/>
      <c s="1058"/>
      <c s="1058"/>
      <c s="545" t="s">
        <v>82</v>
      </c>
      <c s="545" t="s">
        <v>90</v>
      </c>
      <c s="1044" t="s">
        <v>86</v>
      </c>
      <c s="1126"/>
      <c r="N29" s="1028"/>
      <c s="552"/>
      <c s="553"/>
      <c s="560"/>
      <c s="553"/>
      <c s="564"/>
      <c s="554"/>
      <c s="553"/>
      <c s="555"/>
      <c s="528"/>
      <c s="24"/>
      <c r="AF29" s="492"/>
      <c s="568"/>
      <c s="573"/>
      <c s="573"/>
      <c s="573" t="s">
        <v>219</v>
      </c>
      <c s="573"/>
      <c s="573"/>
      <c s="573" t="s">
        <v>219</v>
      </c>
      <c s="573" t="s">
        <v>219</v>
      </c>
      <c s="573"/>
      <c s="567"/>
    </row>
    <row r="30" spans="1:42" ht="27.75" customHeight="1">
      <c r="A30" s="1045" t="s">
        <v>91</v>
      </c>
      <c s="1058"/>
      <c s="1058"/>
      <c s="1058"/>
      <c s="1058"/>
      <c s="1058"/>
      <c s="1058"/>
      <c s="1058"/>
      <c s="1044" t="s">
        <v>92</v>
      </c>
      <c s="1044"/>
      <c s="1044"/>
      <c s="1126"/>
      <c r="N30" s="530"/>
      <c s="531"/>
      <c s="531"/>
      <c s="531"/>
      <c s="531"/>
      <c s="531"/>
      <c s="531"/>
      <c s="531"/>
      <c s="70"/>
      <c s="24"/>
      <c s="24"/>
      <c r="AF30" s="492"/>
      <c s="568"/>
      <c s="573"/>
      <c s="573"/>
      <c s="573" t="s">
        <v>379</v>
      </c>
      <c s="573"/>
      <c s="573"/>
      <c s="573" t="s">
        <v>379</v>
      </c>
      <c s="573" t="s">
        <v>379</v>
      </c>
      <c s="573"/>
      <c s="567"/>
    </row>
    <row r="31" spans="1:42" ht="48" customHeight="1">
      <c r="A31" s="1045" t="s">
        <v>93</v>
      </c>
      <c s="1046"/>
      <c s="1046"/>
      <c s="1046"/>
      <c s="1046"/>
      <c s="1047" t="s">
        <v>94</v>
      </c>
      <c s="1047"/>
      <c s="1047"/>
      <c s="1044" t="s">
        <v>95</v>
      </c>
      <c s="1044"/>
      <c s="1044"/>
      <c s="1127"/>
      <c r="AF31" s="492"/>
      <c s="568"/>
      <c s="573"/>
      <c s="573"/>
      <c s="573" t="s">
        <v>380</v>
      </c>
      <c s="573"/>
      <c s="573"/>
      <c s="573" t="s">
        <v>380</v>
      </c>
      <c s="573" t="s">
        <v>380</v>
      </c>
      <c s="573"/>
      <c s="567"/>
    </row>
    <row r="32" spans="1:42" ht="27.75" customHeight="1">
      <c r="A32" s="1046"/>
      <c s="1046"/>
      <c s="1046"/>
      <c s="1046"/>
      <c s="1046"/>
      <c s="1047" t="s">
        <v>96</v>
      </c>
      <c s="1047"/>
      <c s="1047"/>
      <c s="1044" t="s">
        <v>27</v>
      </c>
      <c s="1044"/>
      <c s="1044"/>
      <c s="1127"/>
      <c r="AF32" s="492"/>
      <c s="568"/>
      <c s="573"/>
      <c s="573"/>
      <c s="573" t="s">
        <v>381</v>
      </c>
      <c s="573"/>
      <c s="573"/>
      <c s="573" t="s">
        <v>381</v>
      </c>
      <c s="573" t="s">
        <v>381</v>
      </c>
      <c s="573"/>
      <c s="567"/>
    </row>
    <row r="33" spans="1:42" ht="38.25" customHeight="1">
      <c r="A33" s="1048" t="s">
        <v>100</v>
      </c>
      <c s="933"/>
      <c s="933"/>
      <c s="933"/>
      <c s="933"/>
      <c s="1047" t="s">
        <v>101</v>
      </c>
      <c s="1047"/>
      <c s="1047"/>
      <c s="1044" t="s">
        <v>102</v>
      </c>
      <c s="1044"/>
      <c s="1044"/>
      <c s="1128"/>
      <c r="AF33" s="492"/>
      <c s="568"/>
      <c s="573"/>
      <c s="573"/>
      <c s="573" t="s">
        <v>382</v>
      </c>
      <c s="573"/>
      <c s="573"/>
      <c s="573" t="s">
        <v>382</v>
      </c>
      <c s="573" t="s">
        <v>382</v>
      </c>
      <c s="573"/>
      <c s="567"/>
    </row>
    <row r="34" spans="1:42" ht="50.25" customHeight="1">
      <c r="A34" s="933"/>
      <c s="933"/>
      <c s="933"/>
      <c s="933"/>
      <c s="933"/>
      <c s="1047" t="s">
        <v>105</v>
      </c>
      <c s="1047"/>
      <c s="1047"/>
      <c s="1044" t="s">
        <v>106</v>
      </c>
      <c s="1044"/>
      <c s="1044"/>
      <c s="1127"/>
      <c r="AF34" s="492"/>
      <c s="568"/>
      <c s="573"/>
      <c s="573"/>
      <c s="573" t="s">
        <v>383</v>
      </c>
      <c s="573"/>
      <c s="573"/>
      <c s="573" t="s">
        <v>383</v>
      </c>
      <c s="573" t="s">
        <v>383</v>
      </c>
      <c s="573"/>
      <c s="567"/>
    </row>
    <row r="35" spans="1:42" ht="27.75" customHeight="1">
      <c r="A35" s="1042" t="s">
        <v>108</v>
      </c>
      <c s="1043"/>
      <c s="1043"/>
      <c s="1043"/>
      <c s="1043"/>
      <c s="1043"/>
      <c s="1043"/>
      <c s="1043"/>
      <c s="1044" t="s">
        <v>77</v>
      </c>
      <c s="1044"/>
      <c s="1044"/>
      <c s="1127"/>
      <c r="AF35" s="492"/>
      <c s="568"/>
      <c s="573"/>
      <c s="573"/>
      <c s="573" t="s">
        <v>243</v>
      </c>
      <c s="573"/>
      <c s="573"/>
      <c s="573" t="s">
        <v>243</v>
      </c>
      <c s="573" t="s">
        <v>243</v>
      </c>
      <c s="573"/>
      <c s="567"/>
    </row>
    <row r="36" spans="1:42" ht="42" customHeight="1">
      <c r="A36" s="1042" t="s">
        <v>169</v>
      </c>
      <c s="1123"/>
      <c s="1123"/>
      <c s="1123"/>
      <c s="1123"/>
      <c s="1123"/>
      <c s="1123"/>
      <c s="1123"/>
      <c s="1044" t="s">
        <v>109</v>
      </c>
      <c s="1126"/>
      <c s="1126"/>
      <c s="1127"/>
      <c r="AF36" s="492"/>
      <c s="568"/>
      <c s="573"/>
      <c s="573"/>
      <c s="573" t="s">
        <v>384</v>
      </c>
      <c s="573"/>
      <c s="573"/>
      <c s="573" t="s">
        <v>384</v>
      </c>
      <c s="573" t="s">
        <v>384</v>
      </c>
      <c s="573"/>
      <c s="567"/>
    </row>
    <row r="37" spans="1:42" ht="27.75" customHeight="1">
      <c r="A37" s="1042" t="s">
        <v>110</v>
      </c>
      <c s="1123"/>
      <c s="1123"/>
      <c s="1123"/>
      <c s="1123"/>
      <c s="1123"/>
      <c s="1123"/>
      <c s="1123"/>
      <c s="1044" t="s">
        <v>47</v>
      </c>
      <c s="1126"/>
      <c s="1126"/>
      <c s="1127"/>
      <c r="AF37" s="492"/>
      <c s="568"/>
      <c s="573"/>
      <c s="573"/>
      <c s="573" t="s">
        <v>385</v>
      </c>
      <c s="573"/>
      <c s="573"/>
      <c s="573" t="s">
        <v>385</v>
      </c>
      <c s="573" t="s">
        <v>385</v>
      </c>
      <c s="573"/>
      <c s="567"/>
    </row>
    <row r="38" spans="1:42" ht="28.5" customHeight="1">
      <c r="A38" s="1042" t="s">
        <v>111</v>
      </c>
      <c s="1123"/>
      <c s="1123"/>
      <c s="1123"/>
      <c s="1123"/>
      <c s="1123"/>
      <c s="1123"/>
      <c s="1123"/>
      <c s="1044" t="s">
        <v>112</v>
      </c>
      <c s="1126"/>
      <c s="1126"/>
      <c s="1127"/>
      <c r="AF38" s="492"/>
      <c s="568"/>
      <c s="573"/>
      <c s="573"/>
      <c s="573" t="s">
        <v>386</v>
      </c>
      <c s="573"/>
      <c s="573"/>
      <c s="573" t="s">
        <v>386</v>
      </c>
      <c s="573" t="s">
        <v>386</v>
      </c>
      <c s="573"/>
      <c s="567"/>
    </row>
    <row r="39" spans="32:42" ht="13.5" thickBot="1">
      <c r="AF39" s="492"/>
      <c s="568"/>
      <c s="573"/>
      <c s="573"/>
      <c s="573" t="s">
        <v>362</v>
      </c>
      <c s="573"/>
      <c s="573"/>
      <c s="573" t="s">
        <v>362</v>
      </c>
      <c s="573" t="s">
        <v>362</v>
      </c>
      <c s="573"/>
      <c s="567"/>
    </row>
    <row r="40" spans="1:42" ht="30.75" customHeight="1" thickBot="1">
      <c r="A40" s="1018" t="s">
        <v>466</v>
      </c>
      <c s="1019"/>
      <c s="1019"/>
      <c s="1019"/>
      <c s="1019"/>
      <c s="1019"/>
      <c s="1019"/>
      <c s="1019"/>
      <c s="1020"/>
      <c s="1020"/>
      <c s="1020"/>
      <c s="1021"/>
      <c r="AF40" s="492"/>
      <c s="568"/>
      <c s="573"/>
      <c s="573"/>
      <c s="573" t="s">
        <v>363</v>
      </c>
      <c s="573"/>
      <c s="573"/>
      <c s="573" t="s">
        <v>363</v>
      </c>
      <c s="573" t="s">
        <v>363</v>
      </c>
      <c s="573"/>
      <c s="567"/>
    </row>
    <row r="41" spans="32:42" ht="12.75">
      <c r="AF41" s="492"/>
      <c s="568"/>
      <c s="573"/>
      <c s="573"/>
      <c s="573" t="s">
        <v>233</v>
      </c>
      <c s="573"/>
      <c s="573"/>
      <c s="573" t="s">
        <v>233</v>
      </c>
      <c s="573" t="s">
        <v>233</v>
      </c>
      <c s="573"/>
      <c s="567"/>
    </row>
    <row r="42" spans="32:42" ht="12.75">
      <c r="AF42" s="492"/>
      <c s="568"/>
      <c s="573"/>
      <c s="573"/>
      <c s="573" t="s">
        <v>364</v>
      </c>
      <c s="573"/>
      <c s="573"/>
      <c s="573" t="s">
        <v>364</v>
      </c>
      <c s="573" t="s">
        <v>364</v>
      </c>
      <c s="573"/>
      <c s="567"/>
    </row>
    <row r="43" spans="32:42" ht="12.75">
      <c r="AF43" s="492"/>
      <c s="568"/>
      <c s="573"/>
      <c s="573"/>
      <c s="573" t="s">
        <v>227</v>
      </c>
      <c s="573"/>
      <c s="573"/>
      <c s="573" t="s">
        <v>227</v>
      </c>
      <c s="573" t="s">
        <v>227</v>
      </c>
      <c s="573"/>
      <c s="567"/>
    </row>
    <row r="44" spans="32:42" ht="12.75">
      <c r="AF44" s="492"/>
      <c s="568"/>
      <c s="573"/>
      <c s="573"/>
      <c s="573" t="s">
        <v>194</v>
      </c>
      <c s="573"/>
      <c s="573"/>
      <c s="573"/>
      <c s="573"/>
      <c s="573"/>
      <c s="567"/>
    </row>
    <row r="45" spans="32:42" ht="12.75">
      <c r="AF45" s="492"/>
      <c s="568"/>
      <c s="573"/>
      <c s="573"/>
      <c s="573" t="s">
        <v>365</v>
      </c>
      <c s="573"/>
      <c s="573"/>
      <c s="573"/>
      <c s="573"/>
      <c s="573"/>
      <c s="567"/>
    </row>
    <row r="46" spans="32:42" ht="12.75">
      <c r="AF46" s="492"/>
      <c s="568"/>
      <c s="573"/>
      <c s="573"/>
      <c s="573" t="s">
        <v>366</v>
      </c>
      <c s="573"/>
      <c s="573"/>
      <c s="573"/>
      <c s="573"/>
      <c s="573"/>
      <c s="567"/>
    </row>
    <row r="47" spans="32:42" ht="12.75">
      <c r="AF47" s="492"/>
      <c s="568"/>
      <c s="573"/>
      <c s="573"/>
      <c s="573" t="s">
        <v>367</v>
      </c>
      <c s="573"/>
      <c s="573"/>
      <c s="573"/>
      <c s="573"/>
      <c s="573"/>
      <c s="567"/>
    </row>
    <row r="48" spans="32:42" ht="12.75">
      <c r="AF48" s="492"/>
      <c s="568"/>
      <c s="573"/>
      <c s="573"/>
      <c s="573" t="s">
        <v>368</v>
      </c>
      <c s="573"/>
      <c s="573"/>
      <c s="573"/>
      <c s="573"/>
      <c s="573"/>
      <c s="567"/>
    </row>
    <row r="49" spans="32:42" ht="12.75">
      <c r="AF49" s="492"/>
      <c s="568"/>
      <c s="573"/>
      <c s="573"/>
      <c s="573" t="s">
        <v>369</v>
      </c>
      <c s="573"/>
      <c s="573"/>
      <c s="573"/>
      <c s="573"/>
      <c s="573"/>
      <c s="567"/>
    </row>
    <row r="50" spans="32:42" ht="12.75">
      <c r="AF50" s="492"/>
      <c s="568"/>
      <c s="573"/>
      <c s="573"/>
      <c s="573" t="s">
        <v>370</v>
      </c>
      <c s="573"/>
      <c s="573"/>
      <c s="573"/>
      <c s="573"/>
      <c s="573"/>
      <c s="567"/>
    </row>
    <row r="51" spans="32:42" ht="12.75">
      <c r="AF51" s="492"/>
      <c s="568"/>
      <c s="573"/>
      <c s="573"/>
      <c s="573" t="s">
        <v>371</v>
      </c>
      <c s="573"/>
      <c s="573"/>
      <c s="573"/>
      <c s="573"/>
      <c s="573"/>
      <c s="567"/>
    </row>
    <row r="52" spans="32:42" ht="12.75">
      <c r="AF52" s="492"/>
      <c s="568"/>
      <c s="573"/>
      <c s="573"/>
      <c s="573" t="s">
        <v>372</v>
      </c>
      <c s="573"/>
      <c s="573"/>
      <c s="573"/>
      <c s="573"/>
      <c s="573"/>
      <c s="567"/>
    </row>
    <row r="53" spans="32:42" ht="12.75">
      <c r="AF53" s="492"/>
      <c s="568"/>
      <c s="573"/>
      <c s="573"/>
      <c s="573" t="s">
        <v>373</v>
      </c>
      <c s="573"/>
      <c s="573"/>
      <c s="573"/>
      <c s="573"/>
      <c s="573"/>
      <c s="567"/>
    </row>
    <row r="54" spans="32:42" ht="12.75">
      <c r="AF54" s="492"/>
      <c s="568"/>
      <c s="573"/>
      <c s="573"/>
      <c s="573" t="s">
        <v>374</v>
      </c>
      <c s="573"/>
      <c s="573"/>
      <c s="573"/>
      <c s="573"/>
      <c s="573"/>
      <c s="567"/>
    </row>
    <row r="55" spans="32:42" ht="12.75">
      <c r="AF55" s="492"/>
      <c s="568"/>
      <c s="573"/>
      <c s="573"/>
      <c s="573" t="s">
        <v>375</v>
      </c>
      <c s="573"/>
      <c s="573"/>
      <c s="573"/>
      <c s="573"/>
      <c s="573"/>
      <c s="567"/>
    </row>
    <row r="56" spans="32:42" ht="12.75">
      <c r="AF56" s="492"/>
      <c s="568"/>
      <c s="573"/>
      <c s="573"/>
      <c s="573"/>
      <c s="573"/>
      <c s="573"/>
      <c s="573"/>
      <c s="573"/>
      <c s="573"/>
      <c s="567"/>
    </row>
    <row r="57" spans="32:42" ht="12.75">
      <c r="AF57" s="492"/>
      <c s="568"/>
      <c s="573"/>
      <c s="573"/>
      <c s="573"/>
      <c s="573"/>
      <c s="573"/>
      <c s="573"/>
      <c s="573"/>
      <c s="573"/>
      <c s="567"/>
    </row>
    <row r="58" spans="32:42" ht="12.75">
      <c r="AF58" s="492"/>
      <c s="568"/>
      <c s="573"/>
      <c s="573"/>
      <c s="573"/>
      <c s="573"/>
      <c s="573"/>
      <c s="573"/>
      <c s="573"/>
      <c s="573"/>
      <c s="567"/>
    </row>
    <row r="59" spans="34:41" ht="12.75" thickBot="1">
      <c r="AH59" s="566"/>
      <c s="566"/>
      <c s="566"/>
      <c s="566"/>
      <c s="566"/>
      <c s="566"/>
      <c s="566"/>
      <c s="566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protectedRanges>
    <protectedRange sqref="E12:G17" name="Диапазон1"/>
  </protectedRanges>
  <customSheetViews>
    <customSheetView guid="{a25b6f15-9b48-4230-9c30-183637d1319e}" scale="80" showGridLines="0" topLeftCell="A10">
      <selection pane="topLeft" activeCell="H14" sqref="H14"/>
      <pageMargins left="0.75" right="0.75" top="1" bottom="1" header="0.5" footer="0.5"/>
      <pageSetup orientation="portrait" paperSize="9" r:id="rId9"/>
      <headerFooter alignWithMargins="0"/>
    </customSheetView>
  </customSheetViews>
  <mergeCells count="117">
    <mergeCell ref="A37:H37"/>
    <mergeCell ref="A38:H38"/>
    <mergeCell ref="A28:L28"/>
    <mergeCell ref="K29:L29"/>
    <mergeCell ref="I30:L30"/>
    <mergeCell ref="I31:L31"/>
    <mergeCell ref="I32:L32"/>
    <mergeCell ref="I33:L33"/>
    <mergeCell ref="I34:L34"/>
    <mergeCell ref="I35:L35"/>
    <mergeCell ref="I36:L36"/>
    <mergeCell ref="I37:L37"/>
    <mergeCell ref="I38:L38"/>
    <mergeCell ref="A33:E34"/>
    <mergeCell ref="F33:H33"/>
    <mergeCell ref="F34:H34"/>
    <mergeCell ref="A35:H35"/>
    <mergeCell ref="A36:H36"/>
    <mergeCell ref="A29:H29"/>
    <mergeCell ref="A30:H30"/>
    <mergeCell ref="A31:E32"/>
    <mergeCell ref="R5:S5"/>
    <mergeCell ref="T5:U5"/>
    <mergeCell ref="E9:F9"/>
    <mergeCell ref="A8:C9"/>
    <mergeCell ref="E8:F8"/>
    <mergeCell ref="F31:H31"/>
    <mergeCell ref="F32:H32"/>
    <mergeCell ref="J12:O12"/>
    <mergeCell ref="G3:I3"/>
    <mergeCell ref="G4:I4"/>
    <mergeCell ref="G5:I5"/>
    <mergeCell ref="G6:I6"/>
    <mergeCell ref="G7:I7"/>
    <mergeCell ref="G8:I8"/>
    <mergeCell ref="G9:I9"/>
    <mergeCell ref="E4:F4"/>
    <mergeCell ref="E5:F5"/>
    <mergeCell ref="A22:I22"/>
    <mergeCell ref="J22:L22"/>
    <mergeCell ref="F23:I23"/>
    <mergeCell ref="J23:L23"/>
    <mergeCell ref="A20:L20"/>
    <mergeCell ref="J11:O11"/>
    <mergeCell ref="P11:U11"/>
    <mergeCell ref="A1:U1"/>
    <mergeCell ref="A10:U10"/>
    <mergeCell ref="N6:P7"/>
    <mergeCell ref="R6:S6"/>
    <mergeCell ref="T6:U6"/>
    <mergeCell ref="R7:S7"/>
    <mergeCell ref="T7:U7"/>
    <mergeCell ref="N8:P9"/>
    <mergeCell ref="R8:S8"/>
    <mergeCell ref="T8:U8"/>
    <mergeCell ref="N2:Q3"/>
    <mergeCell ref="R2:U2"/>
    <mergeCell ref="R3:S3"/>
    <mergeCell ref="T3:U3"/>
    <mergeCell ref="N4:P5"/>
    <mergeCell ref="R4:S4"/>
    <mergeCell ref="E3:F3"/>
    <mergeCell ref="A4:C5"/>
    <mergeCell ref="A2:D3"/>
    <mergeCell ref="E2:I2"/>
    <mergeCell ref="R9:S9"/>
    <mergeCell ref="E7:F7"/>
    <mergeCell ref="T9:U9"/>
    <mergeCell ref="T4:U4"/>
    <mergeCell ref="A6:C7"/>
    <mergeCell ref="E6:F6"/>
    <mergeCell ref="J13:O13"/>
    <mergeCell ref="P13:U13"/>
    <mergeCell ref="J14:O14"/>
    <mergeCell ref="P14:U14"/>
    <mergeCell ref="N19:Q19"/>
    <mergeCell ref="A19:L19"/>
    <mergeCell ref="S21:U21"/>
    <mergeCell ref="S20:W20"/>
    <mergeCell ref="S19:W19"/>
    <mergeCell ref="V21:W21"/>
    <mergeCell ref="A11:C11"/>
    <mergeCell ref="A12:C12"/>
    <mergeCell ref="A13:C13"/>
    <mergeCell ref="N23:N24"/>
    <mergeCell ref="P12:U12"/>
    <mergeCell ref="A21:I21"/>
    <mergeCell ref="N21:O21"/>
    <mergeCell ref="P21:Q21"/>
    <mergeCell ref="A14:D14"/>
    <mergeCell ref="A17:D17"/>
    <mergeCell ref="J17:O17"/>
    <mergeCell ref="P17:U17"/>
    <mergeCell ref="A40:L40"/>
    <mergeCell ref="W24:W25"/>
    <mergeCell ref="S22:U22"/>
    <mergeCell ref="N28:N29"/>
    <mergeCell ref="J15:O15"/>
    <mergeCell ref="P15:U15"/>
    <mergeCell ref="J16:O16"/>
    <mergeCell ref="A18:U18"/>
    <mergeCell ref="A16:D16"/>
    <mergeCell ref="A15:D15"/>
    <mergeCell ref="A27:I27"/>
    <mergeCell ref="J27:L27"/>
    <mergeCell ref="P16:U16"/>
    <mergeCell ref="A23:E24"/>
    <mergeCell ref="F24:I24"/>
    <mergeCell ref="J24:L24"/>
    <mergeCell ref="A25:E26"/>
    <mergeCell ref="F25:I25"/>
    <mergeCell ref="J25:L25"/>
    <mergeCell ref="F26:I26"/>
    <mergeCell ref="J26:L26"/>
    <mergeCell ref="N20:Q20"/>
    <mergeCell ref="N22:O22"/>
    <mergeCell ref="P22:Q22"/>
  </mergeCells>
  <conditionalFormatting sqref="J12:U17">
    <cfRule type="containsText" priority="1" dxfId="85" operator="containsText" text="Уменьшите высоту фасада">
      <formula>NOT(ISERROR(SEARCH("Уменьшите высоту фасада",J12)))</formula>
    </cfRule>
    <cfRule type="containsText" priority="2" dxfId="85" operator="containsText" text="Увеличьте высоту фасада">
      <formula>NOT(ISERROR(SEARCH("Увеличьте высоту фасада",J12)))</formula>
    </cfRule>
    <cfRule type="containsText" priority="5" dxfId="85" operator="containsText" stopIfTrue="1" text="Очень">
      <formula>NOT(ISERROR(SEARCH("Очень",J12)))</formula>
    </cfRule>
  </conditionalFormatting>
  <hyperlinks>
    <hyperlink ref="V1" location="Содержание!R1C1" display="← СОДЕРЖАНИЕ:"/>
  </hyperlinks>
  <pageMargins left="0.75" right="0.75" top="1" bottom="1" header="0.5" footer="0.5"/>
  <pageSetup orientation="portrait" paperSize="9" r:id="rId8"/>
  <headerFooter alignWithMargins="0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39" r:id="rId2" name="Drop Down 31">
              <controlPr defaultSize="0" autoLine="0" linkedCell="$AK$21" listFillRange="$AI$21:$AI$22" autoPict="0">
                <anchor moveWithCells="1">
                  <from>
                    <xdr:col>13</xdr:col>
                    <xdr:colOff>0</xdr:colOff>
                    <xdr:row>21</xdr:row>
                    <xdr:rowOff>9525</xdr:rowOff>
                  </from>
                  <to>
                    <xdr:col>15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" name="Drop Down 34">
              <controlPr locked="0" defaultSize="0" autoLine="0" linkedCell="$AK$26" listFillRange="$AJ$26:$AJ$55" autoPict="0">
                <anchor moveWithCells="1">
                  <from>
                    <xdr:col>14</xdr:col>
                    <xdr:colOff>762000</xdr:colOff>
                    <xdr:row>21</xdr:row>
                    <xdr:rowOff>0</xdr:rowOff>
                  </from>
                  <to>
                    <xdr:col>16</xdr:col>
                    <xdr:colOff>876300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4" name="Drop Down 40">
              <controlPr locked="0" defaultSize="0" autoLine="0" linkedCell="$AL$26" listFillRange="$AM$26:$AM$43" autoPict="0">
                <anchor moveWithCells="1">
                  <from>
                    <xdr:col>17</xdr:col>
                    <xdr:colOff>542925</xdr:colOff>
                    <xdr:row>21</xdr:row>
                    <xdr:rowOff>0</xdr:rowOff>
                  </from>
                  <to>
                    <xdr:col>21</xdr:col>
                    <xdr:colOff>9525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5" name="Drop Down 42">
              <controlPr locked="0" defaultSize="0" autoLine="0" linkedCell="$AO$26" listFillRange="$AN$26:$AN$43" autoPict="0">
                <anchor moveWithCells="1">
                  <from>
                    <xdr:col>21</xdr:col>
                    <xdr:colOff>9525</xdr:colOff>
                    <xdr:row>21</xdr:row>
                    <xdr:rowOff>0</xdr:rowOff>
                  </from>
                  <to>
                    <xdr:col>22</xdr:col>
                    <xdr:colOff>666750</xdr:colOff>
                    <xdr:row>22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5">
    <tabColor rgb="FF5F5F5F"/>
  </sheetPr>
  <dimension ref="A1:BF52"/>
  <sheetViews>
    <sheetView showGridLines="0" workbookViewId="0" topLeftCell="B1">
      <selection pane="topLeft" activeCell="AL1" sqref="AL1"/>
    </sheetView>
  </sheetViews>
  <sheetFormatPr defaultColWidth="9.14428571428571" defaultRowHeight="15"/>
  <cols>
    <col min="1" max="1" width="3.28571428571429" style="163" customWidth="1"/>
    <col min="2" max="2" width="33" style="163" customWidth="1"/>
    <col min="3" max="4" width="10.7142857142857" style="163" customWidth="1"/>
    <col min="5" max="5" width="11.1428571428571" style="163" customWidth="1"/>
    <col min="6" max="7" width="2" style="163" customWidth="1"/>
    <col min="8" max="8" width="28.5714285714286" style="163" customWidth="1"/>
    <col min="9" max="10" width="2" style="163" customWidth="1"/>
    <col min="11" max="11" width="4.71428571428571" style="163" customWidth="1"/>
    <col min="12" max="12" width="4" style="163" customWidth="1"/>
    <col min="13" max="30" width="2" style="163" customWidth="1"/>
    <col min="31" max="31" width="3.14285714285714" style="163" customWidth="1"/>
    <col min="32" max="34" width="2" style="163" customWidth="1"/>
    <col min="35" max="35" width="2.42857142857143" style="163" customWidth="1"/>
    <col min="36" max="36" width="2" style="163" customWidth="1"/>
    <col min="37" max="37" width="3.71428571428571" style="163" customWidth="1"/>
    <col min="38" max="38" width="20.8571428571429" style="163" customWidth="1"/>
    <col min="39" max="39" width="18.4285714285714" style="163" customWidth="1"/>
    <col min="40" max="40" width="9.14285714285714" style="163" customWidth="1"/>
    <col min="41" max="41" width="21.1428571428571" style="163" hidden="1" customWidth="1"/>
    <col min="42" max="42" width="9.14285714285714" style="163" hidden="1" customWidth="1"/>
    <col min="43" max="43" width="19.4285714285714" style="163" hidden="1" customWidth="1"/>
    <col min="44" max="44" width="10.4285714285714" style="163" hidden="1" customWidth="1"/>
    <col min="45" max="45" width="20.2857142857143" style="163" hidden="1" customWidth="1"/>
    <col min="46" max="46" width="24" style="163" hidden="1" customWidth="1"/>
    <col min="47" max="47" width="11.4285714285714" style="163" hidden="1" customWidth="1"/>
    <col min="48" max="48" width="11.2857142857143" style="163" hidden="1" customWidth="1"/>
    <col min="49" max="49" width="10.2857142857143" style="163" hidden="1" customWidth="1"/>
    <col min="50" max="50" width="9" style="163" hidden="1" customWidth="1"/>
    <col min="51" max="52" width="9.14285714285714" style="163" hidden="1" customWidth="1"/>
    <col min="53" max="53" width="12.4285714285714" style="163" hidden="1" customWidth="1"/>
    <col min="54" max="55" width="14.8571428571429" style="163" hidden="1" customWidth="1"/>
    <col min="56" max="57" width="0" style="163" hidden="1" customWidth="1"/>
    <col min="58" max="16384" width="9.14285714285714" style="163"/>
  </cols>
  <sheetData>
    <row r="1" spans="1:57" ht="52.5" customHeight="1" thickBot="1">
      <c r="A1" s="1129" t="s">
        <v>283</v>
      </c>
      <c s="1130"/>
      <c s="1130"/>
      <c s="1130"/>
      <c s="1130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1"/>
      <c s="1132"/>
      <c s="360" t="s">
        <v>295</v>
      </c>
      <c r="AN1" s="228"/>
      <c s="229" t="s">
        <v>256</v>
      </c>
      <c s="216" t="s">
        <v>255</v>
      </c>
      <c s="216" t="s">
        <v>197</v>
      </c>
      <c s="216" t="s">
        <v>254</v>
      </c>
      <c s="223" t="s">
        <v>253</v>
      </c>
      <c s="226" t="s">
        <v>252</v>
      </c>
      <c s="1133" t="s">
        <v>251</v>
      </c>
      <c s="1133"/>
      <c s="1133"/>
      <c s="1133"/>
      <c s="1133"/>
      <c s="228" t="s">
        <v>250</v>
      </c>
      <c s="227" t="s">
        <v>249</v>
      </c>
      <c s="223" t="s">
        <v>248</v>
      </c>
      <c s="223" t="s">
        <v>247</v>
      </c>
      <c s="223" t="s">
        <v>246</v>
      </c>
      <c s="223" t="s">
        <v>222</v>
      </c>
    </row>
    <row r="2" spans="1:57" ht="21.75" customHeight="1">
      <c r="A2" s="219"/>
      <c s="218"/>
      <c s="218"/>
      <c s="218"/>
      <c s="218"/>
      <c r="AK2" s="217"/>
      <c r="AN2" s="164"/>
      <c s="216" t="s">
        <v>245</v>
      </c>
      <c s="216">
        <v>270</v>
      </c>
      <c s="216" t="s">
        <v>244</v>
      </c>
      <c s="216">
        <v>680</v>
      </c>
      <c s="223" t="s">
        <v>243</v>
      </c>
      <c s="226" t="s">
        <v>242</v>
      </c>
      <c s="223" t="s">
        <v>241</v>
      </c>
      <c s="223" t="s">
        <v>240</v>
      </c>
      <c s="223" t="s">
        <v>239</v>
      </c>
      <c s="223" t="s">
        <v>238</v>
      </c>
      <c s="223" t="s">
        <v>237</v>
      </c>
      <c s="163">
        <f>IF(AE20&lt;0,0,IF(AE20&lt;2.51,1,IF(AE20&lt;5.01,2,IF(AE20&lt;7.51,3,IF(AE20&lt;10.01,4,IF(AE20&lt;12.51,5,IF(AE20&lt;15.01,6,IF(AE20&lt;17.51,7,IF(AE20&lt;20.01,8,IF(AE20&lt;22.51,9,IF(AE20&lt;25.01,10,IF(AE20&lt;27.51,11,IF(AE20&lt;30.01,12,IF(AE20&lt;32.51,13,IF(AE20&lt;35.01,14,IF(AE20&lt;37.51,15,IF(AE20&lt;40.01,16,IF(AE20&lt;42.51,17,IF(AE20&lt;45.01,18,IF(AE20&lt;47.51,19,IF(AE20&lt;50.01,20,IF(AE20&lt;52.51,21,IF(AE20&lt;55.01,22,IF(AE20&lt;57.51,23,IF(AE20&lt;60,24,25)))))))))))))))))))))))))</f>
        <v>3</v>
      </c>
      <c s="223" t="s">
        <v>236</v>
      </c>
      <c s="223">
        <v>1.6890000000000001</v>
      </c>
      <c s="223">
        <v>1.829</v>
      </c>
      <c s="223">
        <f>63*(C19-38)/1000000</f>
        <v>0.035406</v>
      </c>
      <c s="223">
        <f>(C18-10)*(C19-35)/1000000</f>
        <v>0.27684999999999998</v>
      </c>
    </row>
    <row r="3" spans="1:5 37:57" ht="14.25" customHeight="1">
      <c r="A3" s="219"/>
      <c s="218"/>
      <c s="218"/>
      <c s="218"/>
      <c s="218"/>
      <c r="AK3" s="217"/>
      <c r="AN3" s="164"/>
      <c s="216" t="s">
        <v>235</v>
      </c>
      <c s="216">
        <v>300</v>
      </c>
      <c s="216" t="s">
        <v>234</v>
      </c>
      <c s="216">
        <v>550</v>
      </c>
      <c s="223" t="s">
        <v>233</v>
      </c>
      <c s="226" t="s">
        <v>232</v>
      </c>
      <c s="223" t="s">
        <v>231</v>
      </c>
      <c s="223">
        <v>1</v>
      </c>
      <c s="223">
        <f>IF(C18=AP6,BB9,BC9)</f>
        <v>1.829</v>
      </c>
      <c s="223">
        <v>1</v>
      </c>
      <c s="223">
        <f>AV3*AW3*AX3</f>
        <v>1.829</v>
      </c>
      <c r="BA3" s="223" t="s">
        <v>230</v>
      </c>
      <c s="223">
        <v>1.417</v>
      </c>
      <c s="223">
        <v>1.53</v>
      </c>
      <c s="223">
        <f>39*(C19-38)/1000000</f>
        <v>0.021918</v>
      </c>
      <c s="223">
        <f>(C18-10)*(C19-35)/1000000</f>
        <v>0.27684999999999998</v>
      </c>
    </row>
    <row r="4" spans="1:5 37:57" ht="14.25" customHeight="1">
      <c r="A4" s="219"/>
      <c s="218"/>
      <c s="218"/>
      <c s="218"/>
      <c s="218"/>
      <c r="AK4" s="217"/>
      <c r="AN4" s="164"/>
      <c s="216" t="s">
        <v>229</v>
      </c>
      <c s="216">
        <v>350</v>
      </c>
      <c s="216" t="s">
        <v>228</v>
      </c>
      <c s="216">
        <v>750</v>
      </c>
      <c s="223" t="s">
        <v>227</v>
      </c>
      <c r="AU4" s="223" t="s">
        <v>226</v>
      </c>
      <c s="223">
        <f>BD9</f>
        <v>0.035406</v>
      </c>
      <c s="223">
        <f>AR2</f>
        <v>680</v>
      </c>
      <c s="223">
        <v>16</v>
      </c>
      <c s="223">
        <f>AV4*AW4*AX4/1000</f>
        <v>0.38521728</v>
      </c>
      <c r="BA4" s="223" t="s">
        <v>225</v>
      </c>
      <c s="223">
        <v>2.1699999999999999</v>
      </c>
      <c s="223">
        <v>2.3359999999999999</v>
      </c>
      <c s="223">
        <f>101*(C19-38)/1000000</f>
        <v>0.056762</v>
      </c>
      <c s="223">
        <f>(C18-10)*(C19-35)/1000000</f>
        <v>0.27684999999999998</v>
      </c>
    </row>
    <row r="5" spans="1:5 37:57" ht="14.25" customHeight="1">
      <c r="A5" s="219"/>
      <c s="218"/>
      <c s="218"/>
      <c s="218"/>
      <c s="218"/>
      <c r="AK5" s="217"/>
      <c r="AN5" s="164"/>
      <c s="216" t="s">
        <v>224</v>
      </c>
      <c s="216">
        <v>400</v>
      </c>
      <c s="216" t="s">
        <v>223</v>
      </c>
      <c s="216">
        <v>690</v>
      </c>
      <c s="223" t="s">
        <v>194</v>
      </c>
      <c r="AU5" s="223" t="s">
        <v>222</v>
      </c>
      <c s="223">
        <f>BE9</f>
        <v>0.27684999999999998</v>
      </c>
      <c s="223">
        <f>AR2</f>
        <v>680</v>
      </c>
      <c s="223">
        <v>16</v>
      </c>
      <c s="223">
        <f>AV5*AW5*AX5/1000</f>
        <v>3.0121279999999997</v>
      </c>
      <c r="BA5" s="223" t="s">
        <v>221</v>
      </c>
      <c s="223">
        <v>2.6259999999999999</v>
      </c>
      <c s="223">
        <v>2.871</v>
      </c>
      <c s="223">
        <f>148*(C19-38)/1000000</f>
        <v>0.083176</v>
      </c>
      <c s="223">
        <f>(C18-10)*(C19-35)/1000000</f>
        <v>0.27684999999999998</v>
      </c>
    </row>
    <row r="6" spans="1:57" ht="14.25" customHeight="1">
      <c r="A6" s="219"/>
      <c s="218"/>
      <c s="218"/>
      <c s="218"/>
      <c s="218"/>
      <c r="H6"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N6" s="164"/>
      <c s="216" t="s">
        <v>220</v>
      </c>
      <c s="216">
        <v>450</v>
      </c>
      <c s="216" t="s">
        <v>195</v>
      </c>
      <c s="216">
        <v>760</v>
      </c>
      <c s="223" t="s">
        <v>219</v>
      </c>
      <c r="AU6" s="223" t="s">
        <v>218</v>
      </c>
      <c s="223">
        <f>C23*C24/1000000</f>
        <v>0</v>
      </c>
      <c s="223">
        <f>IF(C22=AQ2,AR2,IF(C22=AQ3,AR3,IF(C22=AQ4,AR4,IF(C22=AQ5,AR5,IF(C22=AQ6,AR6,IF(C22=AQ7,AR7,0))))))</f>
        <v>760</v>
      </c>
      <c s="223">
        <f>IF(D22=AS2,10,IF(D22=AS3,16,IF(D22=AS4,18,IF(D22=AS5,19,IF(D22=AS6,4,0)))))</f>
        <v>19</v>
      </c>
      <c s="223">
        <f>AV6*AW6*AX6/1000</f>
        <v>0</v>
      </c>
      <c r="BA6" s="223" t="s">
        <v>217</v>
      </c>
      <c s="223">
        <v>3.411</v>
      </c>
      <c s="223">
        <v>3.673</v>
      </c>
      <c s="223">
        <f>212*(C19-38)/1000000</f>
        <v>0.119144</v>
      </c>
      <c s="223">
        <f>(C18-10)*(C19-35)/1000000</f>
        <v>0.27684999999999998</v>
      </c>
    </row>
    <row r="7" spans="1:57" ht="14.25" customHeight="1">
      <c r="A7" s="219"/>
      <c s="218"/>
      <c s="218"/>
      <c s="218"/>
      <c s="218"/>
      <c r="H7"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5"/>
      <c s="220"/>
      <c s="220"/>
      <c s="220"/>
      <c s="220"/>
      <c s="220"/>
      <c s="220"/>
      <c s="220"/>
      <c s="220"/>
      <c s="220"/>
      <c s="220"/>
      <c s="220"/>
      <c s="221"/>
      <c s="220"/>
      <c r="AO7" s="216" t="s">
        <v>216</v>
      </c>
      <c s="216">
        <v>500</v>
      </c>
      <c s="216" t="s">
        <v>215</v>
      </c>
      <c s="216">
        <v>900</v>
      </c>
      <c s="223"/>
      <c r="AY7" s="222">
        <f>SUM(AY3:AY6)</f>
        <v>5.2263452799999994</v>
      </c>
      <c r="BA7" s="223" t="s">
        <v>214</v>
      </c>
      <c s="223">
        <f>2.027+(0.796/1043*(C19-126))</f>
        <v>2.3887488015340366</v>
      </c>
      <c s="223">
        <f>2.167+(0.796/1043*(C19-126))</f>
        <v>2.5287488015340363</v>
      </c>
      <c s="223">
        <f>63*(C19-38)/1000000</f>
        <v>0.035406</v>
      </c>
      <c s="223">
        <f>(C18-10)*(C19-35)/1000000</f>
        <v>0.27684999999999998</v>
      </c>
    </row>
    <row r="8" spans="1:57" ht="14.25" customHeight="1">
      <c r="A8" s="219"/>
      <c s="218"/>
      <c s="218"/>
      <c s="218"/>
      <c s="218"/>
      <c r="H8"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O8" s="216" t="s">
        <v>213</v>
      </c>
      <c s="216">
        <v>550</v>
      </c>
      <c s="164"/>
      <c s="164"/>
      <c r="AY8" s="224"/>
      <c r="BA8" s="223" t="s">
        <v>212</v>
      </c>
      <c s="223">
        <f>3.102+(0.796/1043*(C19-126))+(0.344/1080*(C19-90))</f>
        <v>3.6261932459784809</v>
      </c>
      <c s="223">
        <f>3.347+(0.796/1043*(C19-126))+(0.344/1080*(C19-90))</f>
        <v>3.871193245978481</v>
      </c>
      <c s="223">
        <f>148*(C19-38)/1000000</f>
        <v>0.083176</v>
      </c>
      <c s="223">
        <f>(C18-10)*(C19-35)/1000000</f>
        <v>0.27684999999999998</v>
      </c>
    </row>
    <row r="9" spans="1:57" ht="14.25" customHeight="1">
      <c r="A9" s="219"/>
      <c s="218"/>
      <c s="218"/>
      <c s="218"/>
      <c s="218"/>
      <c r="H9"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P9" s="216">
        <v>600</v>
      </c>
      <c s="164"/>
      <c s="164"/>
      <c r="BA9" s="223" t="s">
        <v>211</v>
      </c>
      <c s="222">
        <f>IF(C17=AO2,BB3,IF(C17=AO3,BB2,IF(C17=AO4,BB4,IF(C17=AO5,BB5,IF(C17=AO6,BB6,IF(C17=AO7,BB7,IF(C17=AO8,BB8,0)))))))</f>
        <v>1.6890000000000001</v>
      </c>
      <c s="222">
        <f>IF(C17=AO2,BC3,IF(C17=AO3,BC2,IF(C17=AO4,BC4,IF(C17=AO5,BC5,IF(C17=AO6,BC6,IF(C17=AO7,BC7,IF(C17=AO8,BC8,0)))))))</f>
        <v>1.829</v>
      </c>
      <c s="222">
        <f>IF(C17=AO2,BD3,IF(C17=AO3,BD2,IF(C17=AO4,BD4,IF(C17=AO5,BD5,IF(C17=AO6,BD6,IF(C17=AO7,BD7,IF(C17=AO8,BD8,0)))))))</f>
        <v>0.035406</v>
      </c>
      <c s="222">
        <f>(C18-10)*(C19-35)/1000000</f>
        <v>0.27684999999999998</v>
      </c>
    </row>
    <row r="10" spans="1:44" ht="14.25" customHeight="1">
      <c r="A10" s="219"/>
      <c s="218"/>
      <c s="218"/>
      <c s="218"/>
      <c s="218"/>
      <c r="H10"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0"/>
      <c s="221"/>
      <c s="220"/>
      <c r="AP10" s="216">
        <v>650</v>
      </c>
      <c s="164"/>
      <c s="164"/>
    </row>
    <row r="11" spans="1:5 37:58" ht="14.25" customHeight="1">
      <c r="A11" s="219"/>
      <c s="218"/>
      <c s="218"/>
      <c s="218"/>
      <c s="218"/>
      <c r="AK11" s="217"/>
      <c r="AP11" s="216">
        <v>700</v>
      </c>
      <c s="164"/>
      <c s="164"/>
      <c r="BF11" s="73"/>
    </row>
    <row r="12" spans="1:44" ht="12.75" customHeight="1">
      <c r="A12" s="1134" t="s">
        <v>210</v>
      </c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5"/>
      <c s="1136"/>
      <c r="AP12" s="216">
        <v>750</v>
      </c>
      <c s="164"/>
      <c s="164"/>
    </row>
    <row r="13" spans="1:44" ht="13.5" customHeight="1">
      <c r="A13" s="215" t="s">
        <v>209</v>
      </c>
      <c s="212"/>
      <c s="212"/>
      <c s="212"/>
      <c s="212"/>
      <c s="214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09"/>
      <c r="AP13" s="164"/>
      <c s="164"/>
      <c s="164"/>
    </row>
    <row r="14" spans="1:44" ht="12" customHeight="1">
      <c r="A14" s="213" t="s">
        <v>208</v>
      </c>
      <c s="212"/>
      <c s="212"/>
      <c s="212"/>
      <c s="212"/>
      <c s="211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10"/>
      <c s="209"/>
      <c r="AP14" s="164"/>
      <c s="164"/>
      <c s="164"/>
    </row>
    <row r="15" spans="1:44" ht="15" customHeight="1">
      <c r="A15" s="283"/>
      <c s="1137" t="s">
        <v>207</v>
      </c>
      <c s="1137"/>
      <c s="1137"/>
      <c s="201"/>
      <c s="201"/>
      <c s="201"/>
      <c s="201"/>
      <c s="201"/>
      <c s="201"/>
      <c s="201"/>
      <c s="208"/>
      <c s="1138" t="s">
        <v>206</v>
      </c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5" s="164"/>
      <c s="164"/>
      <c s="164"/>
    </row>
    <row r="16" spans="1:44" ht="18.75" customHeight="1">
      <c r="A16" s="283"/>
      <c s="1137"/>
      <c s="1137"/>
      <c s="1137"/>
      <c s="201"/>
      <c s="165"/>
      <c s="196"/>
      <c s="195"/>
      <c s="290"/>
      <c s="201"/>
      <c s="201"/>
      <c s="20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6" s="164"/>
      <c s="164"/>
      <c s="164"/>
    </row>
    <row r="17" spans="1:44" ht="18.75" customHeight="1">
      <c r="A17" s="283"/>
      <c s="194" t="s">
        <v>205</v>
      </c>
      <c s="1139" t="s">
        <v>281</v>
      </c>
      <c s="1139"/>
      <c s="174"/>
      <c s="166"/>
      <c s="196"/>
      <c s="170"/>
      <c s="290"/>
      <c s="174"/>
      <c s="174"/>
      <c s="20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138"/>
      <c s="173"/>
      <c r="AP17" s="164"/>
      <c s="164"/>
      <c s="164"/>
    </row>
    <row r="18" spans="1:44" ht="18.75" customHeight="1">
      <c r="A18" s="283"/>
      <c s="207" t="s">
        <v>204</v>
      </c>
      <c s="1164">
        <v>500</v>
      </c>
      <c s="1164"/>
      <c s="289"/>
      <c s="206"/>
      <c s="196"/>
      <c s="170"/>
      <c s="290"/>
      <c s="174"/>
      <c s="174"/>
      <c s="201"/>
      <c s="1146" t="s">
        <v>203</v>
      </c>
      <c s="1147"/>
      <c s="1147"/>
      <c s="1147"/>
      <c s="1147"/>
      <c s="1148"/>
      <c s="1146" t="s">
        <v>202</v>
      </c>
      <c s="1147"/>
      <c s="1147"/>
      <c s="1147"/>
      <c s="1147"/>
      <c s="1147"/>
      <c s="1170" t="s">
        <v>201</v>
      </c>
      <c s="1171"/>
      <c s="1171"/>
      <c s="1171"/>
      <c s="1171"/>
      <c s="1172"/>
      <c s="1176" t="s">
        <v>200</v>
      </c>
      <c s="1176"/>
      <c s="1176"/>
      <c s="1176"/>
      <c s="1176"/>
      <c s="1176"/>
      <c s="173"/>
      <c r="AP18" s="164"/>
      <c s="164"/>
      <c s="164"/>
    </row>
    <row r="19" spans="1:44" ht="18.75" customHeight="1">
      <c r="A19" s="283"/>
      <c s="205" t="s">
        <v>199</v>
      </c>
      <c s="1165">
        <v>600</v>
      </c>
      <c s="1165"/>
      <c s="174"/>
      <c s="166"/>
      <c s="196"/>
      <c s="170"/>
      <c s="290"/>
      <c s="174"/>
      <c s="174"/>
      <c s="201"/>
      <c s="1149"/>
      <c s="1150"/>
      <c s="1150"/>
      <c s="1150"/>
      <c s="1150"/>
      <c s="1151"/>
      <c s="1149"/>
      <c s="1150"/>
      <c s="1150"/>
      <c s="1150"/>
      <c s="1150"/>
      <c s="1150"/>
      <c s="1173"/>
      <c s="1174"/>
      <c s="1174"/>
      <c s="1174"/>
      <c s="1174"/>
      <c s="1175"/>
      <c s="1176"/>
      <c s="1176"/>
      <c s="1176"/>
      <c s="1176"/>
      <c s="1176"/>
      <c s="1176"/>
      <c s="173"/>
      <c r="AP19" s="164"/>
      <c s="164"/>
      <c s="164"/>
    </row>
    <row r="20" spans="1:44" ht="18.75" customHeight="1">
      <c r="A20" s="283"/>
      <c s="1152" t="s">
        <v>198</v>
      </c>
      <c s="1153"/>
      <c s="1154"/>
      <c s="174"/>
      <c s="166"/>
      <c s="196"/>
      <c s="170"/>
      <c s="290"/>
      <c s="174"/>
      <c s="174"/>
      <c s="201"/>
      <c s="1140">
        <f>AY7</f>
        <v>5.2263452799999994</v>
      </c>
      <c s="1141"/>
      <c s="1141"/>
      <c s="1141"/>
      <c s="1141"/>
      <c s="1142"/>
      <c s="1143">
        <f>C26/1000</f>
        <v>0</v>
      </c>
      <c s="1144"/>
      <c s="1144"/>
      <c s="1144"/>
      <c s="1144"/>
      <c s="1144"/>
      <c s="1140">
        <f>C27</f>
        <v>0</v>
      </c>
      <c s="1141"/>
      <c s="1141"/>
      <c s="1141"/>
      <c s="1141"/>
      <c s="1142"/>
      <c s="1145">
        <f>M20+S20+Y20</f>
        <v>5.2263452799999994</v>
      </c>
      <c s="1145"/>
      <c s="1145"/>
      <c s="1145"/>
      <c s="1145"/>
      <c s="1145"/>
      <c s="173"/>
      <c r="AP20" s="164"/>
      <c s="164"/>
      <c s="164"/>
    </row>
    <row r="21" spans="1:44" ht="18.75" customHeight="1">
      <c r="A21" s="283"/>
      <c s="204"/>
      <c s="203" t="s">
        <v>197</v>
      </c>
      <c s="202" t="s">
        <v>196</v>
      </c>
      <c s="174"/>
      <c s="166"/>
      <c s="196"/>
      <c s="170"/>
      <c s="290"/>
      <c s="174"/>
      <c s="174"/>
      <c s="201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200"/>
      <c s="199"/>
      <c s="199"/>
      <c s="199"/>
      <c s="199"/>
      <c s="199"/>
      <c s="199"/>
      <c s="173"/>
      <c r="AP21" s="164"/>
      <c s="164"/>
      <c s="164"/>
    </row>
    <row r="22" spans="1:44" ht="18.75" customHeight="1">
      <c r="A22" s="283"/>
      <c s="198" t="s">
        <v>125</v>
      </c>
      <c s="197" t="s">
        <v>195</v>
      </c>
      <c s="197" t="s">
        <v>194</v>
      </c>
      <c s="174"/>
      <c s="166"/>
      <c s="196"/>
      <c s="170"/>
      <c s="290"/>
      <c s="174"/>
      <c s="174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73"/>
      <c r="AP22" s="164"/>
      <c s="164"/>
      <c s="164"/>
    </row>
    <row r="23" spans="1:44" ht="18.75">
      <c r="A23" s="283"/>
      <c s="194" t="s">
        <v>51</v>
      </c>
      <c s="1180">
        <v>0</v>
      </c>
      <c s="1180"/>
      <c s="174"/>
      <c s="166"/>
      <c s="196"/>
      <c s="195"/>
      <c s="290"/>
      <c s="174"/>
      <c s="174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187"/>
      <c s="173"/>
      <c r="AP23" s="164"/>
      <c s="164"/>
      <c s="164"/>
    </row>
    <row r="24" spans="1:44" ht="18.75">
      <c r="A24" s="283"/>
      <c s="194" t="s">
        <v>193</v>
      </c>
      <c s="1180">
        <v>0</v>
      </c>
      <c s="1180"/>
      <c s="174"/>
      <c s="193"/>
      <c s="193"/>
      <c s="193"/>
      <c s="291"/>
      <c s="291"/>
      <c s="1185" t="s">
        <v>192</v>
      </c>
      <c s="1186"/>
      <c s="1166" t="s">
        <v>191</v>
      </c>
      <c s="1166"/>
      <c s="1166"/>
      <c s="1166"/>
      <c s="1166" t="s">
        <v>190</v>
      </c>
      <c s="1166"/>
      <c s="1166"/>
      <c s="1166"/>
      <c s="1166" t="s">
        <v>189</v>
      </c>
      <c s="1166"/>
      <c s="1166"/>
      <c s="1166"/>
      <c s="1166" t="s">
        <v>188</v>
      </c>
      <c s="1166"/>
      <c s="1166"/>
      <c s="1166"/>
      <c s="1166" t="s">
        <v>187</v>
      </c>
      <c s="1166"/>
      <c s="1166"/>
      <c s="1166"/>
      <c s="1166" t="s">
        <v>186</v>
      </c>
      <c s="1166"/>
      <c s="1166"/>
      <c s="1166"/>
      <c s="173"/>
      <c r="AP24" s="164"/>
      <c s="164"/>
      <c s="164"/>
    </row>
    <row r="25" spans="1:44" ht="18.75" customHeight="1">
      <c r="A25" s="283"/>
      <c s="1137" t="s">
        <v>185</v>
      </c>
      <c s="1137"/>
      <c s="1157"/>
      <c s="1181"/>
      <c s="1181"/>
      <c s="1181"/>
      <c s="1181"/>
      <c s="174"/>
      <c s="174"/>
      <c s="1183" t="s">
        <v>184</v>
      </c>
      <c s="181" t="s">
        <v>183</v>
      </c>
      <c s="192"/>
      <c s="190"/>
      <c s="191"/>
      <c s="191"/>
      <c s="191"/>
      <c s="191"/>
      <c s="190"/>
      <c s="189"/>
      <c s="188"/>
      <c s="188"/>
      <c s="188"/>
      <c s="188"/>
      <c s="188"/>
      <c s="188"/>
      <c s="188"/>
      <c s="188"/>
      <c s="188"/>
      <c s="188"/>
      <c s="187"/>
      <c s="187"/>
      <c s="187"/>
      <c s="187"/>
      <c s="187"/>
      <c s="186"/>
      <c s="173"/>
      <c r="AP25" s="164"/>
      <c s="164"/>
      <c s="164"/>
    </row>
    <row r="26" spans="1:44" ht="18.75" customHeight="1">
      <c r="A26" s="283"/>
      <c s="185" t="s">
        <v>182</v>
      </c>
      <c s="1156">
        <v>0</v>
      </c>
      <c s="1157"/>
      <c s="1158" t="s">
        <v>181</v>
      </c>
      <c s="1159"/>
      <c s="1159"/>
      <c s="1159"/>
      <c s="174"/>
      <c s="174"/>
      <c s="1184"/>
      <c s="181" t="s">
        <v>180</v>
      </c>
      <c s="184"/>
      <c s="183"/>
      <c s="177"/>
      <c s="176"/>
      <c s="176"/>
      <c s="176"/>
      <c s="176"/>
      <c s="176"/>
      <c s="176"/>
      <c s="176"/>
      <c s="176"/>
      <c s="176"/>
      <c s="176"/>
      <c s="176"/>
      <c s="176"/>
      <c s="175"/>
      <c s="183"/>
      <c s="183"/>
      <c s="183"/>
      <c s="183"/>
      <c s="183"/>
      <c s="183"/>
      <c s="183"/>
      <c s="182"/>
      <c s="173"/>
      <c r="AP26" s="164"/>
      <c s="164"/>
      <c s="164"/>
    </row>
    <row r="27" spans="1:44" ht="18.75" customHeight="1">
      <c r="A27" s="283"/>
      <c s="1162" t="s">
        <v>179</v>
      </c>
      <c s="1156">
        <v>0</v>
      </c>
      <c s="1157"/>
      <c s="1160"/>
      <c s="1161"/>
      <c s="1161"/>
      <c s="1161"/>
      <c s="174"/>
      <c s="174"/>
      <c s="1184"/>
      <c s="181" t="s">
        <v>178</v>
      </c>
      <c s="180"/>
      <c s="179"/>
      <c s="179"/>
      <c s="179"/>
      <c s="179"/>
      <c s="179"/>
      <c s="179"/>
      <c s="179"/>
      <c s="178"/>
      <c s="178"/>
      <c s="177"/>
      <c s="176"/>
      <c s="176"/>
      <c s="176"/>
      <c s="176"/>
      <c s="176"/>
      <c s="176"/>
      <c s="176"/>
      <c s="176"/>
      <c s="176"/>
      <c s="176"/>
      <c s="176"/>
      <c s="176"/>
      <c s="175"/>
      <c s="173"/>
      <c r="AP27" s="164"/>
      <c s="164"/>
      <c s="164"/>
    </row>
    <row r="28" spans="1:44" ht="18.75" customHeight="1">
      <c r="A28" s="283"/>
      <c s="1163"/>
      <c s="1156"/>
      <c s="1157"/>
      <c s="1160"/>
      <c s="1161"/>
      <c s="1161"/>
      <c s="1161"/>
      <c s="174"/>
      <c s="174"/>
      <c s="174"/>
      <c s="1168" t="str">
        <f>IF(AND(C18&lt;350,AE20&gt;20),IF((M20+S20)&lt;20,"Уменьшите вес загрузки ящика","Слищком тяжелый ящик, уменьшите размер"),IF(AE20&gt;60,IF((M20+S20)&lt;60,"Уменьшите вес загрузки ящика","Слишком тяжелый ящик, уменьшите размер"),""))</f>
        <v/>
      </c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168"/>
      <c s="173"/>
      <c r="AP28" s="164"/>
      <c s="164"/>
      <c s="164"/>
    </row>
    <row r="29" spans="1:44" ht="18.75" customHeight="1" hidden="1">
      <c r="A29" s="283"/>
      <c s="172"/>
      <c s="171"/>
      <c s="170"/>
      <c s="1182"/>
      <c s="1182"/>
      <c s="1182"/>
      <c s="1182"/>
      <c s="166"/>
      <c s="166"/>
      <c s="174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73"/>
      <c r="AP29" s="164"/>
      <c s="164"/>
      <c s="164"/>
    </row>
    <row r="30" spans="1:44" ht="18.75" customHeight="1">
      <c r="A30" s="284"/>
      <c s="285"/>
      <c s="286"/>
      <c s="287"/>
      <c s="1155"/>
      <c s="1155"/>
      <c s="1155"/>
      <c s="1155"/>
      <c s="288"/>
      <c s="288"/>
      <c s="169"/>
      <c s="1167" t="s">
        <v>177</v>
      </c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167"/>
      <c s="168">
        <f>FLOOR(1125/(C19-247),1)</f>
        <v>3</v>
      </c>
      <c s="1188" t="str">
        <f>IF(AE30&lt;2,"ящик",IF(AE30&lt;5,"ящика","ящиков"))</f>
        <v>ящика</v>
      </c>
      <c s="1188"/>
      <c s="1188"/>
      <c s="1188"/>
      <c s="281"/>
      <c s="167"/>
      <c r="AP30" s="164"/>
      <c s="164"/>
      <c s="164"/>
    </row>
    <row r="31" spans="1:44" ht="24" customHeight="1" thickBot="1">
      <c r="A31" s="1177"/>
      <c s="1178"/>
      <c s="1178"/>
      <c s="1178"/>
      <c s="1179"/>
      <c s="1179"/>
      <c s="1179"/>
      <c s="1179"/>
      <c s="1179"/>
      <c s="1179"/>
      <c s="1179"/>
      <c s="165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6"/>
      <c s="165"/>
      <c r="AP31" s="164"/>
      <c s="164"/>
      <c s="164"/>
    </row>
    <row r="32" spans="1:44" ht="23.25" customHeight="1">
      <c r="A32" s="1189" t="s">
        <v>294</v>
      </c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0"/>
      <c s="1191"/>
      <c r="AP32" s="164"/>
      <c s="164"/>
      <c s="164"/>
    </row>
    <row r="33" spans="1:37" ht="19.5" customHeight="1" thickBot="1">
      <c r="A33" s="1192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3"/>
      <c s="1194"/>
    </row>
    <row r="34" spans="5:10" ht="18.75" customHeight="1">
      <c r="E34" s="1200"/>
      <c s="1201"/>
      <c s="1201"/>
      <c s="1201"/>
      <c s="1201"/>
      <c s="1201"/>
    </row>
    <row r="35" spans="5:10" ht="23.25" customHeight="1">
      <c r="E35" s="1201"/>
      <c s="1201"/>
      <c s="1201"/>
      <c s="1201"/>
      <c s="1201"/>
      <c s="1201"/>
    </row>
    <row r="36" spans="5:10" ht="15">
      <c r="E36" s="1202"/>
      <c s="1203"/>
      <c s="1203"/>
      <c s="1203"/>
      <c s="1203"/>
      <c s="1203"/>
    </row>
    <row r="37" spans="5:10" ht="15">
      <c r="E37" s="1204"/>
      <c s="1204"/>
      <c s="1204"/>
      <c s="1204"/>
      <c s="1204"/>
      <c s="1204"/>
    </row>
    <row r="38" spans="5:10" ht="15" customHeight="1">
      <c r="E38" s="1202"/>
      <c s="1202"/>
      <c s="1202"/>
      <c s="1202"/>
      <c s="1202"/>
      <c s="1202"/>
    </row>
    <row r="39" spans="5:10" ht="21.75" customHeight="1">
      <c r="E39" s="1202"/>
      <c s="1202"/>
      <c s="1202"/>
      <c s="1202"/>
      <c s="1202"/>
      <c s="1202"/>
    </row>
    <row r="40" spans="5:10" ht="15" customHeight="1">
      <c r="E40" s="1202"/>
      <c s="1202"/>
      <c s="1202"/>
      <c s="1202"/>
      <c s="1202"/>
      <c s="1202"/>
    </row>
    <row r="41" spans="5:10" ht="15" customHeight="1">
      <c r="E41" s="1205"/>
      <c s="1205"/>
      <c s="1205"/>
      <c s="1205"/>
      <c s="1205"/>
      <c s="1205"/>
    </row>
    <row r="42" spans="5:10" ht="15" customHeight="1">
      <c r="E42" s="1205"/>
      <c s="1205"/>
      <c s="1205"/>
      <c s="1205"/>
      <c s="1205"/>
      <c s="1205"/>
    </row>
    <row r="44" spans="5:11" ht="15" customHeight="1">
      <c r="E44" s="1195" t="s">
        <v>176</v>
      </c>
      <c s="1196"/>
      <c s="1196"/>
      <c s="1196"/>
      <c s="1196"/>
      <c s="1196"/>
      <c s="1127"/>
    </row>
    <row r="45" spans="5:11" ht="24" customHeight="1">
      <c r="E45" s="1197"/>
      <c s="1197"/>
      <c s="1197"/>
      <c s="1197"/>
      <c s="1197"/>
      <c s="1197"/>
      <c s="1127"/>
    </row>
    <row r="46" spans="5:11" ht="15" customHeight="1">
      <c r="E46" s="1198" t="s">
        <v>175</v>
      </c>
      <c s="1199"/>
      <c s="1199"/>
      <c s="1199"/>
      <c s="1199"/>
      <c s="1199"/>
      <c s="1128"/>
    </row>
    <row r="47" spans="5:11" ht="23.25" customHeight="1">
      <c r="E47" s="1199"/>
      <c s="1199"/>
      <c s="1199"/>
      <c s="1199"/>
      <c s="1199"/>
      <c s="1199"/>
      <c s="1128"/>
    </row>
    <row r="48" spans="5:11" ht="15">
      <c r="E48" s="1195" t="s">
        <v>174</v>
      </c>
      <c s="1196"/>
      <c s="1196"/>
      <c s="1196"/>
      <c s="1196"/>
      <c s="1196"/>
      <c s="1128"/>
    </row>
    <row r="49" spans="5:11" ht="21" customHeight="1">
      <c r="E49" s="1197"/>
      <c s="1197"/>
      <c s="1197"/>
      <c s="1197"/>
      <c s="1197"/>
      <c s="1197"/>
      <c s="1128"/>
    </row>
    <row r="50" spans="5:11" ht="15">
      <c r="E50" s="1195" t="s">
        <v>173</v>
      </c>
      <c s="1196"/>
      <c s="1196"/>
      <c s="1196"/>
      <c s="1196"/>
      <c s="1196"/>
      <c s="1128"/>
    </row>
    <row r="51" spans="5:11" ht="15">
      <c r="E51" s="1197"/>
      <c s="1197"/>
      <c s="1197"/>
      <c s="1197"/>
      <c s="1197"/>
      <c s="1197"/>
      <c s="1128"/>
    </row>
    <row r="52" spans="5:11" ht="18.75" customHeight="1" thickBot="1">
      <c r="E52" s="1197"/>
      <c s="1197"/>
      <c s="1197"/>
      <c s="1197"/>
      <c s="1197"/>
      <c s="1197"/>
      <c s="1128"/>
    </row>
  </sheetData>
  <sheetProtection password="CF68" sheet="1" objects="1" scenarios="1" formatCells="0" formatColumns="0" formatRows="0" insertColumns="0" insertRows="0" insertHyperlinks="0" deleteColumns="0" deleteRows="0" sort="0" autoFilter="0" pivotTables="0"/>
  <customSheetViews>
    <customSheetView guid="{a25b6f15-9b48-4230-9c30-183637d1319e}" hiddenColumns="1" hiddenRows="1" showGridLines="0" showRowCol="0" topLeftCell="A34">
      <selection pane="topLeft" activeCell="AN19" sqref="AN19"/>
      <pageMargins left="0.708661417322835" right="0.708661417322835" top="0.748031496062992" bottom="0.748031496062992" header="0.31496062992126" footer="0.31496062992126"/>
      <pageSetup orientation="landscape" paperSize="9" scale="52" r:id="rId3"/>
    </customSheetView>
  </customSheetViews>
  <mergeCells count="50">
    <mergeCell ref="A32:AK33"/>
    <mergeCell ref="E44:K45"/>
    <mergeCell ref="E46:K47"/>
    <mergeCell ref="E48:K49"/>
    <mergeCell ref="E50:K52"/>
    <mergeCell ref="E34:J35"/>
    <mergeCell ref="E36:J37"/>
    <mergeCell ref="E38:J40"/>
    <mergeCell ref="E42:J42"/>
    <mergeCell ref="E41:J41"/>
    <mergeCell ref="A31:K31"/>
    <mergeCell ref="C23:D23"/>
    <mergeCell ref="C24:D24"/>
    <mergeCell ref="E25:H25"/>
    <mergeCell ref="E29:H29"/>
    <mergeCell ref="K25:K27"/>
    <mergeCell ref="K24:L24"/>
    <mergeCell ref="B25:D25"/>
    <mergeCell ref="C26:D26"/>
    <mergeCell ref="L22:AJ23"/>
    <mergeCell ref="Y24:AB24"/>
    <mergeCell ref="AF30:AI30"/>
    <mergeCell ref="AG24:AJ24"/>
    <mergeCell ref="B20:D20"/>
    <mergeCell ref="S18:X19"/>
    <mergeCell ref="E30:H30"/>
    <mergeCell ref="C27:D28"/>
    <mergeCell ref="E26:H28"/>
    <mergeCell ref="B27:B28"/>
    <mergeCell ref="C18:D18"/>
    <mergeCell ref="C19:D19"/>
    <mergeCell ref="Q24:T24"/>
    <mergeCell ref="U24:X24"/>
    <mergeCell ref="L30:AD30"/>
    <mergeCell ref="L28:AJ29"/>
    <mergeCell ref="AC24:AF24"/>
    <mergeCell ref="M24:P24"/>
    <mergeCell ref="Y18:AD19"/>
    <mergeCell ref="AE18:AJ19"/>
    <mergeCell ref="M20:R20"/>
    <mergeCell ref="S20:X20"/>
    <mergeCell ref="Y20:AD20"/>
    <mergeCell ref="AE20:AJ20"/>
    <mergeCell ref="M18:R19"/>
    <mergeCell ref="A1:AK1"/>
    <mergeCell ref="AU1:AY1"/>
    <mergeCell ref="A12:AK12"/>
    <mergeCell ref="B15:D16"/>
    <mergeCell ref="M15:AJ17"/>
    <mergeCell ref="C17:D17"/>
  </mergeCells>
  <conditionalFormatting sqref="H23">
    <cfRule type="expression" priority="25" dxfId="27">
      <formula>$C$22=$AT$3</formula>
    </cfRule>
  </conditionalFormatting>
  <conditionalFormatting sqref="L25">
    <cfRule type="expression" priority="26" dxfId="24">
      <formula>AND(#REF!&gt;349,$AE$20&lt;20.01)</formula>
    </cfRule>
  </conditionalFormatting>
  <conditionalFormatting sqref="L26">
    <cfRule type="expression" priority="27" dxfId="24">
      <formula>AND(#REF!&gt;349,$AE$20&gt;4.99,$AE$20&lt;40.01)</formula>
    </cfRule>
  </conditionalFormatting>
  <conditionalFormatting sqref="L27">
    <cfRule type="expression" priority="28" dxfId="24">
      <formula>AND(#REF!&gt;349,$AE$20&gt;24.99,$AE$20&lt;60)</formula>
    </cfRule>
  </conditionalFormatting>
  <conditionalFormatting sqref="M25:M27">
    <cfRule type="expression" priority="24" dxfId="0">
      <formula>$AZ$2=1</formula>
    </cfRule>
  </conditionalFormatting>
  <conditionalFormatting sqref="N25:N27">
    <cfRule type="expression" priority="23" dxfId="0">
      <formula>$AZ$2=2</formula>
    </cfRule>
  </conditionalFormatting>
  <conditionalFormatting sqref="O25:O27">
    <cfRule type="expression" priority="22" dxfId="0">
      <formula>$AZ$2=3</formula>
    </cfRule>
  </conditionalFormatting>
  <conditionalFormatting sqref="P25:P27">
    <cfRule type="expression" priority="21" dxfId="0">
      <formula>$AZ$2=4</formula>
    </cfRule>
  </conditionalFormatting>
  <conditionalFormatting sqref="Q25:Q27">
    <cfRule type="expression" priority="20" dxfId="0">
      <formula>$AZ$2=5</formula>
    </cfRule>
  </conditionalFormatting>
  <conditionalFormatting sqref="R25:R27">
    <cfRule type="expression" priority="19" dxfId="0">
      <formula>$AZ$2=6</formula>
    </cfRule>
  </conditionalFormatting>
  <conditionalFormatting sqref="S25:S27">
    <cfRule type="expression" priority="18" dxfId="0">
      <formula>$AZ$2=7</formula>
    </cfRule>
  </conditionalFormatting>
  <conditionalFormatting sqref="T25:T27">
    <cfRule type="expression" priority="17" dxfId="0">
      <formula>$AZ$2=8</formula>
    </cfRule>
  </conditionalFormatting>
  <conditionalFormatting sqref="U25:U27">
    <cfRule type="expression" priority="16" dxfId="0">
      <formula>$AZ$2=9</formula>
    </cfRule>
  </conditionalFormatting>
  <conditionalFormatting sqref="V25:V27">
    <cfRule type="expression" priority="15" dxfId="0">
      <formula>$AZ$2=10</formula>
    </cfRule>
  </conditionalFormatting>
  <conditionalFormatting sqref="W25:W27">
    <cfRule type="expression" priority="14" dxfId="0">
      <formula>$AZ$2=11</formula>
    </cfRule>
  </conditionalFormatting>
  <conditionalFormatting sqref="X25:X27">
    <cfRule type="expression" priority="13" dxfId="0">
      <formula>$AZ$2=12</formula>
    </cfRule>
  </conditionalFormatting>
  <conditionalFormatting sqref="Y25:Y27">
    <cfRule type="expression" priority="12" dxfId="0">
      <formula>$AZ$2=13</formula>
    </cfRule>
  </conditionalFormatting>
  <conditionalFormatting sqref="Z25:Z27">
    <cfRule type="expression" priority="11" dxfId="0">
      <formula>$AZ$2=14</formula>
    </cfRule>
  </conditionalFormatting>
  <conditionalFormatting sqref="AA25:AA27">
    <cfRule type="expression" priority="10" dxfId="0">
      <formula>$AZ$2=15</formula>
    </cfRule>
  </conditionalFormatting>
  <conditionalFormatting sqref="AB25:AB27">
    <cfRule type="expression" priority="9" dxfId="0">
      <formula>$AZ$2=16</formula>
    </cfRule>
  </conditionalFormatting>
  <conditionalFormatting sqref="AC25:AC27">
    <cfRule type="expression" priority="8" dxfId="0">
      <formula>$AZ$2=17</formula>
    </cfRule>
  </conditionalFormatting>
  <conditionalFormatting sqref="AD25:AD27">
    <cfRule type="expression" priority="7" dxfId="0">
      <formula>$AZ$2=18</formula>
    </cfRule>
  </conditionalFormatting>
  <conditionalFormatting sqref="AE25:AE27">
    <cfRule type="expression" priority="6" dxfId="0">
      <formula>$AZ$2=19</formula>
    </cfRule>
  </conditionalFormatting>
  <conditionalFormatting sqref="AF25:AF27">
    <cfRule type="expression" priority="5" dxfId="0">
      <formula>$AZ$2=20</formula>
    </cfRule>
  </conditionalFormatting>
  <conditionalFormatting sqref="AG25:AG27">
    <cfRule type="expression" priority="4" dxfId="0">
      <formula>$AZ$2=21</formula>
    </cfRule>
  </conditionalFormatting>
  <conditionalFormatting sqref="AH25:AH27">
    <cfRule type="expression" priority="3" dxfId="0">
      <formula>$AZ$2=22</formula>
    </cfRule>
  </conditionalFormatting>
  <conditionalFormatting sqref="AI25:AI27">
    <cfRule type="expression" priority="2" dxfId="0">
      <formula>$AZ$2=23</formula>
    </cfRule>
  </conditionalFormatting>
  <conditionalFormatting sqref="AJ25:AJ27">
    <cfRule type="expression" priority="1" dxfId="0">
      <formula>$AZ$2=24</formula>
    </cfRule>
  </conditionalFormatting>
  <dataValidations count="5">
    <dataValidation type="list" allowBlank="1" showInputMessage="1" showErrorMessage="1" sqref="D22">
      <formula1>$AS$3:$AS$5</formula1>
    </dataValidation>
    <dataValidation type="list" allowBlank="1" showInputMessage="1" showErrorMessage="1" sqref="C22">
      <formula1>$AQ$2:$AQ$6</formula1>
    </dataValidation>
    <dataValidation type="list" allowBlank="1" showInputMessage="1" showErrorMessage="1" sqref="C18:D18">
      <formula1>$AP$6:$AP$7</formula1>
    </dataValidation>
    <dataValidation type="list" allowBlank="1" showInputMessage="1" showErrorMessage="1" sqref="AM9">
      <formula1>$AM$2:$AM$6</formula1>
    </dataValidation>
    <dataValidation type="list" allowBlank="1" showInputMessage="1" showErrorMessage="1" sqref="C17:D17">
      <formula1>$AO$2:$AO$8</formula1>
    </dataValidation>
  </dataValidations>
  <hyperlinks>
    <hyperlink ref="AL1" location="Содержание!A1" display="← СОДЕРЖАНИЕ:"/>
  </hyperlinks>
  <pageMargins left="0.708661417322835" right="0.708661417322835" top="0.748031496062992" bottom="0.748031496062992" header="0.31496062992126" footer="0.31496062992126"/>
  <pageSetup orientation="landscape" paperSize="9" scale="52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7">
    <tabColor theme="0" tint="-0.499960005283356"/>
    <pageSetUpPr fitToPage="1"/>
  </sheetPr>
  <dimension ref="A1:AZ46"/>
  <sheetViews>
    <sheetView showGridLines="0" zoomScale="85" zoomScaleNormal="85" zoomScalePageLayoutView="55" workbookViewId="0" topLeftCell="A1">
      <selection pane="topLeft" activeCell="AO20" sqref="AO20"/>
    </sheetView>
  </sheetViews>
  <sheetFormatPr defaultColWidth="9.14428571428571" defaultRowHeight="15"/>
  <cols>
    <col min="1" max="1" width="3.85714285714286" style="163" customWidth="1"/>
    <col min="2" max="2" width="43.2857142857143" style="163" customWidth="1"/>
    <col min="3" max="3" width="14.2857142857143" style="163" customWidth="1"/>
    <col min="4" max="4" width="11.7142857142857" style="163" customWidth="1"/>
    <col min="5" max="5" width="9.42857142857143" style="163" customWidth="1"/>
    <col min="6" max="6" width="2" style="163" customWidth="1"/>
    <col min="7" max="7" width="2.28571428571429" style="163" customWidth="1"/>
    <col min="8" max="8" width="28.5714285714286" style="163" customWidth="1"/>
    <col min="9" max="10" width="2.42857142857143" style="163" customWidth="1"/>
    <col min="11" max="12" width="5.28571428571429" style="163" customWidth="1"/>
    <col min="13" max="13" width="2" style="163" customWidth="1"/>
    <col min="14" max="14" width="2.28571428571429" style="163" customWidth="1"/>
    <col min="15" max="15" width="2" style="163" customWidth="1"/>
    <col min="16" max="16" width="2.85714285714286" style="163" customWidth="1"/>
    <col min="17" max="17" width="2.71428571428571" style="163" customWidth="1"/>
    <col min="18" max="18" width="2.85714285714286" style="163" customWidth="1"/>
    <col min="19" max="19" width="2.28571428571429" style="163" customWidth="1"/>
    <col min="20" max="20" width="2.71428571428571" style="163" customWidth="1"/>
    <col min="21" max="21" width="2.14285714285714" style="163" customWidth="1"/>
    <col min="22" max="22" width="2.71428571428571" style="163" customWidth="1"/>
    <col min="23" max="23" width="1.71428571428571" style="163" customWidth="1"/>
    <col min="24" max="24" width="2.42857142857143" style="163" customWidth="1"/>
    <col min="25" max="25" width="2" style="163" customWidth="1"/>
    <col min="26" max="26" width="1.71428571428571" style="163" customWidth="1"/>
    <col min="27" max="27" width="2.42857142857143" style="163" customWidth="1"/>
    <col min="28" max="28" width="2.71428571428571" style="163" customWidth="1"/>
    <col min="29" max="29" width="2.42857142857143" style="163" customWidth="1"/>
    <col min="30" max="30" width="2.57142857142857" style="163" customWidth="1"/>
    <col min="31" max="31" width="3.42857142857143" style="163" customWidth="1"/>
    <col min="32" max="32" width="2.14285714285714" style="163" customWidth="1"/>
    <col min="33" max="33" width="2" style="163" customWidth="1"/>
    <col min="34" max="34" width="2.57142857142857" style="163" customWidth="1"/>
    <col min="35" max="35" width="2.85714285714286" style="163" customWidth="1"/>
    <col min="36" max="36" width="2" style="163" customWidth="1"/>
    <col min="37" max="37" width="2.85714285714286" style="163" customWidth="1"/>
    <col min="38" max="38" width="6" style="163" customWidth="1"/>
    <col min="39" max="39" width="20.7142857142857" style="163" customWidth="1"/>
    <col min="40" max="41" width="9.14285714285714" style="163" customWidth="1"/>
    <col min="42" max="42" width="9.14285714285714" style="163" hidden="1" customWidth="1"/>
    <col min="43" max="43" width="19.4285714285714" style="163" hidden="1" customWidth="1"/>
    <col min="44" max="44" width="10.4285714285714" style="163" hidden="1" customWidth="1"/>
    <col min="45" max="45" width="20.2857142857143" style="163" hidden="1" customWidth="1"/>
    <col min="46" max="46" width="24" style="163" hidden="1" customWidth="1"/>
    <col min="47" max="47" width="11.4285714285714" style="163" hidden="1" customWidth="1"/>
    <col min="48" max="48" width="11.2857142857143" style="163" hidden="1" customWidth="1"/>
    <col min="49" max="49" width="10.2857142857143" style="163" hidden="1" customWidth="1"/>
    <col min="50" max="50" width="9" style="163" hidden="1" customWidth="1"/>
    <col min="51" max="52" width="9.14285714285714" style="163" hidden="1" customWidth="1"/>
    <col min="53" max="54" width="9.14285714285714" style="163" customWidth="1"/>
    <col min="55" max="16384" width="9.14285714285714" style="163"/>
  </cols>
  <sheetData>
    <row r="1" spans="1:52" ht="45.75" customHeight="1" thickBot="1">
      <c r="A1" s="1246"/>
      <c s="1247"/>
      <c s="1247"/>
      <c s="1247"/>
      <c s="1247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1248"/>
      <c s="292"/>
      <c s="338" t="s">
        <v>295</v>
      </c>
      <c r="AP1" s="216" t="s">
        <v>255</v>
      </c>
      <c s="216" t="s">
        <v>197</v>
      </c>
      <c s="216" t="s">
        <v>254</v>
      </c>
      <c s="223" t="s">
        <v>253</v>
      </c>
      <c s="226" t="s">
        <v>252</v>
      </c>
      <c s="1133" t="s">
        <v>251</v>
      </c>
      <c s="1133"/>
      <c s="1133"/>
      <c s="1133"/>
      <c s="1133"/>
      <c s="228" t="s">
        <v>250</v>
      </c>
    </row>
    <row r="2" spans="1:5 38:52" ht="15" customHeight="1">
      <c r="A2" s="293"/>
      <c s="274"/>
      <c s="274"/>
      <c s="274"/>
      <c s="274"/>
      <c r="AL2" s="231"/>
      <c r="AN2" s="275"/>
      <c r="AP2" s="216">
        <v>270</v>
      </c>
      <c s="216" t="s">
        <v>244</v>
      </c>
      <c s="216">
        <v>680</v>
      </c>
      <c s="223" t="s">
        <v>243</v>
      </c>
      <c s="226" t="s">
        <v>242</v>
      </c>
      <c s="223" t="s">
        <v>241</v>
      </c>
      <c s="223" t="s">
        <v>240</v>
      </c>
      <c s="223" t="s">
        <v>239</v>
      </c>
      <c s="223" t="s">
        <v>238</v>
      </c>
      <c s="223" t="s">
        <v>237</v>
      </c>
      <c s="163">
        <f>IF(AE20&lt;0,0,IF(AE20&lt;2.51,1,IF(AE20&lt;5.01,2,IF(AE20&lt;7.51,3,IF(AE20&lt;10.01,4,IF(AE20&lt;12.51,5,IF(AE20&lt;15.01,6,IF(AE20&lt;17.51,7,IF(AE20&lt;20.01,8,IF(AE20&lt;22.51,9,IF(AE20&lt;25.01,10,IF(AE20&lt;27.51,11,IF(AE20&lt;30.01,12,IF(AE20&lt;32.51,13,IF(AE20&lt;35.01,14,IF(AE20&lt;37.51,15,IF(AE20&lt;40.01,16,IF(AE20&lt;42.51,17,IF(AE20&lt;45.01,18,IF(AE20&lt;47.51,19,IF(AE20&lt;50.01,20,IF(AE20&lt;52.51,21,IF(AE20&lt;55.01,22,IF(AE20&lt;57.51,23,IF(AE20&lt;60,24,25)))))))))))))))))))))))))</f>
        <v>21</v>
      </c>
    </row>
    <row r="3" spans="1:5 38:51" ht="15" customHeight="1">
      <c r="A3" s="293"/>
      <c s="274"/>
      <c s="274"/>
      <c s="274"/>
      <c s="274"/>
      <c r="AL3" s="231"/>
      <c r="AP3" s="216">
        <v>300</v>
      </c>
      <c s="216" t="s">
        <v>234</v>
      </c>
      <c s="216">
        <v>550</v>
      </c>
      <c s="223" t="s">
        <v>233</v>
      </c>
      <c s="226" t="s">
        <v>232</v>
      </c>
      <c s="223" t="s">
        <v>280</v>
      </c>
      <c s="223">
        <f>(C25-10)*C27/1000000</f>
        <v>0.098000000000000004</v>
      </c>
      <c s="223">
        <f>IF(C18=AQ2,AR2,IF(C18=AQ3,AR3,IF(C18=AQ4,AR4,IF(C18=AQ5,AR5,IF(C18=AQ6,AR6,IF(C18=AQ7,AR7,0))))))</f>
        <v>680</v>
      </c>
      <c s="223">
        <f>IF(D18=AS2,10,IF(D18=AS3,16,IF(D18=AS4,18,IF(D18=AS5,19,IF(D18=AS6,4,0)))))</f>
        <v>16</v>
      </c>
      <c s="223">
        <f t="shared" si="0" ref="AY3:AY8">AV3*AW3*AX3/1000</f>
        <v>1.0662400000000001</v>
      </c>
    </row>
    <row r="4" spans="1:5 38:51" ht="15" customHeight="1">
      <c r="A4" s="293"/>
      <c s="274"/>
      <c s="274"/>
      <c s="274"/>
      <c s="274"/>
      <c r="AL4" s="231"/>
      <c r="AP4" s="216">
        <v>350</v>
      </c>
      <c s="216" t="s">
        <v>228</v>
      </c>
      <c s="216">
        <v>750</v>
      </c>
      <c s="223" t="s">
        <v>227</v>
      </c>
      <c r="AU4" s="223" t="s">
        <v>279</v>
      </c>
      <c s="223">
        <f>(C25-10)*C27/1000000</f>
        <v>0.098000000000000004</v>
      </c>
      <c s="223">
        <f>IF(C18=AQ2,AR2,IF(C18=AQ3,AR3,IF(C18=AQ4,AR4,IF(C18=AQ5,AR5,IF(C18=AQ6,AR6,IF(C18=AQ7,AR7,0))))))</f>
        <v>680</v>
      </c>
      <c s="223">
        <f>IF(D18=AS2,10,IF(D18=AS3,16,IF(D18=AS4,18,IF(D18=AS5,19,IF(D18=AS6,4,0)))))</f>
        <v>16</v>
      </c>
      <c s="223">
        <f t="shared" si="0"/>
        <v>1.0662400000000001</v>
      </c>
    </row>
    <row r="5" spans="1:5 38:51" ht="15" customHeight="1">
      <c r="A5" s="293"/>
      <c s="274"/>
      <c s="274"/>
      <c s="274"/>
      <c s="274"/>
      <c r="AL5" s="231"/>
      <c r="AP5" s="216">
        <v>400</v>
      </c>
      <c s="216" t="s">
        <v>223</v>
      </c>
      <c s="216">
        <v>690</v>
      </c>
      <c s="223" t="s">
        <v>194</v>
      </c>
      <c r="AU5" s="223" t="s">
        <v>278</v>
      </c>
      <c s="223">
        <f>(C26-42)*C27/1000000</f>
        <v>0.1116</v>
      </c>
      <c s="223">
        <f>IF(C18=AQ2,AR2,IF(C18=AQ3,AR3,IF(C18=AQ4,AR4,IF(C18=AQ5,AR5,IF(C18=AQ6,AR6,IF(C18=AQ7,AR7,0))))))</f>
        <v>680</v>
      </c>
      <c s="223">
        <f>IF(D18=AS2,10,IF(D18=AS3,16,IF(D18=AS4,18,IF(D18=AS5,19,IF(D18=AS6,4,0)))))</f>
        <v>16</v>
      </c>
      <c s="223">
        <f t="shared" si="0"/>
        <v>1.2142080000000002</v>
      </c>
    </row>
    <row r="6" spans="1:5 38:51" ht="15" customHeight="1">
      <c r="A6" s="293"/>
      <c s="274"/>
      <c s="274"/>
      <c s="274"/>
      <c s="274"/>
      <c r="AL6" s="231"/>
      <c r="AP6" s="216">
        <v>450</v>
      </c>
      <c s="216" t="s">
        <v>195</v>
      </c>
      <c s="216">
        <v>760</v>
      </c>
      <c s="223" t="s">
        <v>219</v>
      </c>
      <c r="AU6" s="223" t="s">
        <v>277</v>
      </c>
      <c s="223">
        <f>IF(C22=AT2,(C26-42)*C27/1000000,0)</f>
        <v>0.1116</v>
      </c>
      <c s="223">
        <f>IF(C18=AQ2,AR2,IF(C18=AQ3,AR3,IF(C18=AQ4,AR4,IF(C18=AQ5,AR5,IF(C18=AQ6,AR6,IF(C18=AQ7,AR7,0))))))</f>
        <v>680</v>
      </c>
      <c s="223">
        <f>IF(D18=AS2,10,IF(D18=AS3,16,IF(D18=AS4,18,IF(D18=AS5,19,IF(D18=AS6,4,0)))))</f>
        <v>16</v>
      </c>
      <c s="223">
        <f t="shared" si="0"/>
        <v>1.2142080000000002</v>
      </c>
    </row>
    <row r="7" spans="1:5 38:51" ht="15" customHeight="1">
      <c r="A7" s="293"/>
      <c s="274"/>
      <c s="274"/>
      <c s="274"/>
      <c s="274"/>
      <c r="AL7" s="231"/>
      <c r="AP7" s="216">
        <v>500</v>
      </c>
      <c s="216" t="s">
        <v>215</v>
      </c>
      <c s="216">
        <v>900</v>
      </c>
      <c s="223"/>
      <c r="AU7" s="223" t="s">
        <v>276</v>
      </c>
      <c s="223">
        <f>IF(C22=AT2,(C26-42)*(C25-10-(AX5*2))/1000000,(C26-42)*(C25-10-AX5)/1000000)</f>
        <v>0.25556400000000001</v>
      </c>
      <c s="223">
        <f>IF(C19=AQ2,AR2,IF(C19=AQ3,AR3,IF(C19=AQ4,AR4,IF(C19=AQ5,AR5,IF(C19=AQ6,AR6,IF(C19=AQ7,AR7,0))))))</f>
        <v>680</v>
      </c>
      <c s="223">
        <f>IF(D19=AS2,10,IF(D19=AS3,16,IF(D19=AS4,18,IF(D19=AS5,19,IF(D19=AS6,4,0)))))</f>
        <v>16</v>
      </c>
      <c s="223">
        <f t="shared" si="0"/>
        <v>2.78053632</v>
      </c>
    </row>
    <row r="8" spans="1:5 38:51" ht="15" customHeight="1">
      <c r="A8" s="293"/>
      <c s="274"/>
      <c s="274"/>
      <c s="274"/>
      <c s="274"/>
      <c r="AL8" s="231"/>
      <c r="AP8" s="216">
        <v>550</v>
      </c>
      <c s="164"/>
      <c s="164"/>
      <c r="AU8" s="223" t="s">
        <v>275</v>
      </c>
      <c s="223">
        <f>C28*C29/1000000</f>
        <v>0.20999999999999999</v>
      </c>
      <c s="223">
        <f>IF(C20=AQ2,AR2,IF(C20=AQ3,AR3,IF(C20=AQ4,AR4,IF(C20=AQ5,AR5,IF(C20=AQ6,AR6,IF(C20=AQ7,AR7,0))))))</f>
        <v>760</v>
      </c>
      <c s="223">
        <f>IF(D20=AS2,10,IF(D20=AS3,16,IF(D20=AS4,18,IF(D20=AS5,19,IF(D20=AS6,4,0)))))</f>
        <v>19</v>
      </c>
      <c s="223">
        <f t="shared" si="0"/>
        <v>3.0324</v>
      </c>
    </row>
    <row r="9" spans="1:5 38:51" ht="15" customHeight="1">
      <c r="A9" s="293"/>
      <c s="274"/>
      <c s="274"/>
      <c s="274"/>
      <c s="274"/>
      <c r="AL9" s="231"/>
      <c r="AP9" s="216">
        <v>600</v>
      </c>
      <c s="164"/>
      <c s="164"/>
      <c r="AY9" s="222">
        <f>SUM(AY3:AY8)</f>
        <v>10.373832320000002</v>
      </c>
    </row>
    <row r="10" spans="1:5 38:51" ht="15" customHeight="1">
      <c r="A10" s="293"/>
      <c s="274"/>
      <c s="274"/>
      <c s="274"/>
      <c s="274"/>
      <c r="AL10" s="231"/>
      <c r="AP10" s="216">
        <v>650</v>
      </c>
      <c s="164"/>
      <c s="164"/>
      <c r="AY10" s="224"/>
    </row>
    <row r="11" spans="1:5 38:44" ht="25.5" customHeight="1">
      <c r="A11" s="293"/>
      <c s="274"/>
      <c s="274"/>
      <c s="274"/>
      <c s="274"/>
      <c r="AL11" s="231"/>
      <c r="AP11" s="216">
        <v>700</v>
      </c>
      <c s="164"/>
      <c s="164"/>
    </row>
    <row r="12" spans="1:44" ht="18.75" customHeight="1">
      <c r="A12" s="1249" t="s">
        <v>210</v>
      </c>
      <c s="1250"/>
      <c s="1250"/>
      <c s="1250"/>
      <c s="1250"/>
      <c s="1250"/>
      <c s="1250"/>
      <c s="1250"/>
      <c s="1250"/>
      <c s="1250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1251"/>
      <c s="231"/>
      <c r="AP12" s="216">
        <v>750</v>
      </c>
      <c s="164"/>
      <c s="164"/>
    </row>
    <row r="13" spans="1:44" ht="16.5" customHeight="1">
      <c r="A13" s="295" t="s">
        <v>285</v>
      </c>
      <c s="296"/>
      <c s="296"/>
      <c s="296"/>
      <c s="296"/>
      <c s="297"/>
      <c s="296"/>
      <c s="296"/>
      <c s="298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31"/>
      <c r="AP13" s="164"/>
      <c s="164"/>
      <c s="164"/>
    </row>
    <row r="14" spans="1:44" ht="18.75" customHeight="1">
      <c r="A14" s="299" t="s">
        <v>286</v>
      </c>
      <c s="296"/>
      <c s="296"/>
      <c s="296"/>
      <c s="296"/>
      <c s="300"/>
      <c s="296"/>
      <c s="296"/>
      <c s="298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96"/>
      <c s="230"/>
      <c r="AP14" s="164"/>
      <c s="164"/>
      <c s="164"/>
    </row>
    <row r="15" spans="1:44" ht="12" customHeight="1">
      <c r="A15" s="269"/>
      <c s="1152" t="s">
        <v>274</v>
      </c>
      <c s="1153"/>
      <c s="1154"/>
      <c s="165"/>
      <c s="165"/>
      <c s="165"/>
      <c s="165"/>
      <c s="165"/>
      <c s="165"/>
      <c s="273"/>
      <c s="272"/>
      <c s="1230" t="s">
        <v>287</v>
      </c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1230"/>
      <c s="271"/>
      <c s="244"/>
      <c r="AP15" s="164"/>
      <c s="164"/>
      <c s="164"/>
    </row>
    <row r="16" spans="1:44" ht="12.75" customHeight="1">
      <c r="A16" s="269"/>
      <c s="1252"/>
      <c s="1253"/>
      <c s="1254"/>
      <c s="165"/>
      <c s="165"/>
      <c s="1258" t="str">
        <f>D18</f>
        <v>16 мм</v>
      </c>
      <c s="270" t="str">
        <f>D18</f>
        <v>16 мм</v>
      </c>
      <c s="1235" t="str">
        <f>D18</f>
        <v>16 мм</v>
      </c>
      <c s="165"/>
      <c s="269"/>
      <c s="208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201"/>
      <c s="244"/>
      <c r="AP16" s="164"/>
      <c s="164"/>
      <c s="164"/>
    </row>
    <row r="17" spans="1:44" ht="18.75" customHeight="1">
      <c r="A17" s="269"/>
      <c s="204"/>
      <c s="268" t="s">
        <v>197</v>
      </c>
      <c s="268" t="s">
        <v>196</v>
      </c>
      <c s="166"/>
      <c s="166"/>
      <c s="1259"/>
      <c s="1255" t="str">
        <f>D19</f>
        <v>16 мм</v>
      </c>
      <c s="1236"/>
      <c s="166"/>
      <c s="245"/>
      <c s="208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1231"/>
      <c s="201"/>
      <c s="244"/>
      <c r="AP17" s="164"/>
      <c s="164"/>
      <c s="164"/>
    </row>
    <row r="18" spans="1:44" ht="20.25" customHeight="1">
      <c r="A18" s="269"/>
      <c s="267" t="s">
        <v>273</v>
      </c>
      <c s="280" t="s">
        <v>244</v>
      </c>
      <c s="280" t="s">
        <v>233</v>
      </c>
      <c s="1239" t="str">
        <f>IF(AX3&gt;16,"Требуется доп. фрезеровка","")</f>
        <v/>
      </c>
      <c s="1239"/>
      <c s="1259"/>
      <c s="1255"/>
      <c s="1236"/>
      <c s="166"/>
      <c s="245"/>
      <c s="201"/>
      <c s="1220" t="s">
        <v>203</v>
      </c>
      <c s="1221"/>
      <c s="1221"/>
      <c s="1221"/>
      <c s="1221"/>
      <c s="1222"/>
      <c s="1220" t="s">
        <v>202</v>
      </c>
      <c s="1221"/>
      <c s="1221"/>
      <c s="1221"/>
      <c s="1221"/>
      <c s="1222"/>
      <c s="1220" t="s">
        <v>201</v>
      </c>
      <c s="1221"/>
      <c s="1221"/>
      <c s="1221"/>
      <c s="1221"/>
      <c s="1222"/>
      <c s="1220" t="s">
        <v>200</v>
      </c>
      <c s="1221"/>
      <c s="1221"/>
      <c s="1221"/>
      <c s="1221"/>
      <c s="1222"/>
      <c s="201"/>
      <c s="244"/>
      <c r="AP18" s="164"/>
      <c s="164"/>
      <c s="164"/>
    </row>
    <row r="19" spans="1:44" ht="24" customHeight="1">
      <c r="A19" s="269"/>
      <c s="267" t="s">
        <v>272</v>
      </c>
      <c s="280" t="s">
        <v>244</v>
      </c>
      <c s="280" t="s">
        <v>233</v>
      </c>
      <c s="166"/>
      <c s="166"/>
      <c s="1259"/>
      <c s="1255"/>
      <c s="1236"/>
      <c s="166"/>
      <c s="245"/>
      <c s="201"/>
      <c s="1223"/>
      <c s="1224"/>
      <c s="1224"/>
      <c s="1224"/>
      <c s="1224"/>
      <c s="1225"/>
      <c s="1223"/>
      <c s="1224"/>
      <c s="1224"/>
      <c s="1224"/>
      <c s="1224"/>
      <c s="1225"/>
      <c s="1223"/>
      <c s="1224"/>
      <c s="1224"/>
      <c s="1224"/>
      <c s="1224"/>
      <c s="1225"/>
      <c s="1223"/>
      <c s="1224"/>
      <c s="1224"/>
      <c s="1224"/>
      <c s="1224"/>
      <c s="1225"/>
      <c s="201"/>
      <c s="244"/>
      <c r="AP19" s="164"/>
      <c s="164"/>
      <c s="164"/>
    </row>
    <row r="20" spans="1:44" ht="18.75" customHeight="1">
      <c r="A20" s="269"/>
      <c s="267" t="s">
        <v>125</v>
      </c>
      <c s="280" t="s">
        <v>195</v>
      </c>
      <c s="280" t="s">
        <v>194</v>
      </c>
      <c s="166"/>
      <c s="166"/>
      <c s="1259"/>
      <c s="1255"/>
      <c s="1236"/>
      <c s="166"/>
      <c s="245"/>
      <c s="201"/>
      <c s="1226">
        <f>AY9</f>
        <v>10.373832320000002</v>
      </c>
      <c s="1227"/>
      <c s="1227"/>
      <c s="1227"/>
      <c s="1227"/>
      <c s="1228"/>
      <c s="1232">
        <f>C31/1000</f>
        <v>0</v>
      </c>
      <c s="1233"/>
      <c s="1233"/>
      <c s="1233"/>
      <c s="1233"/>
      <c s="1234"/>
      <c s="1226">
        <f>C32</f>
        <v>40</v>
      </c>
      <c s="1227"/>
      <c s="1227"/>
      <c s="1227"/>
      <c s="1227"/>
      <c s="1228"/>
      <c s="1226">
        <f>M20+S20+Y20</f>
        <v>50.373832320000005</v>
      </c>
      <c s="1227"/>
      <c s="1227"/>
      <c s="1227"/>
      <c s="1227"/>
      <c s="1228"/>
      <c s="201"/>
      <c s="244"/>
      <c r="AP20" s="164"/>
      <c s="164"/>
      <c s="164"/>
    </row>
    <row r="21" spans="1:44" ht="18.75" customHeight="1">
      <c r="A21" s="269"/>
      <c s="1137" t="s">
        <v>271</v>
      </c>
      <c s="1137"/>
      <c s="1137"/>
      <c s="166"/>
      <c s="166"/>
      <c s="1259"/>
      <c s="1255"/>
      <c s="1236"/>
      <c s="166"/>
      <c s="245"/>
      <c s="201"/>
      <c s="266"/>
      <c s="266"/>
      <c s="266"/>
      <c s="266"/>
      <c s="266"/>
      <c s="266"/>
      <c s="266"/>
      <c s="266"/>
      <c s="266"/>
      <c s="266"/>
      <c s="266"/>
      <c s="266"/>
      <c s="266"/>
      <c s="266"/>
      <c s="266"/>
      <c s="266"/>
      <c s="266"/>
      <c s="266"/>
      <c s="199"/>
      <c s="199"/>
      <c s="199"/>
      <c s="199"/>
      <c s="199"/>
      <c s="199"/>
      <c s="201"/>
      <c s="244"/>
      <c r="AP21" s="164"/>
      <c s="164"/>
      <c s="164"/>
    </row>
    <row r="22" spans="1:44" ht="18" customHeight="1">
      <c r="A22" s="269"/>
      <c s="236" t="s">
        <v>270</v>
      </c>
      <c s="1229" t="s">
        <v>242</v>
      </c>
      <c s="1229"/>
      <c s="166"/>
      <c s="166"/>
      <c s="1259"/>
      <c s="1255"/>
      <c s="1236"/>
      <c s="166"/>
      <c s="245"/>
      <c s="1240" t="s">
        <v>269</v>
      </c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201"/>
      <c s="244"/>
      <c r="AP22" s="164"/>
      <c s="164"/>
      <c s="164"/>
    </row>
    <row r="23" spans="1:44" ht="12" customHeight="1">
      <c r="A23" s="269"/>
      <c s="1152" t="s">
        <v>207</v>
      </c>
      <c s="1154"/>
      <c s="264"/>
      <c s="166"/>
      <c s="166"/>
      <c s="1259"/>
      <c s="265" t="str">
        <f>D18</f>
        <v>16 мм</v>
      </c>
      <c s="1236"/>
      <c s="166"/>
      <c s="245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1240"/>
      <c s="201"/>
      <c s="244"/>
      <c r="AP23" s="164"/>
      <c s="164"/>
      <c s="164"/>
    </row>
    <row r="24" spans="1:44" ht="18.75" customHeight="1">
      <c r="A24" s="269"/>
      <c s="1237"/>
      <c s="1238"/>
      <c s="264"/>
      <c s="166"/>
      <c s="1256" t="str">
        <f>D20</f>
        <v>19 мм</v>
      </c>
      <c s="1257"/>
      <c s="1257"/>
      <c s="1257"/>
      <c s="1257"/>
      <c s="1216" t="s">
        <v>268</v>
      </c>
      <c s="1217"/>
      <c s="1210" t="s">
        <v>191</v>
      </c>
      <c s="1211"/>
      <c s="1211"/>
      <c s="1212"/>
      <c s="1210" t="s">
        <v>190</v>
      </c>
      <c s="1211"/>
      <c s="1211"/>
      <c s="1212"/>
      <c s="1210" t="s">
        <v>189</v>
      </c>
      <c s="1211"/>
      <c s="1211"/>
      <c s="1212"/>
      <c s="1210" t="s">
        <v>188</v>
      </c>
      <c s="1211"/>
      <c s="1211"/>
      <c s="1212"/>
      <c s="1210" t="s">
        <v>187</v>
      </c>
      <c s="1211"/>
      <c s="1211"/>
      <c s="1212"/>
      <c s="1210" t="s">
        <v>186</v>
      </c>
      <c s="1211"/>
      <c s="1211"/>
      <c s="1212"/>
      <c s="201"/>
      <c s="244"/>
      <c r="AP24" s="164"/>
      <c s="164"/>
      <c s="164"/>
    </row>
    <row r="25" spans="1:44" ht="21.75" customHeight="1">
      <c r="A25" s="269"/>
      <c s="236" t="s">
        <v>204</v>
      </c>
      <c s="263">
        <v>500</v>
      </c>
      <c s="235"/>
      <c s="262"/>
      <c s="261"/>
      <c s="261"/>
      <c s="261"/>
      <c s="166"/>
      <c s="166"/>
      <c s="1214" t="s">
        <v>267</v>
      </c>
      <c s="250" t="s">
        <v>266</v>
      </c>
      <c s="256"/>
      <c s="255"/>
      <c s="255"/>
      <c s="255"/>
      <c s="255"/>
      <c s="255"/>
      <c s="255"/>
      <c s="260"/>
      <c s="259"/>
      <c s="259"/>
      <c s="259"/>
      <c s="259"/>
      <c s="259"/>
      <c s="259"/>
      <c s="259"/>
      <c s="259"/>
      <c s="259"/>
      <c s="259"/>
      <c s="258"/>
      <c s="258"/>
      <c s="258"/>
      <c s="258"/>
      <c s="258"/>
      <c s="257"/>
      <c s="201"/>
      <c s="244"/>
      <c r="AP25" s="164"/>
      <c s="164"/>
      <c s="164"/>
    </row>
    <row r="26" spans="1:44" ht="21.75" customHeight="1">
      <c r="A26" s="269"/>
      <c s="236" t="s">
        <v>199</v>
      </c>
      <c s="279">
        <v>600</v>
      </c>
      <c s="1260" t="s">
        <v>265</v>
      </c>
      <c s="1261"/>
      <c s="1261"/>
      <c s="1261"/>
      <c s="1261"/>
      <c s="166"/>
      <c s="166"/>
      <c s="1215"/>
      <c s="250" t="s">
        <v>183</v>
      </c>
      <c s="256"/>
      <c s="255"/>
      <c s="254"/>
      <c s="254"/>
      <c s="254"/>
      <c s="254"/>
      <c s="254"/>
      <c s="253"/>
      <c s="188"/>
      <c s="188"/>
      <c s="188"/>
      <c s="188"/>
      <c s="188"/>
      <c s="188"/>
      <c s="188"/>
      <c s="188"/>
      <c s="188"/>
      <c s="188"/>
      <c s="187"/>
      <c s="187"/>
      <c s="187"/>
      <c s="187"/>
      <c s="187"/>
      <c s="186"/>
      <c s="201"/>
      <c s="244"/>
      <c r="AO26" s="220"/>
      <c s="164"/>
      <c s="164"/>
      <c s="164"/>
    </row>
    <row r="27" spans="1:44" ht="18.75" customHeight="1">
      <c r="A27" s="269"/>
      <c s="236" t="s">
        <v>264</v>
      </c>
      <c s="279">
        <v>200</v>
      </c>
      <c s="276"/>
      <c s="1208" t="s">
        <v>263</v>
      </c>
      <c s="1208"/>
      <c s="1208"/>
      <c s="1208"/>
      <c s="166"/>
      <c s="166"/>
      <c s="1215"/>
      <c s="250" t="s">
        <v>180</v>
      </c>
      <c s="184"/>
      <c s="183"/>
      <c s="249"/>
      <c s="248"/>
      <c s="248"/>
      <c s="248"/>
      <c s="248"/>
      <c s="248"/>
      <c s="248"/>
      <c s="248"/>
      <c s="252"/>
      <c s="252"/>
      <c s="252"/>
      <c s="252"/>
      <c s="252"/>
      <c s="251"/>
      <c s="183"/>
      <c s="183"/>
      <c s="183"/>
      <c s="183"/>
      <c s="183"/>
      <c s="183"/>
      <c s="183"/>
      <c s="182"/>
      <c s="201"/>
      <c s="244"/>
      <c r="AP27" s="164"/>
      <c s="164"/>
      <c s="164"/>
    </row>
    <row r="28" spans="1:44" ht="18.75" customHeight="1">
      <c r="A28" s="269"/>
      <c s="236" t="s">
        <v>262</v>
      </c>
      <c s="279">
        <v>600</v>
      </c>
      <c s="276"/>
      <c s="1208" t="s">
        <v>261</v>
      </c>
      <c s="1208"/>
      <c s="1208"/>
      <c s="1208"/>
      <c s="166"/>
      <c s="166"/>
      <c s="1215"/>
      <c s="250" t="s">
        <v>178</v>
      </c>
      <c s="180"/>
      <c s="179"/>
      <c s="179"/>
      <c s="179"/>
      <c s="179"/>
      <c s="179"/>
      <c s="179"/>
      <c s="179"/>
      <c s="179"/>
      <c s="179"/>
      <c s="249"/>
      <c s="248"/>
      <c s="248"/>
      <c s="248"/>
      <c s="248"/>
      <c s="248"/>
      <c s="248"/>
      <c s="248"/>
      <c s="248"/>
      <c s="248"/>
      <c s="248"/>
      <c s="248"/>
      <c s="248"/>
      <c s="247"/>
      <c s="201"/>
      <c s="244"/>
      <c r="AP28" s="164"/>
      <c s="164"/>
      <c s="164"/>
    </row>
    <row r="29" spans="1:44" ht="18.75" customHeight="1">
      <c r="A29" s="269"/>
      <c s="236" t="s">
        <v>260</v>
      </c>
      <c s="246">
        <v>350</v>
      </c>
      <c s="276"/>
      <c s="1208" t="s">
        <v>259</v>
      </c>
      <c s="1208"/>
      <c s="1208"/>
      <c s="1208"/>
      <c s="166"/>
      <c s="166"/>
      <c s="245"/>
      <c s="1169" t="str">
        <f>IF(AND(C25&lt;350,AE20&gt;20),IF((M20+S20)&lt;20,"Уменьшите вес загрузки ящика","Слищком тяжелый ящик, уменьшите размер"),IF(AE20&gt;60,IF((M20+S20)&lt;60,"Уменьшите вес загрузки ящика","Слишком тяжелый ящик, уменьшите размер"),""))</f>
        <v/>
      </c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1169"/>
      <c s="201"/>
      <c s="244"/>
      <c r="AP29" s="164"/>
      <c s="164"/>
      <c s="164"/>
    </row>
    <row r="30" spans="1:44" ht="18.75" customHeight="1">
      <c r="A30" s="269"/>
      <c s="1218" t="s">
        <v>185</v>
      </c>
      <c s="1219"/>
      <c s="276"/>
      <c s="1208" t="s">
        <v>258</v>
      </c>
      <c s="1208"/>
      <c s="1208"/>
      <c s="1208"/>
      <c s="166"/>
      <c s="166"/>
      <c s="24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1213"/>
      <c s="242"/>
      <c s="241"/>
      <c r="AP30" s="164"/>
      <c s="164"/>
      <c s="164"/>
    </row>
    <row r="31" spans="1:44" ht="18.75" customHeight="1">
      <c r="A31" s="269"/>
      <c s="236" t="s">
        <v>182</v>
      </c>
      <c s="279">
        <v>0</v>
      </c>
      <c s="276"/>
      <c s="1208" t="s">
        <v>257</v>
      </c>
      <c s="1208"/>
      <c s="1208"/>
      <c s="1208"/>
      <c s="166"/>
      <c s="166"/>
      <c s="240"/>
      <c s="1206" t="s">
        <v>177</v>
      </c>
      <c s="1206"/>
      <c s="1206"/>
      <c s="1206"/>
      <c s="1206"/>
      <c s="1206"/>
      <c s="1206"/>
      <c s="1206"/>
      <c s="1206"/>
      <c s="1206"/>
      <c s="1206"/>
      <c s="1206"/>
      <c s="1206"/>
      <c s="1206"/>
      <c s="1206"/>
      <c s="1206"/>
      <c s="1206"/>
      <c s="1206"/>
      <c s="1206"/>
      <c s="239">
        <f>FLOOR(1125/(C26-267),1)</f>
        <v>3</v>
      </c>
      <c s="1207" t="str">
        <f>IF(AE31&lt;2,"ящик",IF(AE31&lt;5,"ящика","ящиков"))</f>
        <v>ящика</v>
      </c>
      <c s="1207"/>
      <c s="1207"/>
      <c s="1207"/>
      <c s="282"/>
      <c s="238"/>
      <c s="237"/>
      <c r="AP31" s="164"/>
      <c s="164"/>
      <c s="164"/>
    </row>
    <row r="32" spans="1:44" ht="33" customHeight="1">
      <c r="A32" s="269"/>
      <c s="236" t="s">
        <v>179</v>
      </c>
      <c s="279">
        <v>40</v>
      </c>
      <c s="276"/>
      <c s="1209" t="s">
        <v>282</v>
      </c>
      <c s="1209"/>
      <c s="1209"/>
      <c s="1209"/>
      <c s="166"/>
      <c s="166"/>
      <c s="174"/>
      <c s="201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174"/>
      <c s="201"/>
      <c s="244"/>
      <c r="AP32" s="164"/>
      <c s="164"/>
      <c s="164"/>
    </row>
    <row r="33" spans="1:44" ht="18.75" customHeight="1">
      <c r="A33" s="294"/>
      <c s="242"/>
      <c s="242"/>
      <c s="242"/>
      <c s="242"/>
      <c s="242"/>
      <c s="242"/>
      <c s="242"/>
      <c s="242"/>
      <c s="242"/>
      <c s="242"/>
      <c s="242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88"/>
      <c s="242"/>
      <c s="241"/>
      <c r="AP33" s="164"/>
      <c s="164"/>
      <c s="164"/>
    </row>
    <row r="34" spans="1:11" ht="23.25">
      <c r="A34" s="1262"/>
      <c s="1263"/>
      <c s="1263"/>
      <c s="1263"/>
      <c s="1264"/>
      <c s="1264"/>
      <c s="1264"/>
      <c s="1264"/>
      <c s="1264"/>
      <c s="1264"/>
      <c s="1264"/>
    </row>
    <row r="35" spans="4:4" ht="15">
      <c r="D35" s="234"/>
    </row>
    <row r="36" spans="4:10" ht="15.75" customHeight="1">
      <c r="D36" s="1241"/>
      <c s="1242"/>
      <c s="1242"/>
      <c s="1242"/>
      <c s="1242"/>
      <c s="1242"/>
      <c s="1242"/>
    </row>
    <row r="37" spans="4:10" ht="15">
      <c r="D37" s="1242"/>
      <c s="1242"/>
      <c s="1242"/>
      <c s="1242"/>
      <c s="1242"/>
      <c s="1242"/>
      <c s="1242"/>
    </row>
    <row r="38" spans="4:10" ht="15">
      <c r="D38" s="1243"/>
      <c s="1244"/>
      <c s="1244"/>
      <c s="1244"/>
      <c s="1244"/>
      <c s="1244"/>
      <c s="1244"/>
    </row>
    <row r="39" spans="4:10" ht="15">
      <c r="D39" s="1244"/>
      <c s="1244"/>
      <c s="1244"/>
      <c s="1244"/>
      <c s="1244"/>
      <c s="1244"/>
      <c s="1244"/>
    </row>
    <row r="40" spans="4:10" ht="15">
      <c r="D40" s="1241"/>
      <c s="1245"/>
      <c s="1245"/>
      <c s="1245"/>
      <c s="1245"/>
      <c s="1245"/>
      <c s="1245"/>
    </row>
    <row r="41" spans="4:10" ht="15">
      <c r="D41" s="1245"/>
      <c s="1245"/>
      <c s="1245"/>
      <c s="1245"/>
      <c s="1245"/>
      <c s="1245"/>
      <c s="1245"/>
    </row>
    <row r="42" spans="4:4" ht="15">
      <c r="D42" s="233"/>
    </row>
    <row r="43" spans="4:10" ht="15">
      <c r="D43" s="1241"/>
      <c s="1242"/>
      <c s="1242"/>
      <c s="1242"/>
      <c s="1242"/>
      <c s="1242"/>
      <c s="1242"/>
    </row>
    <row r="44" spans="4:10" ht="15">
      <c r="D44" s="1242"/>
      <c s="1242"/>
      <c s="1242"/>
      <c s="1242"/>
      <c s="1242"/>
      <c s="1242"/>
      <c s="1242"/>
    </row>
    <row r="45" spans="4:4" ht="15">
      <c r="D45" s="232"/>
    </row>
    <row r="46" spans="4:4" ht="15" thickBot="1">
      <c r="D46" s="232"/>
    </row>
  </sheetData>
  <sheetProtection algorithmName="SHA-512" hashValue="luNBMB1LtL7Z9CM2rFAG1qQGhPwoSRbs1AenZoS4u5hQdXkzpjSE3ptMzfK/P5NCX0wnEUrVJyFv1vFTxCJVUw==" saltValue="tHz/ph3tIN3ih+bcor6kmg==" spinCount="100000" sheet="1" formatCells="0" formatColumns="0" formatRows="0" insertColumns="0" insertRows="0" insertHyperlinks="0" deleteColumns="0" deleteRows="0" sort="0" autoFilter="0" pivotTables="0"/>
  <customSheetViews>
    <customSheetView guid="{a25b6f15-9b48-4230-9c30-183637d1319e}" fitToPage="1" hiddenColumns="1" scale="89" showGridLines="0" showRowCol="0" topLeftCell="A1">
      <selection pane="topLeft" activeCell="AM5" sqref="AM5"/>
      <pageMargins left="0.708661417322835" right="0.708661417322835" top="0.748031496062992" bottom="0.748031496062992" header="0.31496062992126" footer="0.31496062992126"/>
      <pageSetup orientation="landscape" paperSize="9" scale="28" r:id="rId3"/>
    </customSheetView>
  </customSheetViews>
  <mergeCells count="46">
    <mergeCell ref="D36:J37"/>
    <mergeCell ref="D38:J39"/>
    <mergeCell ref="D40:J41"/>
    <mergeCell ref="D43:J44"/>
    <mergeCell ref="A1:AK1"/>
    <mergeCell ref="A12:AK12"/>
    <mergeCell ref="B15:D16"/>
    <mergeCell ref="H17:H22"/>
    <mergeCell ref="F24:J24"/>
    <mergeCell ref="G16:G23"/>
    <mergeCell ref="D26:H26"/>
    <mergeCell ref="A34:K34"/>
    <mergeCell ref="Y18:AD19"/>
    <mergeCell ref="Y20:AD20"/>
    <mergeCell ref="AE18:AJ19"/>
    <mergeCell ref="AE20:AJ20"/>
    <mergeCell ref="AU1:AY1"/>
    <mergeCell ref="B30:C30"/>
    <mergeCell ref="M18:R19"/>
    <mergeCell ref="M20:R20"/>
    <mergeCell ref="C22:D22"/>
    <mergeCell ref="M15:AJ17"/>
    <mergeCell ref="S18:X19"/>
    <mergeCell ref="S20:X20"/>
    <mergeCell ref="I16:I23"/>
    <mergeCell ref="B21:D21"/>
    <mergeCell ref="B23:C24"/>
    <mergeCell ref="AG24:AJ24"/>
    <mergeCell ref="E18:F18"/>
    <mergeCell ref="L22:AJ23"/>
    <mergeCell ref="M24:P24"/>
    <mergeCell ref="Q24:T24"/>
    <mergeCell ref="Y24:AB24"/>
    <mergeCell ref="AC24:AF24"/>
    <mergeCell ref="L29:AJ30"/>
    <mergeCell ref="K25:K28"/>
    <mergeCell ref="U24:X24"/>
    <mergeCell ref="K24:L24"/>
    <mergeCell ref="L31:AD31"/>
    <mergeCell ref="AF31:AI31"/>
    <mergeCell ref="E31:H31"/>
    <mergeCell ref="E32:H32"/>
    <mergeCell ref="E27:H27"/>
    <mergeCell ref="E28:H28"/>
    <mergeCell ref="E29:H29"/>
    <mergeCell ref="E30:H30"/>
  </mergeCells>
  <conditionalFormatting sqref="H23">
    <cfRule type="expression" priority="29" dxfId="27">
      <formula>$C$22=$AT$3</formula>
    </cfRule>
  </conditionalFormatting>
  <conditionalFormatting sqref="L25">
    <cfRule type="expression" priority="4" dxfId="24">
      <formula>AND($C$25&lt;350,$AE$20&lt;20)</formula>
    </cfRule>
  </conditionalFormatting>
  <conditionalFormatting sqref="L26">
    <cfRule type="expression" priority="3" dxfId="24">
      <formula>AND($C$25&gt;349,$AE$20&lt;20.01)</formula>
    </cfRule>
  </conditionalFormatting>
  <conditionalFormatting sqref="L27">
    <cfRule type="expression" priority="2" dxfId="24">
      <formula>AND($C$25&gt;349,$AE$20&gt;4.99,$AE$20&lt;40.01)</formula>
    </cfRule>
  </conditionalFormatting>
  <conditionalFormatting sqref="L28">
    <cfRule type="expression" priority="1" dxfId="24">
      <formula>AND($C$25&gt;349,$AE$20&gt;24.99,$AE$20&lt;60)</formula>
    </cfRule>
  </conditionalFormatting>
  <conditionalFormatting sqref="M25:M28">
    <cfRule type="expression" priority="28" dxfId="0">
      <formula>$AZ$2=1</formula>
    </cfRule>
  </conditionalFormatting>
  <conditionalFormatting sqref="N25:N28">
    <cfRule type="expression" priority="27" dxfId="0">
      <formula>$AZ$2=2</formula>
    </cfRule>
  </conditionalFormatting>
  <conditionalFormatting sqref="O25:O28">
    <cfRule type="expression" priority="26" dxfId="0">
      <formula>$AZ$2=3</formula>
    </cfRule>
  </conditionalFormatting>
  <conditionalFormatting sqref="P25:P28">
    <cfRule type="expression" priority="25" dxfId="0">
      <formula>$AZ$2=4</formula>
    </cfRule>
  </conditionalFormatting>
  <conditionalFormatting sqref="Q25:Q28">
    <cfRule type="expression" priority="24" dxfId="0">
      <formula>$AZ$2=5</formula>
    </cfRule>
  </conditionalFormatting>
  <conditionalFormatting sqref="R25:R28">
    <cfRule type="expression" priority="23" dxfId="0">
      <formula>$AZ$2=6</formula>
    </cfRule>
  </conditionalFormatting>
  <conditionalFormatting sqref="S25:S28">
    <cfRule type="expression" priority="22" dxfId="0">
      <formula>$AZ$2=7</formula>
    </cfRule>
  </conditionalFormatting>
  <conditionalFormatting sqref="T25:T28">
    <cfRule type="expression" priority="21" dxfId="0">
      <formula>$AZ$2=8</formula>
    </cfRule>
  </conditionalFormatting>
  <conditionalFormatting sqref="U25:U28">
    <cfRule type="expression" priority="20" dxfId="0">
      <formula>$AZ$2=9</formula>
    </cfRule>
  </conditionalFormatting>
  <conditionalFormatting sqref="V25:V28">
    <cfRule type="expression" priority="19" dxfId="0">
      <formula>$AZ$2=10</formula>
    </cfRule>
  </conditionalFormatting>
  <conditionalFormatting sqref="W25:W28">
    <cfRule type="expression" priority="18" dxfId="0">
      <formula>$AZ$2=11</formula>
    </cfRule>
  </conditionalFormatting>
  <conditionalFormatting sqref="X25:X28">
    <cfRule type="expression" priority="17" dxfId="0">
      <formula>$AZ$2=12</formula>
    </cfRule>
  </conditionalFormatting>
  <conditionalFormatting sqref="Y25:Y28">
    <cfRule type="expression" priority="16" dxfId="0">
      <formula>$AZ$2=13</formula>
    </cfRule>
  </conditionalFormatting>
  <conditionalFormatting sqref="Z25:Z28">
    <cfRule type="expression" priority="15" dxfId="0">
      <formula>$AZ$2=14</formula>
    </cfRule>
  </conditionalFormatting>
  <conditionalFormatting sqref="AA25:AA28">
    <cfRule type="expression" priority="14" dxfId="0">
      <formula>$AZ$2=15</formula>
    </cfRule>
  </conditionalFormatting>
  <conditionalFormatting sqref="AB25:AB28">
    <cfRule type="expression" priority="13" dxfId="0">
      <formula>$AZ$2=16</formula>
    </cfRule>
  </conditionalFormatting>
  <conditionalFormatting sqref="AC25:AC28">
    <cfRule type="expression" priority="12" dxfId="0">
      <formula>$AZ$2=17</formula>
    </cfRule>
  </conditionalFormatting>
  <conditionalFormatting sqref="AD25:AD28">
    <cfRule type="expression" priority="11" dxfId="0">
      <formula>$AZ$2=18</formula>
    </cfRule>
  </conditionalFormatting>
  <conditionalFormatting sqref="AE25:AE28">
    <cfRule type="expression" priority="10" dxfId="0">
      <formula>$AZ$2=19</formula>
    </cfRule>
  </conditionalFormatting>
  <conditionalFormatting sqref="AF25:AF28">
    <cfRule type="expression" priority="9" dxfId="0">
      <formula>$AZ$2=20</formula>
    </cfRule>
  </conditionalFormatting>
  <conditionalFormatting sqref="AG25:AG28">
    <cfRule type="expression" priority="8" dxfId="0">
      <formula>$AZ$2=21</formula>
    </cfRule>
  </conditionalFormatting>
  <conditionalFormatting sqref="AH25:AH28">
    <cfRule type="expression" priority="7" dxfId="0">
      <formula>$AZ$2=22</formula>
    </cfRule>
  </conditionalFormatting>
  <conditionalFormatting sqref="AI25:AI28">
    <cfRule type="expression" priority="6" dxfId="0">
      <formula>$AZ$2=23</formula>
    </cfRule>
  </conditionalFormatting>
  <conditionalFormatting sqref="AJ25:AJ28">
    <cfRule type="expression" priority="5" dxfId="0">
      <formula>$AZ$2=24</formula>
    </cfRule>
  </conditionalFormatting>
  <dataValidations count="7">
    <dataValidation type="list" allowBlank="1" showInputMessage="1" showErrorMessage="1" sqref="C25:D25">
      <formula1>$AP$2:$AP$12</formula1>
    </dataValidation>
    <dataValidation type="list" allowBlank="1" showInputMessage="1" showErrorMessage="1" sqref="C22:D22">
      <formula1>$AT$2:$AT$3</formula1>
    </dataValidation>
    <dataValidation type="list" allowBlank="1" showInputMessage="1" showErrorMessage="1" sqref="D20">
      <formula1>$AS$3:$AS$5</formula1>
    </dataValidation>
    <dataValidation type="list" allowBlank="1" showInputMessage="1" showErrorMessage="1" sqref="D18">
      <formula1>$AS$2:$AS$5</formula1>
    </dataValidation>
    <dataValidation type="list" allowBlank="1" showInputMessage="1" showErrorMessage="1" sqref="D19">
      <formula1>$AS$2:$AS$6</formula1>
    </dataValidation>
    <dataValidation type="list" allowBlank="1" showInputMessage="1" showErrorMessage="1" sqref="C19">
      <formula1>$AQ$2:$AQ$7</formula1>
    </dataValidation>
    <dataValidation type="list" allowBlank="1" showInputMessage="1" showErrorMessage="1" sqref="C18 C20">
      <formula1>$AQ$2:$AQ$6</formula1>
    </dataValidation>
  </dataValidations>
  <hyperlinks>
    <hyperlink ref="AM1" location="Содержание!R1C1" display="← СОДЕРЖАНИЕ:"/>
  </hyperlinks>
  <pageMargins left="0.708661417322835" right="0.708661417322835" top="0.748031496062992" bottom="0.748031496062992" header="0.31496062992126" footer="0.31496062992126"/>
  <pageSetup orientation="landscape" paperSize="9" scale="28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Содержание</vt:lpstr>
      <vt:lpstr>HF top</vt:lpstr>
      <vt:lpstr>HS top</vt:lpstr>
      <vt:lpstr>HL top</vt:lpstr>
      <vt:lpstr>HK top</vt:lpstr>
      <vt:lpstr>HK-S</vt:lpstr>
      <vt:lpstr>HK-XS</vt:lpstr>
      <vt:lpstr>TIP-ON BLUMOTION LEGRABOX</vt:lpstr>
      <vt:lpstr>TIP-ON BUMOTION MOVENTO</vt:lpstr>
      <vt:lpstr>TIP-ON BLUMOTION TANDEMBOX</vt:lpstr>
      <vt:lpstr>TANDEMBOX боковые вставки</vt:lpstr>
      <vt:lpstr>Раскрой дна и з.с для TANDEMBOX</vt:lpstr>
      <vt:lpstr>Раскрой дна и з.с. для LEGRABOX</vt:lpstr>
      <vt:lpstr>Раскрой валов синхронизации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st@antarion.by</cp:lastModifiedBy>
  <cp:lastPrinted>2015-12-23T10:23:05Z</cp:lastPrinted>
  <dcterms:created xsi:type="dcterms:W3CDTF">1996-10-08T23:32:33Z</dcterms:created>
  <dcterms:modified xsi:type="dcterms:W3CDTF">2024-05-23T09:47:09Z</dcterms:modified>
  <cp:category/>
</cp:coreProperties>
</file>