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S:\Finance\Group\Payroll\2026 Payroll\2026 Benefits\Fidelity 401k\"/>
    </mc:Choice>
  </mc:AlternateContent>
  <xr:revisionPtr revIDLastSave="0" documentId="13_ncr:1_{68881E5F-7B92-4934-8360-F29674235939}" xr6:coauthVersionLast="47" xr6:coauthVersionMax="47" xr10:uidLastSave="{00000000-0000-0000-0000-000000000000}"/>
  <workbookProtection workbookAlgorithmName="SHA-512" workbookHashValue="z4ooqwvtq4//esHjTd6/KygwkUEODOCthEia3UW4RIq4BxJUtGtR/LbnrX3fiDVIm5kGHOyqmH/cRofW4BsrOQ==" workbookSaltValue="DNKxb7zynwyDQxZv02/WKw==" workbookSpinCount="100000" lockStructure="1"/>
  <bookViews>
    <workbookView xWindow="19090" yWindow="-110" windowWidth="19420" windowHeight="10300" xr2:uid="{4A095BEB-03BD-473C-A978-7A5C94A5F7CF}"/>
    <workbookView minimized="1" xWindow="4480" yWindow="2210" windowWidth="14310" windowHeight="8180" xr2:uid="{2433F121-9FCA-40C1-B575-4D437B5E49D9}"/>
  </bookViews>
  <sheets>
    <sheet name="Dashboard" sheetId="1" r:id="rId1"/>
    <sheet name="Limits" sheetId="4" state="hidden" r:id="rId2"/>
    <sheet name="Read Me" sheetId="2" state="hidden" r:id="rId3"/>
  </sheets>
  <definedNames>
    <definedName name="After_Tax_YTD">Dashboard!$I$14</definedName>
    <definedName name="Age_AsOf_Date">Dashboard!$C$12</definedName>
    <definedName name="AgeAsOf">Dashboard!$C$13</definedName>
    <definedName name="C_415_Limit">Dashboard!$F$15</definedName>
    <definedName name="C_415_YTD_Total">Dashboard!$I$15</definedName>
    <definedName name="CompensationList">EligibleComp[]</definedName>
    <definedName name="Current_AfterTax_Pct">Dashboard!$C$28</definedName>
    <definedName name="Current_AT_415C_YTD">Dashboard!$C$21</definedName>
    <definedName name="Current_PreTax_Pct">Dashboard!$C$26</definedName>
    <definedName name="Current_Roth_Pct">Dashboard!$C$27</definedName>
    <definedName name="Current_Roth_YTD">Dashboard!$C$20</definedName>
    <definedName name="Eligible_Comp_Per_Pay">Dashboard!$F$25</definedName>
    <definedName name="Eligible_Comp_Per_Pay_Bkdwn">Dashboard!$C$48</definedName>
    <definedName name="ER_Match_YTD">Dashboard!$C$22</definedName>
    <definedName name="Gross_Per_Pay">Dashboard!$F$24</definedName>
    <definedName name="HighEarner_RothCatchup_Flag">Dashboard!$F$21</definedName>
    <definedName name="K401_PreTax">Dashboard!$C$19</definedName>
    <definedName name="K401_YTD">Dashboard!$C$19</definedName>
    <definedName name="Match_AnnualCap">Dashboard!$C$33</definedName>
    <definedName name="Match_FullRatePct">Dashboard!$C$32</definedName>
    <definedName name="Match_MaxPct">Dashboard!$C$31</definedName>
    <definedName name="Match_PerPay_Cap">Dashboard!#REF!</definedName>
    <definedName name="Match_YTD">Dashboard!$C$22</definedName>
    <definedName name="PayDateList">PaySchedule[]</definedName>
    <definedName name="PerPay_Cap_Annual_Match_Limit">Dashboard!#REF!</definedName>
    <definedName name="Recommended_PerPay_PreTax">Dashboard!$I$24</definedName>
    <definedName name="Recommended_PerPay_Roth">Dashboard!$I$26</definedName>
    <definedName name="Remaining_Pay_Periods">Dashboard!$C$16</definedName>
    <definedName name="Roth_401_k__YTD">Dashboard!$C$20</definedName>
    <definedName name="W2_Box3">Dashboard!$C$14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5" i="1" l="1"/>
  <c r="T6" i="1"/>
  <c r="T7" i="1"/>
  <c r="T8" i="1"/>
  <c r="T9" i="1"/>
  <c r="T10" i="1"/>
  <c r="T11" i="1"/>
  <c r="T12" i="1"/>
  <c r="T13" i="1"/>
  <c r="T14" i="1"/>
  <c r="T15" i="1"/>
  <c r="T16" i="1"/>
  <c r="T17" i="1"/>
  <c r="T18" i="1"/>
  <c r="T19" i="1"/>
  <c r="T20" i="1"/>
  <c r="T21" i="1"/>
  <c r="T22" i="1"/>
  <c r="T23" i="1"/>
  <c r="T24" i="1"/>
  <c r="T25" i="1"/>
  <c r="T26" i="1"/>
  <c r="T27" i="1"/>
  <c r="T28" i="1"/>
  <c r="T29" i="1"/>
  <c r="T30" i="1"/>
  <c r="P3" i="1" l="1"/>
  <c r="C16" i="1" s="1"/>
  <c r="U61" i="1"/>
  <c r="Q57" i="1"/>
  <c r="Q58" i="1" s="1"/>
  <c r="Q42" i="1"/>
  <c r="Q41" i="1"/>
  <c r="C13" i="1" l="1"/>
  <c r="G8" i="4"/>
  <c r="E8" i="4"/>
  <c r="G7" i="4"/>
  <c r="E7" i="4"/>
  <c r="G6" i="4"/>
  <c r="E6" i="4"/>
  <c r="H9" i="1" l="1"/>
  <c r="F20" i="1"/>
  <c r="F21" i="1"/>
  <c r="I19" i="1"/>
  <c r="I15" i="1"/>
  <c r="I12" i="1"/>
  <c r="I14" i="1"/>
  <c r="I20" i="1"/>
  <c r="I13" i="1"/>
  <c r="D41" i="1"/>
  <c r="D40" i="1"/>
  <c r="D42" i="1"/>
  <c r="C47" i="1"/>
  <c r="F41" i="1"/>
  <c r="F42" i="1"/>
  <c r="F43" i="1"/>
  <c r="F44" i="1"/>
  <c r="F45" i="1"/>
  <c r="F40" i="1"/>
  <c r="F46" i="1"/>
  <c r="D43" i="1"/>
  <c r="D44" i="1"/>
  <c r="D45" i="1"/>
  <c r="D46" i="1"/>
  <c r="U62" i="1" l="1"/>
  <c r="U63" i="1"/>
  <c r="I32" i="1" s="1"/>
  <c r="Q45" i="1"/>
  <c r="I31" i="1"/>
  <c r="I16" i="1"/>
  <c r="Q43" i="1" s="1"/>
  <c r="I18" i="1"/>
  <c r="C48" i="1" a="1"/>
  <c r="C48" i="1" s="1"/>
  <c r="F18" i="1"/>
  <c r="I17" i="1" s="1"/>
  <c r="F24" i="1"/>
  <c r="Q44" i="1" l="1"/>
  <c r="U64" i="1"/>
  <c r="F19" i="1"/>
  <c r="F27" i="1"/>
  <c r="F26" i="1"/>
  <c r="B9" i="1" l="1"/>
  <c r="E9" i="1"/>
  <c r="F25" i="1" l="1"/>
  <c r="U57" i="1" s="1"/>
  <c r="U56" i="1" l="1"/>
  <c r="I25" i="1" s="1"/>
  <c r="Q55" i="1"/>
  <c r="Q54" i="1"/>
  <c r="Q40" i="1"/>
  <c r="I27" i="1"/>
  <c r="F31" i="1"/>
  <c r="F32" i="1" s="1"/>
  <c r="I28" i="1" l="1"/>
  <c r="F34" i="1" l="1"/>
  <c r="F33" i="1" s="1"/>
  <c r="U54" i="1"/>
  <c r="I26" i="1" s="1"/>
  <c r="U53" i="1"/>
  <c r="I24" i="1" s="1"/>
  <c r="F28" i="1"/>
  <c r="F29" i="1"/>
  <c r="Q51" i="1"/>
  <c r="Q53" i="1"/>
  <c r="Q39" i="1"/>
  <c r="Q52" i="1"/>
  <c r="F35" i="1" l="1"/>
  <c r="F3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<sst xmlns="http://schemas.openxmlformats.org/spreadsheetml/2006/main" count="273" uniqueCount="171">
  <si>
    <t>401(k) Pre-Tax YTD</t>
  </si>
  <si>
    <t>Roth 401(k) YTD</t>
  </si>
  <si>
    <t>After-Tax 415(c) YTD</t>
  </si>
  <si>
    <t>Employer Match YTD</t>
  </si>
  <si>
    <t>How to use this planner:
1) Enter age, prior-year W-2 Box 3 wages, pay frequency, gross pay per period, and remaining pay periods.
2) Enter YTD amounts: Pre-Tax 401(k), Roth 401(k), After-Tax 415(c), Employer Match, Employer Other.
3) Review remaining employee deferral capacity, base vs catch-up split, per-pay $ and % suggestions.
4) Monitor 415(c) totals (employee + employer) and ensure you remain under the annual additions limit.
IRS references: §402(g) elective deferrals; §414(v) catch-up (50+ and 60–63); §415(c) annual additions.</t>
  </si>
  <si>
    <r>
      <t xml:space="preserve">Max Employee Deferral </t>
    </r>
    <r>
      <rPr>
        <i/>
        <sz val="10"/>
        <rFont val="Aptos Narrow"/>
        <family val="2"/>
      </rPr>
      <t>(402(g)+catch-up)</t>
    </r>
  </si>
  <si>
    <r>
      <t xml:space="preserve">Enter your 2025 W-2 Box 3 wages
</t>
    </r>
    <r>
      <rPr>
        <i/>
        <sz val="10"/>
        <rFont val="Aptos Narrow"/>
        <family val="2"/>
      </rPr>
      <t xml:space="preserve">(Social Security) </t>
    </r>
  </si>
  <si>
    <t>=TODAY()</t>
  </si>
  <si>
    <t>BW Pay #</t>
  </si>
  <si>
    <t>BI-Weekly Pay Date</t>
  </si>
  <si>
    <t>SM Pay #</t>
  </si>
  <si>
    <t>Semi-Monthly Pay Date</t>
  </si>
  <si>
    <t>Enter your Pay frequency</t>
  </si>
  <si>
    <t>Previous Employer
Contributions YTD</t>
  </si>
  <si>
    <t>Eligible for Employer Match</t>
  </si>
  <si>
    <t>Counts toward §415(c)?</t>
  </si>
  <si>
    <t>Notes</t>
  </si>
  <si>
    <t>Corporate Bonus</t>
  </si>
  <si>
    <t>Meal Break</t>
  </si>
  <si>
    <t>Presidents Club Bonus</t>
  </si>
  <si>
    <t>Referral Bonus</t>
  </si>
  <si>
    <t>Retention Bonus</t>
  </si>
  <si>
    <t>Spot Bonus</t>
  </si>
  <si>
    <t>EIB Bonus</t>
  </si>
  <si>
    <t>QTR SE Awards</t>
  </si>
  <si>
    <t>PCMS Golden Nugget</t>
  </si>
  <si>
    <t>YES</t>
  </si>
  <si>
    <t>NO</t>
  </si>
  <si>
    <t>Bereavement | Jury Duty Pay</t>
  </si>
  <si>
    <t>Regular | Overtime | Double Time Pay</t>
  </si>
  <si>
    <t>Shift Differential | On-Call Pay</t>
  </si>
  <si>
    <t>SPIFF &amp; Awards | Sales SPIFF</t>
  </si>
  <si>
    <t>Wellness Pay | Volunteer Pay</t>
  </si>
  <si>
    <t>Salary Continuance | Workers' Comp (LOA)</t>
  </si>
  <si>
    <t>MBO Bonus - Sales | Prof. Svcs</t>
  </si>
  <si>
    <t>Bonus: Sign-On | New Hire</t>
  </si>
  <si>
    <t>Bonus: Patent | Hack Day</t>
  </si>
  <si>
    <t>Sick Time | Vacation | Holiday Pay (Hourly)</t>
  </si>
  <si>
    <t>Commission | DRAW Non-Recoverable | Recoverable</t>
  </si>
  <si>
    <t>Retro Pay | Salary Adjustment</t>
  </si>
  <si>
    <t>Base pay typically included under W‑2/§3401(a)/§415 definitions.</t>
  </si>
  <si>
    <t>Office Setup | Office Stipend</t>
  </si>
  <si>
    <t>Restricted Cash Award (RCA) | Retention Cash Awards (RTC) | Equity Awards (EAR)</t>
  </si>
  <si>
    <r>
      <rPr>
        <b/>
        <sz val="11"/>
        <color theme="1"/>
        <rFont val="Aptos Narrow"/>
        <family val="2"/>
      </rPr>
      <t>Allowances</t>
    </r>
    <r>
      <rPr>
        <sz val="11"/>
        <color theme="1"/>
        <rFont val="Aptos Narrow"/>
        <family val="2"/>
      </rPr>
      <t>: Auto | Housing | Education | Tuition</t>
    </r>
  </si>
  <si>
    <r>
      <rPr>
        <b/>
        <sz val="11"/>
        <color theme="1"/>
        <rFont val="Aptos Narrow"/>
        <family val="2"/>
      </rPr>
      <t>Imputed</t>
    </r>
    <r>
      <rPr>
        <sz val="11"/>
        <color theme="1"/>
        <rFont val="Aptos Narrow"/>
        <family val="2"/>
      </rPr>
      <t xml:space="preserve"> </t>
    </r>
    <r>
      <rPr>
        <b/>
        <sz val="11"/>
        <color theme="1"/>
        <rFont val="Aptos Narrow"/>
        <family val="2"/>
      </rPr>
      <t>Income</t>
    </r>
    <r>
      <rPr>
        <sz val="11"/>
        <color theme="1"/>
        <rFont val="Aptos Narrow"/>
        <family val="2"/>
      </rPr>
      <t>: Domestic Partner | Gift Card | GTL | LTD</t>
    </r>
  </si>
  <si>
    <r>
      <rPr>
        <b/>
        <sz val="11"/>
        <color theme="1"/>
        <rFont val="Aptos Narrow"/>
        <family val="2"/>
      </rPr>
      <t>Taxable</t>
    </r>
    <r>
      <rPr>
        <sz val="11"/>
        <color theme="1"/>
        <rFont val="Aptos Narrow"/>
        <family val="2"/>
      </rPr>
      <t xml:space="preserve"> </t>
    </r>
    <r>
      <rPr>
        <b/>
        <sz val="11"/>
        <color theme="1"/>
        <rFont val="Aptos Narrow"/>
        <family val="2"/>
      </rPr>
      <t>Income</t>
    </r>
    <r>
      <rPr>
        <sz val="11"/>
        <color theme="1"/>
        <rFont val="Aptos Narrow"/>
        <family val="2"/>
      </rPr>
      <t>: Fringe Benefits | Taxable Expense (&gt;90 days)</t>
    </r>
  </si>
  <si>
    <t>SPIFF Contest Awards: Car Lease | Car Option</t>
  </si>
  <si>
    <t>Compensation Type</t>
  </si>
  <si>
    <t>Eligible for Match?</t>
  </si>
  <si>
    <t>Calculated Gross</t>
  </si>
  <si>
    <t>Eligible Compensation</t>
  </si>
  <si>
    <t>Select One</t>
  </si>
  <si>
    <r>
      <t>Projected remainder-of-year</t>
    </r>
    <r>
      <rPr>
        <i/>
        <sz val="10"/>
        <color theme="1"/>
        <rFont val="Aptos Narrow"/>
        <family val="2"/>
      </rPr>
      <t xml:space="preserve"> (Pre-Tax)</t>
    </r>
  </si>
  <si>
    <r>
      <t xml:space="preserve">Projected remainder-of-year </t>
    </r>
    <r>
      <rPr>
        <i/>
        <sz val="10"/>
        <color theme="1"/>
        <rFont val="Aptos Narrow"/>
        <family val="2"/>
      </rPr>
      <t>(Roth)</t>
    </r>
  </si>
  <si>
    <t xml:space="preserve"> Your Gross pay per period</t>
  </si>
  <si>
    <t>Eligible compensation per period</t>
  </si>
  <si>
    <r>
      <t xml:space="preserve">401(k) Pre-Tax % </t>
    </r>
    <r>
      <rPr>
        <i/>
        <sz val="10"/>
        <rFont val="Aptos Narrow"/>
        <family val="2"/>
      </rPr>
      <t>(optional)</t>
    </r>
  </si>
  <si>
    <r>
      <t xml:space="preserve">Roth Post-Tax % </t>
    </r>
    <r>
      <rPr>
        <i/>
        <sz val="10"/>
        <rFont val="Aptos Narrow"/>
        <family val="2"/>
      </rPr>
      <t>(optional)</t>
    </r>
  </si>
  <si>
    <r>
      <t xml:space="preserve">After-Tax 415(c) % </t>
    </r>
    <r>
      <rPr>
        <i/>
        <sz val="10"/>
        <rFont val="Aptos Narrow"/>
        <family val="2"/>
      </rPr>
      <t>(optional)</t>
    </r>
  </si>
  <si>
    <t>Is this Eligible Compensation in Plan?</t>
  </si>
  <si>
    <t>Set Roth Contribution % to:</t>
  </si>
  <si>
    <r>
      <t xml:space="preserve">IRS requires match formulas to use the plan’s </t>
    </r>
    <r>
      <rPr>
        <b/>
        <sz val="11"/>
        <color theme="1"/>
        <rFont val="Aptos Narrow"/>
        <family val="2"/>
      </rPr>
      <t>eligible compensation definition</t>
    </r>
    <r>
      <rPr>
        <sz val="11"/>
        <color theme="1"/>
        <rFont val="Aptos Narrow"/>
        <family val="2"/>
      </rPr>
      <t xml:space="preserve"> and apply the </t>
    </r>
    <r>
      <rPr>
        <b/>
        <sz val="11"/>
        <color theme="1"/>
        <rFont val="Aptos Narrow"/>
        <family val="2"/>
      </rPr>
      <t>§401(a)(17)</t>
    </r>
    <r>
      <rPr>
        <sz val="11"/>
        <color theme="1"/>
        <rFont val="Aptos Narrow"/>
        <family val="2"/>
      </rPr>
      <t xml:space="preserve"> cap (for 2026: </t>
    </r>
    <r>
      <rPr>
        <b/>
        <sz val="11"/>
        <color theme="1"/>
        <rFont val="Aptos Narrow"/>
        <family val="2"/>
      </rPr>
      <t>$360,000</t>
    </r>
    <r>
      <rPr>
        <sz val="11"/>
        <color theme="1"/>
        <rFont val="Aptos Narrow"/>
        <family val="2"/>
      </rPr>
      <t>)</t>
    </r>
  </si>
  <si>
    <t>Employer Match Settings</t>
  </si>
  <si>
    <t>Employee deferral rate to earn full match (%)</t>
  </si>
  <si>
    <t>Annual employer match cap ($)</t>
  </si>
  <si>
    <r>
      <t xml:space="preserve">Deferral rate for match
</t>
    </r>
    <r>
      <rPr>
        <i/>
        <sz val="10"/>
        <color theme="1"/>
        <rFont val="Aptos Narrow"/>
        <family val="2"/>
      </rPr>
      <t>(base pre‑tax + Roth only, exclude catch‑up)</t>
    </r>
  </si>
  <si>
    <t>So the simulator needs to:</t>
  </si>
  <si>
    <r>
      <t xml:space="preserve">You’re exactly right—and your simulator should cover </t>
    </r>
    <r>
      <rPr>
        <b/>
        <sz val="10"/>
        <color theme="1"/>
        <rFont val="Aptos"/>
        <family val="2"/>
      </rPr>
      <t>every</t>
    </r>
    <r>
      <rPr>
        <sz val="10"/>
        <color theme="1"/>
        <rFont val="Aptos"/>
        <family val="2"/>
      </rPr>
      <t xml:space="preserve"> scenario:</t>
    </r>
  </si>
  <si>
    <r>
      <t xml:space="preserve">Employees can contribute </t>
    </r>
    <r>
      <rPr>
        <b/>
        <sz val="10"/>
        <color theme="1"/>
        <rFont val="Aptos"/>
        <family val="2"/>
      </rPr>
      <t>Pre‑Tax 401(k)</t>
    </r>
    <r>
      <rPr>
        <sz val="10"/>
        <color theme="1"/>
        <rFont val="Aptos"/>
        <family val="2"/>
      </rPr>
      <t xml:space="preserve"> and </t>
    </r>
    <r>
      <rPr>
        <b/>
        <sz val="10"/>
        <color theme="1"/>
        <rFont val="Aptos"/>
        <family val="2"/>
      </rPr>
      <t>Roth 401(k)</t>
    </r>
    <r>
      <rPr>
        <sz val="10"/>
        <color theme="1"/>
        <rFont val="Aptos"/>
        <family val="2"/>
      </rPr>
      <t xml:space="preserve"> (both count toward </t>
    </r>
    <r>
      <rPr>
        <b/>
        <sz val="10"/>
        <color theme="1"/>
        <rFont val="Aptos"/>
        <family val="2"/>
      </rPr>
      <t>§402(g)</t>
    </r>
    <r>
      <rPr>
        <sz val="10"/>
        <color theme="1"/>
        <rFont val="Aptos"/>
        <family val="2"/>
      </rPr>
      <t>).</t>
    </r>
  </si>
  <si>
    <r>
      <t xml:space="preserve">If age </t>
    </r>
    <r>
      <rPr>
        <b/>
        <sz val="10"/>
        <color theme="1"/>
        <rFont val="Aptos"/>
        <family val="2"/>
      </rPr>
      <t>50+</t>
    </r>
    <r>
      <rPr>
        <sz val="10"/>
        <color theme="1"/>
        <rFont val="Aptos"/>
        <family val="2"/>
      </rPr>
      <t xml:space="preserve">, they may also make </t>
    </r>
    <r>
      <rPr>
        <b/>
        <sz val="10"/>
        <color theme="1"/>
        <rFont val="Aptos"/>
        <family val="2"/>
      </rPr>
      <t>catch‑up contributions</t>
    </r>
    <r>
      <rPr>
        <sz val="10"/>
        <color theme="1"/>
        <rFont val="Aptos"/>
        <family val="2"/>
      </rPr>
      <t xml:space="preserve"> under </t>
    </r>
    <r>
      <rPr>
        <b/>
        <sz val="10"/>
        <color theme="1"/>
        <rFont val="Aptos"/>
        <family val="2"/>
      </rPr>
      <t>§414(v)</t>
    </r>
    <r>
      <rPr>
        <sz val="10"/>
        <color theme="1"/>
        <rFont val="Aptos"/>
        <family val="2"/>
      </rPr>
      <t>.</t>
    </r>
  </si>
  <si>
    <r>
      <t xml:space="preserve">1. accept </t>
    </r>
    <r>
      <rPr>
        <b/>
        <sz val="10"/>
        <color theme="1"/>
        <rFont val="Aptos"/>
        <family val="2"/>
      </rPr>
      <t>independent Pre‑Tax % and Roth %</t>
    </r>
    <r>
      <rPr>
        <sz val="10"/>
        <color theme="1"/>
        <rFont val="Aptos"/>
        <family val="2"/>
      </rPr>
      <t xml:space="preserve"> (not “Roth = catch‑up”),</t>
    </r>
  </si>
  <si>
    <r>
      <t xml:space="preserve">2. allocate the </t>
    </r>
    <r>
      <rPr>
        <b/>
        <sz val="10"/>
        <color theme="1"/>
        <rFont val="Aptos"/>
        <family val="2"/>
      </rPr>
      <t>total chosen dollars</t>
    </r>
    <r>
      <rPr>
        <sz val="10"/>
        <color theme="1"/>
        <rFont val="Aptos"/>
        <family val="2"/>
      </rPr>
      <t xml:space="preserve"> first to </t>
    </r>
    <r>
      <rPr>
        <b/>
        <sz val="10"/>
        <color theme="1"/>
        <rFont val="Aptos"/>
        <family val="2"/>
      </rPr>
      <t>base (402(g))</t>
    </r>
    <r>
      <rPr>
        <sz val="10"/>
        <color theme="1"/>
        <rFont val="Aptos"/>
        <family val="2"/>
      </rPr>
      <t xml:space="preserve"> and then to </t>
    </r>
    <r>
      <rPr>
        <b/>
        <sz val="10"/>
        <color theme="1"/>
        <rFont val="Aptos"/>
        <family val="2"/>
      </rPr>
      <t>catch‑up (414(v))</t>
    </r>
    <r>
      <rPr>
        <sz val="10"/>
        <color theme="1"/>
        <rFont val="Aptos"/>
        <family val="2"/>
      </rPr>
      <t>,</t>
    </r>
  </si>
  <si>
    <r>
      <t xml:space="preserve">3. enforce </t>
    </r>
    <r>
      <rPr>
        <b/>
        <sz val="10"/>
        <color theme="1"/>
        <rFont val="Aptos"/>
        <family val="2"/>
      </rPr>
      <t>Roth‑only</t>
    </r>
    <r>
      <rPr>
        <sz val="10"/>
        <color theme="1"/>
        <rFont val="Aptos"/>
        <family val="2"/>
      </rPr>
      <t xml:space="preserve"> on </t>
    </r>
    <r>
      <rPr>
        <b/>
        <sz val="10"/>
        <color theme="1"/>
        <rFont val="Aptos"/>
        <family val="2"/>
      </rPr>
      <t>catch‑up</t>
    </r>
    <r>
      <rPr>
        <sz val="10"/>
        <color theme="1"/>
        <rFont val="Aptos"/>
        <family val="2"/>
      </rPr>
      <t xml:space="preserve"> </t>
    </r>
    <r>
      <rPr>
        <b/>
        <sz val="10"/>
        <color theme="1"/>
        <rFont val="Aptos"/>
        <family val="2"/>
      </rPr>
      <t>only</t>
    </r>
    <r>
      <rPr>
        <sz val="10"/>
        <color theme="1"/>
        <rFont val="Aptos"/>
        <family val="2"/>
      </rPr>
      <t xml:space="preserve"> for high earners in 2026,</t>
    </r>
  </si>
  <si>
    <r>
      <t xml:space="preserve">4. keep </t>
    </r>
    <r>
      <rPr>
        <b/>
        <sz val="10"/>
        <color theme="1"/>
        <rFont val="Aptos"/>
        <family val="2"/>
      </rPr>
      <t>match</t>
    </r>
    <r>
      <rPr>
        <sz val="10"/>
        <color theme="1"/>
        <rFont val="Aptos"/>
        <family val="2"/>
      </rPr>
      <t xml:space="preserve"> on </t>
    </r>
    <r>
      <rPr>
        <b/>
        <sz val="10"/>
        <color theme="1"/>
        <rFont val="Aptos"/>
        <family val="2"/>
      </rPr>
      <t>base</t>
    </r>
    <r>
      <rPr>
        <sz val="10"/>
        <color theme="1"/>
        <rFont val="Aptos"/>
        <family val="2"/>
      </rPr>
      <t xml:space="preserve"> dollars only (per your plan), and</t>
    </r>
  </si>
  <si>
    <r>
      <t xml:space="preserve">5. continue to track </t>
    </r>
    <r>
      <rPr>
        <b/>
        <sz val="10"/>
        <color theme="1"/>
        <rFont val="Aptos"/>
        <family val="2"/>
      </rPr>
      <t>§415(c)</t>
    </r>
    <r>
      <rPr>
        <sz val="10"/>
        <color theme="1"/>
        <rFont val="Aptos"/>
        <family val="2"/>
      </rPr>
      <t xml:space="preserve"> annual additions (employee + employer + after‑tax; catch‑up excluded)</t>
    </r>
  </si>
  <si>
    <r>
      <t>SECURE 2.0 Roth‑only catch‑up</t>
    </r>
    <r>
      <rPr>
        <sz val="10"/>
        <color theme="1"/>
        <rFont val="Aptos"/>
        <family val="2"/>
      </rPr>
      <t xml:space="preserve"> applies </t>
    </r>
    <r>
      <rPr>
        <b/>
        <sz val="10"/>
        <color theme="1"/>
        <rFont val="Aptos"/>
        <family val="2"/>
      </rPr>
      <t>only</t>
    </r>
    <r>
      <rPr>
        <sz val="10"/>
        <color theme="1"/>
        <rFont val="Aptos"/>
        <family val="2"/>
      </rPr>
      <t xml:space="preserve"> when the employee’s </t>
    </r>
    <r>
      <rPr>
        <b/>
        <sz val="10"/>
        <color theme="1"/>
        <rFont val="Aptos"/>
        <family val="2"/>
      </rPr>
      <t>prior‑year W‑2 Box 3 (FICA) wages</t>
    </r>
    <r>
      <rPr>
        <sz val="10"/>
        <color theme="1"/>
        <rFont val="Aptos"/>
        <family val="2"/>
      </rPr>
      <t xml:space="preserve"> exceed the IRS threshold (</t>
    </r>
    <r>
      <rPr>
        <b/>
        <sz val="10"/>
        <color theme="1"/>
        <rFont val="Aptos"/>
        <family val="2"/>
      </rPr>
      <t>$150,000 for 2025 wages used to determine 2026 treatment</t>
    </r>
    <r>
      <rPr>
        <sz val="10"/>
        <color theme="1"/>
        <rFont val="Aptos"/>
        <family val="2"/>
      </rPr>
      <t xml:space="preserve">). Below that threshold, catch‑up can be </t>
    </r>
    <r>
      <rPr>
        <b/>
        <sz val="10"/>
        <color theme="1"/>
        <rFont val="Aptos"/>
        <family val="2"/>
      </rPr>
      <t>Pre‑Tax or Roth</t>
    </r>
    <r>
      <rPr>
        <sz val="10"/>
        <color theme="1"/>
        <rFont val="Aptos"/>
        <family val="2"/>
      </rPr>
      <t xml:space="preserve"> per plan design and participant choice. </t>
    </r>
    <r>
      <rPr>
        <sz val="10"/>
        <color rgb="FF464FEB"/>
        <rFont val="Aptos"/>
        <family val="2"/>
      </rPr>
      <t>[irs.gov]</t>
    </r>
  </si>
  <si>
    <t>W2 Box 3 &gt; $150k for 2025</t>
  </si>
  <si>
    <r>
      <t xml:space="preserve">SECURE 2.0: Roth-only catch-up?
</t>
    </r>
    <r>
      <rPr>
        <i/>
        <sz val="9"/>
        <rFont val="Aptos Narrow"/>
        <family val="2"/>
      </rPr>
      <t>Effective 2026 Plan Year</t>
    </r>
  </si>
  <si>
    <r>
      <t xml:space="preserve">Special Catch-Up </t>
    </r>
    <r>
      <rPr>
        <i/>
        <sz val="10"/>
        <rFont val="Aptos Narrow"/>
        <family val="2"/>
      </rPr>
      <t>(ages 60–63)</t>
    </r>
    <r>
      <rPr>
        <b/>
        <sz val="11"/>
        <rFont val="Aptos Narrow"/>
        <family val="2"/>
      </rPr>
      <t xml:space="preserve">
</t>
    </r>
    <r>
      <rPr>
        <i/>
        <sz val="10"/>
        <rFont val="Aptos Narrow"/>
        <family val="2"/>
      </rPr>
      <t>Secure 2.0 - Effective starting 2025 Plan Year</t>
    </r>
  </si>
  <si>
    <r>
      <t>Elective Deferral Limit</t>
    </r>
    <r>
      <rPr>
        <sz val="11"/>
        <rFont val="Aptos Narrow"/>
        <family val="2"/>
      </rPr>
      <t xml:space="preserve"> </t>
    </r>
    <r>
      <rPr>
        <i/>
        <sz val="10"/>
        <rFont val="Aptos Narrow"/>
        <family val="2"/>
      </rPr>
      <t>(401(k)+ Roth)</t>
    </r>
    <r>
      <rPr>
        <b/>
        <sz val="11"/>
        <rFont val="Aptos Narrow"/>
        <family val="2"/>
      </rPr>
      <t xml:space="preserve">
</t>
    </r>
    <r>
      <rPr>
        <i/>
        <sz val="10"/>
        <rFont val="Aptos Narrow"/>
        <family val="2"/>
      </rPr>
      <t>§402(g) governs elective deferrals limits</t>
    </r>
  </si>
  <si>
    <t>2026 IRS Deferral Limits</t>
  </si>
  <si>
    <t>Pre-Tax Contribution amount</t>
  </si>
  <si>
    <t>Roth Contribution amount</t>
  </si>
  <si>
    <r>
      <rPr>
        <b/>
        <sz val="11"/>
        <color theme="1"/>
        <rFont val="Aptos Narrow"/>
        <family val="2"/>
      </rPr>
      <t>Effective match % applied</t>
    </r>
    <r>
      <rPr>
        <sz val="11"/>
        <color theme="1"/>
        <rFont val="Aptos Narrow"/>
        <family val="2"/>
      </rPr>
      <t xml:space="preserve">
</t>
    </r>
    <r>
      <rPr>
        <i/>
        <sz val="10"/>
        <color theme="1"/>
        <rFont val="Aptos Narrow"/>
        <family val="2"/>
      </rPr>
      <t>(cap at 2.5% when employee defers ≥ 5%)</t>
    </r>
  </si>
  <si>
    <t>Projected Remainder-of-year Employee Deferral Contributions Total</t>
  </si>
  <si>
    <r>
      <t xml:space="preserve">Projected remainder-of-year </t>
    </r>
    <r>
      <rPr>
        <i/>
        <sz val="10"/>
        <color theme="1"/>
        <rFont val="Aptos Narrow"/>
        <family val="2"/>
      </rPr>
      <t>(Match)</t>
    </r>
  </si>
  <si>
    <r>
      <t xml:space="preserve">IRS notes: </t>
    </r>
    <r>
      <rPr>
        <b/>
        <sz val="10"/>
        <color theme="1"/>
        <rFont val="Segoe UI"/>
        <family val="2"/>
      </rPr>
      <t>§401(a)(17)</t>
    </r>
    <r>
      <rPr>
        <sz val="10"/>
        <color theme="1"/>
        <rFont val="Segoe UI"/>
        <family val="2"/>
      </rPr>
      <t xml:space="preserve"> limits compensation used for contributions/match (</t>
    </r>
    <r>
      <rPr>
        <b/>
        <sz val="10"/>
        <color theme="1"/>
        <rFont val="Segoe UI"/>
        <family val="2"/>
      </rPr>
      <t>$360,000 in 2026</t>
    </r>
    <r>
      <rPr>
        <sz val="10"/>
        <color theme="1"/>
        <rFont val="Segoe UI"/>
        <family val="2"/>
      </rPr>
      <t xml:space="preserve">); </t>
    </r>
    <r>
      <rPr>
        <b/>
        <sz val="10"/>
        <color theme="1"/>
        <rFont val="Segoe UI"/>
        <family val="2"/>
      </rPr>
      <t>§415(c)</t>
    </r>
    <r>
      <rPr>
        <sz val="10"/>
        <color theme="1"/>
        <rFont val="Segoe UI"/>
        <family val="2"/>
      </rPr>
      <t xml:space="preserve"> caps total annual additions (</t>
    </r>
    <r>
      <rPr>
        <b/>
        <sz val="10"/>
        <color theme="1"/>
        <rFont val="Segoe UI"/>
        <family val="2"/>
      </rPr>
      <t>$72,000 in 2026</t>
    </r>
    <r>
      <rPr>
        <sz val="10"/>
        <color theme="1"/>
        <rFont val="Segoe UI"/>
        <family val="2"/>
      </rPr>
      <t xml:space="preserve">) counting </t>
    </r>
    <r>
      <rPr>
        <b/>
        <sz val="10"/>
        <color theme="1"/>
        <rFont val="Segoe UI"/>
        <family val="2"/>
      </rPr>
      <t>employee + employer + after‑tax</t>
    </r>
    <r>
      <rPr>
        <sz val="10"/>
        <color theme="1"/>
        <rFont val="Segoe UI"/>
        <family val="2"/>
      </rPr>
      <t xml:space="preserve"> (catch‑up </t>
    </r>
    <r>
      <rPr>
        <b/>
        <sz val="10"/>
        <color theme="1"/>
        <rFont val="Segoe UI"/>
        <family val="2"/>
      </rPr>
      <t>excluded</t>
    </r>
    <r>
      <rPr>
        <sz val="10"/>
        <color theme="1"/>
        <rFont val="Segoe UI"/>
        <family val="2"/>
      </rPr>
      <t>).</t>
    </r>
  </si>
  <si>
    <r>
      <t xml:space="preserve">§415(c) year‑end projection
</t>
    </r>
    <r>
      <rPr>
        <i/>
        <sz val="10"/>
        <color theme="0"/>
        <rFont val="Aptos Narrow"/>
        <family val="2"/>
      </rPr>
      <t>(employee + employer match)</t>
    </r>
  </si>
  <si>
    <t>Secure 2.0 Catch-Up High-Earner Flag</t>
  </si>
  <si>
    <r>
      <t xml:space="preserve">For 2026, catch-up contributions to an employer retirement plan must be made as </t>
    </r>
    <r>
      <rPr>
        <b/>
        <sz val="10.5"/>
        <color rgb="FF333333"/>
        <rFont val="Arial"/>
        <family val="2"/>
      </rPr>
      <t>Roth contributions</t>
    </r>
    <r>
      <rPr>
        <sz val="10.5"/>
        <color rgb="FF333333"/>
        <rFont val="Arial"/>
        <family val="2"/>
      </rPr>
      <t xml:space="preserve"> if an employee’s wages for 2025 exceeded </t>
    </r>
    <r>
      <rPr>
        <b/>
        <sz val="10.5"/>
        <color rgb="FF333333"/>
        <rFont val="Arial"/>
        <family val="2"/>
      </rPr>
      <t>$150,000</t>
    </r>
    <r>
      <rPr>
        <sz val="10.5"/>
        <color rgb="FF333333"/>
        <rFont val="Arial"/>
        <family val="2"/>
      </rPr>
      <t>.</t>
    </r>
  </si>
  <si>
    <r>
      <t xml:space="preserve">Remaining Employee Base Deferral Allowed
</t>
    </r>
    <r>
      <rPr>
        <i/>
        <sz val="10"/>
        <rFont val="Aptos Narrow"/>
        <family val="2"/>
      </rPr>
      <t>§402(g) governs elective deferrals limits</t>
    </r>
  </si>
  <si>
    <r>
      <rPr>
        <b/>
        <i/>
        <sz val="10"/>
        <color theme="0" tint="-0.499984740745262"/>
        <rFont val="Aptos Narrow"/>
        <family val="2"/>
      </rPr>
      <t>Important Disclaimer</t>
    </r>
    <r>
      <rPr>
        <i/>
        <sz val="10"/>
        <color theme="0" tint="-0.499984740745262"/>
        <rFont val="Aptos Narrow"/>
        <family val="2"/>
      </rPr>
      <t xml:space="preserve">
This calculator is provided for informational and educational purposes only. It is not intended to provide financial, tax, or investment advice. Contribution strategies and tax situations are highly individual, and results produced by this tool should not be interpreted as personalized advice.</t>
    </r>
  </si>
  <si>
    <t>Recommended per-pay: Roth Post-Tax</t>
  </si>
  <si>
    <t>Recommended per-pay: 401(k) Pre-Tax</t>
  </si>
  <si>
    <r>
      <t xml:space="preserve">IRS Annual Qualification
</t>
    </r>
    <r>
      <rPr>
        <i/>
        <sz val="10"/>
        <rFont val="Aptos Narrow"/>
        <family val="2"/>
      </rPr>
      <t>Age as of Dec 31st</t>
    </r>
  </si>
  <si>
    <t>Max employer match rate % on eligible compensation</t>
  </si>
  <si>
    <r>
      <t xml:space="preserve">This planner is designed to help you understand and project your </t>
    </r>
    <r>
      <rPr>
        <b/>
        <sz val="12.5"/>
        <color theme="1"/>
        <rFont val="Aptos Narrow"/>
        <family val="2"/>
      </rPr>
      <t xml:space="preserve">401(k), Roth 401(k), and After-Tax 415(c) </t>
    </r>
    <r>
      <rPr>
        <sz val="12.5"/>
        <color theme="1"/>
        <rFont val="Aptos Narrow"/>
        <family val="2"/>
      </rPr>
      <t>contribution opportunities for the 2026 plan year. By entering a few key data points — your birth date, wages, pay frequency, and year-to-date contributions</t>
    </r>
  </si>
  <si>
    <r>
      <rPr>
        <b/>
        <sz val="13"/>
        <color rgb="FF035BFB"/>
        <rFont val="Aptos Narrow"/>
        <family val="2"/>
      </rPr>
      <t>This tool provides clear, personalized insights into:</t>
    </r>
    <r>
      <rPr>
        <sz val="12.5"/>
        <color theme="1"/>
        <rFont val="Aptos Narrow"/>
        <family val="2"/>
      </rPr>
      <t xml:space="preserve">
</t>
    </r>
    <r>
      <rPr>
        <sz val="12"/>
        <color theme="1"/>
        <rFont val="Aptos Narrow"/>
        <family val="2"/>
      </rPr>
      <t xml:space="preserve">✔ How much you can contribute this year (pre-tax &amp; Roth)
✔ Whether you are on track to reach the IRS annual limits
✔ How much employer match you may still be eligible to receive
✔ Your remaining 415(c) annual additions capacity </t>
    </r>
    <r>
      <rPr>
        <i/>
        <sz val="12"/>
        <color theme="1"/>
        <rFont val="Aptos Narrow"/>
        <family val="2"/>
      </rPr>
      <t>(employee + employer + after-tax)</t>
    </r>
    <r>
      <rPr>
        <sz val="12"/>
        <color theme="1"/>
        <rFont val="Aptos Narrow"/>
        <family val="2"/>
      </rPr>
      <t xml:space="preserve">
✔ How to adjust contributions mid-year to maximize retirement savings</t>
    </r>
  </si>
  <si>
    <r>
      <t xml:space="preserve">Employees Calculator Simulation Per Pay
</t>
    </r>
    <r>
      <rPr>
        <sz val="10"/>
        <color rgb="FF00FF00"/>
        <rFont val="Aptos Narrow"/>
        <family val="2"/>
      </rPr>
      <t>401(k) Pre-Tax &amp; Roth Post-Tax Deferral</t>
    </r>
  </si>
  <si>
    <t>proofpoint                         401(k) &amp; Roth Contribution Planner - 2026 Plan Year</t>
  </si>
  <si>
    <r>
      <t xml:space="preserve">Remaining 415(c) capacity
</t>
    </r>
    <r>
      <rPr>
        <i/>
        <sz val="11"/>
        <color theme="0"/>
        <rFont val="Aptos Narrow"/>
        <family val="2"/>
      </rPr>
      <t>(401(k) pre-tax + Roth post-tax + ER Match + After Tax)</t>
    </r>
  </si>
  <si>
    <r>
      <t xml:space="preserve">CURRENT Employee Deferral Contributions YTD
</t>
    </r>
    <r>
      <rPr>
        <i/>
        <sz val="10"/>
        <rFont val="Aptos Narrow"/>
        <family val="2"/>
      </rPr>
      <t>(401(k) pre-tax + Roth post-tax)</t>
    </r>
  </si>
  <si>
    <r>
      <t xml:space="preserve">Remaining Catch-Up Allowed
</t>
    </r>
    <r>
      <rPr>
        <i/>
        <sz val="10"/>
        <rFont val="Aptos Narrow"/>
        <family val="2"/>
      </rPr>
      <t xml:space="preserve"> (must be Roth if FICA &gt; $150k)</t>
    </r>
  </si>
  <si>
    <t>Apply to 415c Limit</t>
  </si>
  <si>
    <t>Excluded</t>
  </si>
  <si>
    <t>Participant Age as of Dec 31, 2026</t>
  </si>
  <si>
    <r>
      <t xml:space="preserve">2026 Standard Annual Deferral Combined Limit
</t>
    </r>
    <r>
      <rPr>
        <sz val="9"/>
        <color theme="1"/>
        <rFont val="Aptos Narrow"/>
        <family val="2"/>
      </rPr>
      <t>401k Pre-Tax
Roth 401k Post-Tax</t>
    </r>
  </si>
  <si>
    <r>
      <t xml:space="preserve">2026 Catch-up Contribution
</t>
    </r>
    <r>
      <rPr>
        <sz val="9"/>
        <color theme="1"/>
        <rFont val="Aptos Narrow"/>
        <family val="2"/>
      </rPr>
      <t>Excluded from 415(c) Limit</t>
    </r>
  </si>
  <si>
    <t>Total 2026 Annual 401(k) Contribution Limits</t>
  </si>
  <si>
    <r>
      <t xml:space="preserve">ER 401(k) Match Contribution
</t>
    </r>
    <r>
      <rPr>
        <sz val="9"/>
        <color theme="1"/>
        <rFont val="Aptos Narrow"/>
        <family val="2"/>
      </rPr>
      <t>Excluded from individual 401(k) limit</t>
    </r>
  </si>
  <si>
    <t>2026 415(c) After-Tax Contribution</t>
  </si>
  <si>
    <r>
      <t xml:space="preserve">Combined Total 2026 415(c) Plan IRS Limit
</t>
    </r>
    <r>
      <rPr>
        <sz val="9"/>
        <color theme="1"/>
        <rFont val="Aptos Narrow"/>
        <family val="2"/>
      </rPr>
      <t xml:space="preserve">Includes 401(k) </t>
    </r>
  </si>
  <si>
    <t>21 - 49</t>
  </si>
  <si>
    <r>
      <t xml:space="preserve">50 - 59 </t>
    </r>
    <r>
      <rPr>
        <b/>
        <i/>
        <sz val="11"/>
        <color theme="1"/>
        <rFont val="Aptos Narrow"/>
        <family val="2"/>
      </rPr>
      <t>OR</t>
    </r>
    <r>
      <rPr>
        <sz val="11"/>
        <color theme="1"/>
        <rFont val="Aptos Narrow"/>
        <family val="2"/>
      </rPr>
      <t>;
64 or older</t>
    </r>
  </si>
  <si>
    <t>60 - 63</t>
  </si>
  <si>
    <t>*Roth-only catch-up mandates for &gt;$150k wages</t>
  </si>
  <si>
    <t>*Limit if maxing out on other contributions</t>
  </si>
  <si>
    <t>proofpoint           2026 IRS 401(k), Roth &amp; After-Tax Limits</t>
  </si>
  <si>
    <t>Employer match cap value per-pay amount</t>
  </si>
  <si>
    <t>STEP 1 - Enter Information:</t>
  </si>
  <si>
    <t>STEP 2 - Enter your CURRENT YTD
Deferral Contributions:</t>
  </si>
  <si>
    <t>STEP 3 - Enter % you want to Contribute:</t>
  </si>
  <si>
    <t>STEP 4 - Enter Single Pay Check ONLY</t>
  </si>
  <si>
    <t>Enter Earning Type Gross Amount</t>
  </si>
  <si>
    <r>
      <t xml:space="preserve">Compensation Breakdown - Select the Type of Earning
</t>
    </r>
    <r>
      <rPr>
        <i/>
        <sz val="9"/>
        <color theme="0"/>
        <rFont val="Aptos Narrow"/>
        <family val="2"/>
      </rPr>
      <t>(One line for each type)</t>
    </r>
  </si>
  <si>
    <r>
      <rPr>
        <b/>
        <sz val="13"/>
        <color rgb="FF035BFB"/>
        <rFont val="Aptos Narrow"/>
        <family val="2"/>
      </rPr>
      <t>To get started</t>
    </r>
    <r>
      <rPr>
        <b/>
        <sz val="12.5"/>
        <color rgb="FF035BFB"/>
        <rFont val="Aptos Narrow"/>
        <family val="2"/>
      </rPr>
      <t xml:space="preserve"> </t>
    </r>
    <r>
      <rPr>
        <sz val="12.5"/>
        <color theme="1"/>
        <rFont val="Aptos Narrow"/>
        <family val="2"/>
      </rPr>
      <t xml:space="preserve">- Complete the information in 4 short sections below - including
entering a current pay statement in the grid below and let the simulator do the rest
</t>
    </r>
    <r>
      <rPr>
        <b/>
        <sz val="12.5"/>
        <color rgb="FF035BFB"/>
        <rFont val="Aptos Narrow"/>
        <family val="2"/>
      </rPr>
      <t xml:space="preserve">    Step 1</t>
    </r>
    <r>
      <rPr>
        <sz val="12.5"/>
        <color theme="1"/>
        <rFont val="Aptos Narrow"/>
        <family val="2"/>
      </rPr>
      <t xml:space="preserve"> - Enter Basic Information
</t>
    </r>
    <r>
      <rPr>
        <b/>
        <sz val="12.5"/>
        <color rgb="FF035BFB"/>
        <rFont val="Aptos Narrow"/>
        <family val="2"/>
      </rPr>
      <t xml:space="preserve">    Step 2 </t>
    </r>
    <r>
      <rPr>
        <sz val="12.5"/>
        <color theme="1"/>
        <rFont val="Aptos Narrow"/>
        <family val="2"/>
      </rPr>
      <t xml:space="preserve">- Enter Current YTD contributions most recent pay statement
</t>
    </r>
    <r>
      <rPr>
        <b/>
        <sz val="12.5"/>
        <color rgb="FF035BFB"/>
        <rFont val="Aptos Narrow"/>
        <family val="2"/>
      </rPr>
      <t xml:space="preserve">    Step 3 </t>
    </r>
    <r>
      <rPr>
        <sz val="12.5"/>
        <color theme="1"/>
        <rFont val="Aptos Narrow"/>
        <family val="2"/>
      </rPr>
      <t xml:space="preserve">- Enter the % you want to contribute to deferrals
</t>
    </r>
    <r>
      <rPr>
        <b/>
        <sz val="12.5"/>
        <color rgb="FF035BFB"/>
        <rFont val="Aptos Narrow"/>
        <family val="2"/>
      </rPr>
      <t xml:space="preserve">    Step 4 -</t>
    </r>
    <r>
      <rPr>
        <sz val="12.5"/>
        <color theme="1"/>
        <rFont val="Aptos Narrow"/>
        <family val="2"/>
      </rPr>
      <t xml:space="preserve"> Enter your Compensation information from your most recent pay statement</t>
    </r>
  </si>
  <si>
    <r>
      <t xml:space="preserve">Applicable Catch-Up
</t>
    </r>
    <r>
      <rPr>
        <i/>
        <sz val="10"/>
        <rFont val="Aptos Narrow"/>
        <family val="2"/>
      </rPr>
      <t>*Excluded from Deferral Limit or 415(c) Limit</t>
    </r>
  </si>
  <si>
    <r>
      <t xml:space="preserve">Employer match — remainder of year
</t>
    </r>
    <r>
      <rPr>
        <i/>
        <sz val="10"/>
        <rFont val="Aptos Narrow"/>
        <family val="2"/>
      </rPr>
      <t>*Contingent on Eligible Compensation</t>
    </r>
  </si>
  <si>
    <t>Planner &gt; Current Balance &amp; Remaining Avaliable</t>
  </si>
  <si>
    <r>
      <t xml:space="preserve">How to View:
</t>
    </r>
    <r>
      <rPr>
        <sz val="12.5"/>
        <rFont val="Aptos Narrow"/>
        <family val="2"/>
      </rPr>
      <t xml:space="preserve">  - 2026 </t>
    </r>
    <r>
      <rPr>
        <b/>
        <sz val="12.5"/>
        <rFont val="Aptos Narrow"/>
        <family val="2"/>
      </rPr>
      <t>IRS Deferral Limits</t>
    </r>
    <r>
      <rPr>
        <sz val="12.5"/>
        <rFont val="Aptos Narrow"/>
        <family val="2"/>
      </rPr>
      <t xml:space="preserve"> are set by the IRS each year</t>
    </r>
    <r>
      <rPr>
        <b/>
        <sz val="12.5"/>
        <color rgb="FF035BFB"/>
        <rFont val="Aptos Narrow"/>
        <family val="2"/>
      </rPr>
      <t xml:space="preserve">
 </t>
    </r>
    <r>
      <rPr>
        <b/>
        <sz val="12.5"/>
        <rFont val="Aptos Narrow"/>
        <family val="2"/>
      </rPr>
      <t xml:space="preserve"> -</t>
    </r>
    <r>
      <rPr>
        <sz val="12.5"/>
        <rFont val="Aptos Narrow"/>
        <family val="2"/>
      </rPr>
      <t xml:space="preserve"> Employee </t>
    </r>
    <r>
      <rPr>
        <b/>
        <sz val="12.5"/>
        <rFont val="Aptos Narrow"/>
        <family val="2"/>
      </rPr>
      <t xml:space="preserve">Calculator Simulation Per Pay
        ✔ </t>
    </r>
    <r>
      <rPr>
        <sz val="12.5"/>
        <rFont val="Aptos Narrow"/>
        <family val="2"/>
      </rPr>
      <t>including</t>
    </r>
    <r>
      <rPr>
        <b/>
        <sz val="12.5"/>
        <rFont val="Aptos Narrow"/>
        <family val="2"/>
      </rPr>
      <t xml:space="preserve"> Projected remainder-of-year contributions based on %
  - </t>
    </r>
    <r>
      <rPr>
        <sz val="12.5"/>
        <rFont val="Aptos Narrow"/>
        <family val="2"/>
      </rPr>
      <t>Planner &gt;</t>
    </r>
    <r>
      <rPr>
        <b/>
        <sz val="12.5"/>
        <rFont val="Aptos Narrow"/>
        <family val="2"/>
      </rPr>
      <t xml:space="preserve"> Current Balance &amp; Remaining Available</t>
    </r>
    <r>
      <rPr>
        <sz val="12.5"/>
        <rFont val="Aptos Narrow"/>
        <family val="2"/>
      </rPr>
      <t xml:space="preserve"> to contribute before caps</t>
    </r>
    <r>
      <rPr>
        <b/>
        <sz val="12.5"/>
        <rFont val="Aptos Narrow"/>
        <family val="2"/>
      </rPr>
      <t xml:space="preserve">
  -</t>
    </r>
    <r>
      <rPr>
        <sz val="12.5"/>
        <rFont val="Aptos Narrow"/>
        <family val="2"/>
      </rPr>
      <t xml:space="preserve"> To Reach Maximum Deferral % per pay (Total)</t>
    </r>
  </si>
  <si>
    <r>
      <t xml:space="preserve">Your Remaining Employee Deferral
</t>
    </r>
    <r>
      <rPr>
        <i/>
        <sz val="11"/>
        <color theme="0"/>
        <rFont val="Aptos Narrow"/>
        <family val="2"/>
      </rPr>
      <t>(401(k) + Roth available to contribute)</t>
    </r>
  </si>
  <si>
    <r>
      <rPr>
        <b/>
        <sz val="16"/>
        <color theme="0"/>
        <rFont val="Aptos Narrow"/>
        <family val="2"/>
      </rPr>
      <t>Maximum Allowable Employee Deferral</t>
    </r>
    <r>
      <rPr>
        <b/>
        <sz val="12"/>
        <color theme="0"/>
        <rFont val="Aptos Narrow"/>
        <family val="2"/>
      </rPr>
      <t xml:space="preserve">
</t>
    </r>
    <r>
      <rPr>
        <i/>
        <sz val="11"/>
        <color theme="0"/>
        <rFont val="Aptos Narrow"/>
        <family val="2"/>
      </rPr>
      <t>(age-based pre-tax &amp; Roth)</t>
    </r>
  </si>
  <si>
    <r>
      <t xml:space="preserve">Standard Catch-Up </t>
    </r>
    <r>
      <rPr>
        <i/>
        <sz val="10"/>
        <rFont val="Aptos Narrow"/>
        <family val="2"/>
      </rPr>
      <t>(ages 50 - 59 &amp; 64 or Older)
 §414(v) governs catchup limits</t>
    </r>
  </si>
  <si>
    <r>
      <t xml:space="preserve">Annual Compensation Limit
</t>
    </r>
    <r>
      <rPr>
        <i/>
        <sz val="10"/>
        <rFont val="Aptos Narrow"/>
        <family val="2"/>
      </rPr>
      <t>§401(a)(17) limits compensation used for contributions/match</t>
    </r>
  </si>
  <si>
    <r>
      <t xml:space="preserve">CURRENT §415(c) Total Contributions YTD
</t>
    </r>
    <r>
      <rPr>
        <i/>
        <sz val="10"/>
        <color theme="0"/>
        <rFont val="Aptos Narrow"/>
        <family val="2"/>
      </rPr>
      <t>§415(c) annual additions (employee + employer + after‑tax; catch‑up excluded)</t>
    </r>
  </si>
  <si>
    <r>
      <t xml:space="preserve">CURRENT Employee After-Tax Contribution YTD
</t>
    </r>
    <r>
      <rPr>
        <i/>
        <sz val="10"/>
        <rFont val="Aptos Narrow"/>
        <family val="2"/>
      </rPr>
      <t>§415(c) annual additions</t>
    </r>
  </si>
  <si>
    <r>
      <t xml:space="preserve">CURRENT Employer Match Contribution YTD
</t>
    </r>
    <r>
      <rPr>
        <i/>
        <sz val="10"/>
        <rFont val="Aptos Narrow"/>
        <family val="2"/>
      </rPr>
      <t>§415(c) annual additions</t>
    </r>
  </si>
  <si>
    <r>
      <t xml:space="preserve">Remaining §415(c) capacity after plan Allowed
</t>
    </r>
    <r>
      <rPr>
        <i/>
        <sz val="10"/>
        <rFont val="Aptos Narrow"/>
        <family val="2"/>
      </rPr>
      <t>§415(c) annual additions (employee + employer + after‑tax; catch‑up excluded)</t>
    </r>
  </si>
  <si>
    <r>
      <t xml:space="preserve">§415(c) Annual Limit
</t>
    </r>
    <r>
      <rPr>
        <i/>
        <sz val="10"/>
        <rFont val="Aptos Narrow"/>
        <family val="2"/>
      </rPr>
      <t>§415(c) annual additions (employee + employer + after‑tax; catch‑up excluded)</t>
    </r>
  </si>
  <si>
    <r>
      <rPr>
        <b/>
        <sz val="13"/>
        <color rgb="FF035BFB"/>
        <rFont val="Aptos Narrow"/>
        <family val="2"/>
      </rPr>
      <t>The planner automatically incorporates the 2026 IRS contribution limits, including:</t>
    </r>
    <r>
      <rPr>
        <sz val="12.5"/>
        <color theme="1"/>
        <rFont val="Aptos Narrow"/>
        <family val="2"/>
      </rPr>
      <t xml:space="preserve">
</t>
    </r>
    <r>
      <rPr>
        <sz val="12"/>
        <color theme="1"/>
        <rFont val="Aptos Narrow"/>
        <family val="2"/>
      </rPr>
      <t>✔ Standard Elective Deferral Limit: $24,500
✔ Age-50+ Catch-Up: $8,000
✔ Secure 2.0 Special Catch-Up (ages 60–63): $11,250
✔ Secure 2.0 Special Catch-Up to Roth for High-Earners
✔ 415(c) Annual Additions Limit: $72,000</t>
    </r>
  </si>
  <si>
    <r>
      <t xml:space="preserve">Remaining pay periods in 2026
</t>
    </r>
    <r>
      <rPr>
        <i/>
        <sz val="10"/>
        <color theme="0"/>
        <rFont val="Aptos Narrow"/>
        <family val="2"/>
      </rPr>
      <t>*Based on Cutoff Date</t>
    </r>
  </si>
  <si>
    <t>To Reach Maximum Deferral % per pay (Total) — Helper Panel</t>
  </si>
  <si>
    <t>Key Inputs (linked to your existing cells)</t>
  </si>
  <si>
    <t>Remaining pay periods</t>
  </si>
  <si>
    <t>Eligible compensation per pay</t>
  </si>
  <si>
    <t>Current Pre-Tax %</t>
  </si>
  <si>
    <t>Current Roth %</t>
  </si>
  <si>
    <t>Remaining base deferral allowed ($)</t>
  </si>
  <si>
    <t>Remaining catch-up allowed ($)</t>
  </si>
  <si>
    <t>High-earner Roth-only catch-up? (YES/NO)</t>
  </si>
  <si>
    <t>Helper Metrics</t>
  </si>
  <si>
    <t>Per-pay cap (total remaining / periods)</t>
  </si>
  <si>
    <t>Recommendations</t>
  </si>
  <si>
    <t>Pre-Tax per-pay cap</t>
  </si>
  <si>
    <t>Required Roth catch-up per pay (if high earner)</t>
  </si>
  <si>
    <t>Elected Pre-Tax $ per pay</t>
  </si>
  <si>
    <t>Elected Roth $ per pay</t>
  </si>
  <si>
    <t>Target Pre-Tax % to max base</t>
  </si>
  <si>
    <t>Combined current deferral % (Pre-Tax + Roth)</t>
  </si>
  <si>
    <t>Target Roth % to satisfy catch-up</t>
  </si>
  <si>
    <t>90% plan cap check</t>
  </si>
  <si>
    <t>Annual Limit &amp; Progress</t>
  </si>
  <si>
    <t>IRS Elective Deferral Annual Limit ($)</t>
  </si>
  <si>
    <t>Employee Deferral YTD ($)</t>
  </si>
  <si>
    <t>% complete toward annual limit</t>
  </si>
  <si>
    <t>Progress status</t>
  </si>
  <si>
    <t>Annual Limit and Progress</t>
  </si>
  <si>
    <r>
      <t xml:space="preserve">To Reach Maximum Deferral % per pay (Total)
</t>
    </r>
    <r>
      <rPr>
        <i/>
        <sz val="11"/>
        <color theme="0"/>
        <rFont val="Aptos Narrow"/>
        <family val="2"/>
      </rPr>
      <t>*combined max cannot exceed 90%</t>
    </r>
  </si>
  <si>
    <t>© 2025 Proofpoint, Inc. All Rights Reserved.</t>
  </si>
  <si>
    <t>Column1</t>
  </si>
  <si>
    <t>Enter your Date of Birth
MM/DD/YYYY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</si>
</sst>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164" formatCode="&quot;$&quot;#,##0.00"/>
    <numFmt numFmtId="165" formatCode="[$-F800]dddd\,\ mmmm\ dd\,\ yyyy"/>
    <numFmt numFmtId="166" formatCode="0.0%"/>
    <numFmt numFmtId="167" formatCode="mm/dd/yyyy"/>
    <numFmt numFmtId="168" formatCode="&quot;$&quot;#,##0.00_-"/>
  </numFmts>
  <fonts count="57" x14ac:knownFonts="1">
    <font>
      <sz val="11"/>
      <color theme="1"/>
      <name val="Calibri"/>
      <family val="2"/>
      <scheme val="minor"/>
    </font>
    <font>
      <sz val="11"/>
      <color theme="1"/>
      <name val="Calibri"/>
      <family val="2"/>
      <scheme val="minor"/>
    </font>
    <font>
      <sz val="11"/>
      <name val="Aptos Narrow"/>
      <family val="2"/>
    </font>
    <font>
      <b/>
      <sz val="11"/>
      <name val="Aptos Narrow"/>
      <family val="2"/>
    </font>
    <font>
      <i/>
      <sz val="10"/>
      <name val="Aptos Narrow"/>
      <family val="2"/>
    </font>
    <font>
      <b/>
      <sz val="16"/>
      <color theme="0"/>
      <name val="Aptos Narrow"/>
      <family val="2"/>
    </font>
    <font>
      <sz val="11"/>
      <color theme="0"/>
      <name val="Aptos Narrow"/>
      <family val="2"/>
    </font>
    <font>
      <sz val="11"/>
      <color theme="1"/>
      <name val="Aptos Narrow"/>
      <family val="2"/>
    </font>
    <font>
      <b/>
      <sz val="12"/>
      <name val="Aptos Narrow"/>
      <family val="2"/>
    </font>
    <font>
      <b/>
      <sz val="14"/>
      <name val="Aptos Narrow"/>
      <family val="2"/>
    </font>
    <font>
      <i/>
      <sz val="9"/>
      <name val="Aptos Narrow"/>
      <family val="2"/>
    </font>
    <font>
      <b/>
      <sz val="12"/>
      <color theme="0"/>
      <name val="Aptos Narrow"/>
      <family val="2"/>
    </font>
    <font>
      <i/>
      <sz val="11"/>
      <name val="Aptos Narrow"/>
      <family val="2"/>
    </font>
    <font>
      <i/>
      <sz val="10"/>
      <color theme="0"/>
      <name val="Aptos Narrow"/>
      <family val="2"/>
    </font>
    <font>
      <sz val="11"/>
      <color rgb="FF00B050"/>
      <name val="Aptos Narrow"/>
      <family val="2"/>
    </font>
    <font>
      <b/>
      <sz val="11"/>
      <color theme="0"/>
      <name val="Aptos Narrow"/>
      <family val="2"/>
    </font>
    <font>
      <sz val="10"/>
      <color theme="1"/>
      <name val="Aptos Narrow"/>
      <family val="2"/>
    </font>
    <font>
      <sz val="9"/>
      <color theme="1"/>
      <name val="Aptos Narrow"/>
      <family val="2"/>
    </font>
    <font>
      <sz val="11"/>
      <color rgb="FF035BFB"/>
      <name val="Aptos Narrow"/>
      <family val="2"/>
    </font>
    <font>
      <sz val="10"/>
      <name val="Arial"/>
      <family val="2"/>
    </font>
    <font>
      <sz val="8"/>
      <color theme="1"/>
      <name val="Aptos Narrow"/>
      <family val="2"/>
    </font>
    <font>
      <b/>
      <sz val="11"/>
      <color theme="1"/>
      <name val="Aptos Narrow"/>
      <family val="2"/>
    </font>
    <font>
      <i/>
      <sz val="9"/>
      <color theme="0"/>
      <name val="Aptos Narrow"/>
      <family val="2"/>
    </font>
    <font>
      <i/>
      <sz val="10"/>
      <color theme="1"/>
      <name val="Aptos Narrow"/>
      <family val="2"/>
    </font>
    <font>
      <sz val="10"/>
      <name val="Aptos Narrow"/>
      <family val="2"/>
    </font>
    <font>
      <sz val="9"/>
      <name val="Aptos Narrow"/>
      <family val="2"/>
    </font>
    <font>
      <b/>
      <sz val="14"/>
      <color theme="0"/>
      <name val="Aptos Narrow"/>
      <family val="2"/>
    </font>
    <font>
      <sz val="10"/>
      <color theme="1"/>
      <name val="Aptos"/>
      <family val="2"/>
    </font>
    <font>
      <b/>
      <sz val="10"/>
      <color theme="1"/>
      <name val="Aptos"/>
      <family val="2"/>
    </font>
    <font>
      <sz val="10"/>
      <color rgb="FF464FEB"/>
      <name val="Aptos"/>
      <family val="2"/>
    </font>
    <font>
      <sz val="10"/>
      <color theme="1"/>
      <name val="Segoe UI"/>
      <family val="2"/>
    </font>
    <font>
      <b/>
      <sz val="10"/>
      <color theme="1"/>
      <name val="Segoe UI"/>
      <family val="2"/>
    </font>
    <font>
      <i/>
      <sz val="11"/>
      <color theme="0"/>
      <name val="Aptos Narrow"/>
      <family val="2"/>
    </font>
    <font>
      <b/>
      <sz val="24"/>
      <color theme="0"/>
      <name val="Aptos Narrow"/>
      <family val="2"/>
    </font>
    <font>
      <sz val="10.5"/>
      <color rgb="FF333333"/>
      <name val="Arial"/>
      <family val="2"/>
    </font>
    <font>
      <b/>
      <sz val="10.5"/>
      <color rgb="FF333333"/>
      <name val="Arial"/>
      <family val="2"/>
    </font>
    <font>
      <sz val="12"/>
      <color theme="1"/>
      <name val="Aptos Narrow"/>
      <family val="2"/>
    </font>
    <font>
      <sz val="12.5"/>
      <color theme="1"/>
      <name val="Aptos Narrow"/>
      <family val="2"/>
    </font>
    <font>
      <b/>
      <sz val="12.5"/>
      <color theme="1"/>
      <name val="Aptos Narrow"/>
      <family val="2"/>
    </font>
    <font>
      <i/>
      <sz val="10"/>
      <color theme="0" tint="-0.499984740745262"/>
      <name val="Aptos Narrow"/>
      <family val="2"/>
    </font>
    <font>
      <b/>
      <i/>
      <sz val="10"/>
      <color theme="0" tint="-0.499984740745262"/>
      <name val="Aptos Narrow"/>
      <family val="2"/>
    </font>
    <font>
      <i/>
      <sz val="12"/>
      <color theme="1"/>
      <name val="Aptos Narrow"/>
      <family val="2"/>
    </font>
    <font>
      <b/>
      <sz val="13"/>
      <color rgb="FF035BFB"/>
      <name val="Aptos Narrow"/>
      <family val="2"/>
    </font>
    <font>
      <b/>
      <sz val="14"/>
      <color rgb="FF00FF00"/>
      <name val="Aptos Narrow"/>
      <family val="2"/>
    </font>
    <font>
      <sz val="10"/>
      <color rgb="FF00FF00"/>
      <name val="Aptos Narrow"/>
      <family val="2"/>
    </font>
    <font>
      <b/>
      <sz val="12"/>
      <color rgb="FF00FF00"/>
      <name val="Aptos Narrow"/>
      <family val="2"/>
    </font>
    <font>
      <b/>
      <sz val="12.5"/>
      <color rgb="FF035BFB"/>
      <name val="Aptos Narrow"/>
      <family val="2"/>
    </font>
    <font>
      <b/>
      <sz val="20"/>
      <color theme="0"/>
      <name val="Arial"/>
      <family val="2"/>
    </font>
    <font>
      <b/>
      <i/>
      <sz val="11"/>
      <color theme="1"/>
      <name val="Aptos Narrow"/>
      <family val="2"/>
    </font>
    <font>
      <i/>
      <sz val="9"/>
      <color rgb="FFCC0099"/>
      <name val="Aptos Narrow"/>
      <family val="2"/>
    </font>
    <font>
      <b/>
      <sz val="12.5"/>
      <name val="Aptos Narrow"/>
      <family val="2"/>
    </font>
    <font>
      <sz val="12.5"/>
      <name val="Aptos Narrow"/>
      <family val="2"/>
    </font>
    <font>
      <sz val="9"/>
      <color theme="0" tint="-0.499984740745262"/>
      <name val="Aptos Narrow"/>
      <family val="2"/>
    </font>
    <font>
      <b/>
      <sz val="14"/>
      <name val="Calibri"/>
      <family val="2"/>
    </font>
    <font>
      <b/>
      <sz val="12"/>
      <color rgb="FFFFFFFF"/>
      <name val="Calibri"/>
      <family val="2"/>
    </font>
    <font>
      <b/>
      <sz val="11"/>
      <name val="Calibri"/>
      <family val="2"/>
    </font>
    <font>
      <sz val="11"/>
      <name val="Calibri"/>
      <family val="2"/>
    </font>
  </fonts>
  <fills count="15">
    <fill>
      <patternFill patternType="none"/>
    </fill>
    <fill>
      <patternFill patternType="gray125"/>
    </fill>
    <fill>
      <patternFill patternType="solid">
        <fgColor rgb="FF035BFB"/>
        <bgColor indexed="64"/>
      </patternFill>
    </fill>
    <fill>
      <patternFill patternType="solid">
        <fgColor theme="1"/>
        <bgColor indexed="64"/>
      </patternFill>
    </fill>
    <fill>
      <patternFill patternType="solid">
        <fgColor theme="0"/>
        <bgColor indexed="64"/>
      </patternFill>
    </fill>
    <fill>
      <patternFill patternType="solid">
        <fgColor theme="5" tint="-0.24997711111789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00FF00"/>
        <bgColor indexed="64"/>
      </patternFill>
    </fill>
    <fill>
      <patternFill patternType="solid">
        <fgColor rgb="FFE7FFE7"/>
        <bgColor indexed="64"/>
      </patternFill>
    </fill>
    <fill>
      <patternFill patternType="solid">
        <fgColor theme="0" tint="-0.249977111117893"/>
        <bgColor indexed="64"/>
      </patternFill>
    </fill>
    <fill>
      <patternFill patternType="solid">
        <fgColor rgb="FFFFFF00"/>
        <bgColor indexed="64"/>
      </patternFill>
    </fill>
    <fill>
      <patternFill patternType="solid">
        <fgColor rgb="FF333F50"/>
      </patternFill>
    </fill>
    <fill>
      <patternFill patternType="solid">
        <fgColor rgb="FFDCE6F1"/>
      </patternFill>
    </fill>
  </fills>
  <borders count="70">
    <border>
      <left/>
      <right/>
      <top/>
      <bottom/>
      <diagonal/>
    </border>
    <border>
      <left style="thin">
        <color rgb="FF9E9E9E"/>
      </left>
      <right style="thin">
        <color rgb="FF9E9E9E"/>
      </right>
      <top style="thin">
        <color rgb="FF9E9E9E"/>
      </top>
      <bottom style="thin">
        <color rgb="FF9E9E9E"/>
      </bottom>
      <diagonal/>
    </border>
    <border>
      <left style="thin">
        <color rgb="FF9E9E9E"/>
      </left>
      <right/>
      <top style="thin">
        <color rgb="FF9E9E9E"/>
      </top>
      <bottom style="thin">
        <color rgb="FF9E9E9E"/>
      </bottom>
      <diagonal/>
    </border>
    <border>
      <left style="thin">
        <color rgb="FF9E9E9E"/>
      </left>
      <right/>
      <top/>
      <bottom style="thin">
        <color rgb="FF9E9E9E"/>
      </bottom>
      <diagonal/>
    </border>
    <border>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top/>
      <bottom style="medium">
        <color indexed="64"/>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style="medium">
        <color indexed="64"/>
      </left>
      <right style="thin">
        <color auto="1"/>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auto="1"/>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medium">
        <color indexed="64"/>
      </left>
      <right/>
      <top/>
      <bottom style="medium">
        <color indexed="64"/>
      </bottom>
      <diagonal/>
    </border>
    <border>
      <left style="thin">
        <color auto="1"/>
      </left>
      <right style="thin">
        <color auto="1"/>
      </right>
      <top style="thin">
        <color auto="1"/>
      </top>
      <bottom style="medium">
        <color indexed="64"/>
      </bottom>
      <diagonal/>
    </border>
    <border>
      <left/>
      <right/>
      <top/>
      <bottom style="medium">
        <color indexed="64"/>
      </bottom>
      <diagonal/>
    </border>
    <border>
      <left style="thin">
        <color auto="1"/>
      </left>
      <right style="medium">
        <color indexed="64"/>
      </right>
      <top style="thin">
        <color auto="1"/>
      </top>
      <bottom style="medium">
        <color indexed="64"/>
      </bottom>
      <diagonal/>
    </border>
    <border>
      <left/>
      <right style="medium">
        <color indexed="64"/>
      </right>
      <top/>
      <bottom style="medium">
        <color indexed="64"/>
      </bottom>
      <diagonal/>
    </border>
    <border>
      <left style="medium">
        <color indexed="64"/>
      </left>
      <right style="thin">
        <color rgb="FF9E9E9E"/>
      </right>
      <top style="medium">
        <color indexed="64"/>
      </top>
      <bottom style="thin">
        <color rgb="FF9E9E9E"/>
      </bottom>
      <diagonal/>
    </border>
    <border>
      <left style="thin">
        <color rgb="FF9E9E9E"/>
      </left>
      <right style="medium">
        <color indexed="64"/>
      </right>
      <top style="medium">
        <color indexed="64"/>
      </top>
      <bottom style="thin">
        <color rgb="FF9E9E9E"/>
      </bottom>
      <diagonal/>
    </border>
    <border>
      <left style="medium">
        <color indexed="64"/>
      </left>
      <right style="thin">
        <color rgb="FF9E9E9E"/>
      </right>
      <top style="thin">
        <color rgb="FF9E9E9E"/>
      </top>
      <bottom style="thin">
        <color rgb="FF9E9E9E"/>
      </bottom>
      <diagonal/>
    </border>
    <border>
      <left style="thin">
        <color rgb="FF9E9E9E"/>
      </left>
      <right style="medium">
        <color indexed="64"/>
      </right>
      <top style="thin">
        <color rgb="FF9E9E9E"/>
      </top>
      <bottom style="thin">
        <color rgb="FF9E9E9E"/>
      </bottom>
      <diagonal/>
    </border>
    <border>
      <left style="medium">
        <color indexed="64"/>
      </left>
      <right style="thin">
        <color rgb="FF9E9E9E"/>
      </right>
      <top style="thin">
        <color rgb="FF9E9E9E"/>
      </top>
      <bottom style="medium">
        <color indexed="64"/>
      </bottom>
      <diagonal/>
    </border>
    <border>
      <left style="thin">
        <color rgb="FF9E9E9E"/>
      </left>
      <right style="medium">
        <color indexed="64"/>
      </right>
      <top style="thin">
        <color rgb="FF9E9E9E"/>
      </top>
      <bottom style="medium">
        <color indexed="64"/>
      </bottom>
      <diagonal/>
    </border>
    <border>
      <left style="medium">
        <color indexed="64"/>
      </left>
      <right/>
      <top style="medium">
        <color indexed="64"/>
      </top>
      <bottom style="thin">
        <color rgb="FF9E9E9E"/>
      </bottom>
      <diagonal/>
    </border>
    <border>
      <left/>
      <right style="medium">
        <color indexed="64"/>
      </right>
      <top style="medium">
        <color indexed="64"/>
      </top>
      <bottom style="thin">
        <color rgb="FF9E9E9E"/>
      </bottom>
      <diagonal/>
    </border>
    <border>
      <left style="medium">
        <color indexed="64"/>
      </left>
      <right style="thin">
        <color rgb="FF9E9E9E"/>
      </right>
      <top/>
      <bottom style="thin">
        <color rgb="FF9E9E9E"/>
      </bottom>
      <diagonal/>
    </border>
    <border>
      <left style="thin">
        <color rgb="FF9E9E9E"/>
      </left>
      <right style="medium">
        <color indexed="64"/>
      </right>
      <top/>
      <bottom style="thin">
        <color rgb="FF9E9E9E"/>
      </bottom>
      <diagonal/>
    </border>
    <border>
      <left style="medium">
        <color indexed="64"/>
      </left>
      <right style="thin">
        <color rgb="FF9E9E9E"/>
      </right>
      <top style="medium">
        <color indexed="64"/>
      </top>
      <bottom style="thin">
        <color indexed="64"/>
      </bottom>
      <diagonal/>
    </border>
    <border>
      <left style="thin">
        <color rgb="FF9E9E9E"/>
      </left>
      <right style="medium">
        <color indexed="64"/>
      </right>
      <top style="medium">
        <color indexed="64"/>
      </top>
      <bottom style="thin">
        <color indexed="64"/>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9E9E9E"/>
      </left>
      <right style="thin">
        <color rgb="FF9E9E9E"/>
      </right>
      <top style="thin">
        <color rgb="FF9E9E9E"/>
      </top>
      <bottom/>
      <diagonal/>
    </border>
    <border>
      <left style="thin">
        <color rgb="FF9E9E9E"/>
      </left>
      <right style="thin">
        <color rgb="FF9E9E9E"/>
      </right>
      <top style="thin">
        <color rgb="FF9E9E9E"/>
      </top>
      <bottom style="medium">
        <color indexed="64"/>
      </bottom>
      <diagonal/>
    </border>
    <border>
      <left style="medium">
        <color indexed="64"/>
      </left>
      <right style="thin">
        <color rgb="FF9E9E9E"/>
      </right>
      <top style="medium">
        <color indexed="64"/>
      </top>
      <bottom style="medium">
        <color indexed="64"/>
      </bottom>
      <diagonal/>
    </border>
    <border>
      <left style="thin">
        <color rgb="FF9E9E9E"/>
      </left>
      <right style="medium">
        <color indexed="64"/>
      </right>
      <top style="medium">
        <color indexed="64"/>
      </top>
      <bottom style="medium">
        <color indexed="64"/>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bottom style="medium">
        <color indexed="64"/>
      </bottom>
      <diagonal/>
    </border>
    <border>
      <left style="thin">
        <color auto="1"/>
      </left>
      <right style="medium">
        <color indexed="64"/>
      </right>
      <top/>
      <bottom style="medium">
        <color indexed="64"/>
      </bottom>
      <diagonal/>
    </border>
    <border>
      <left style="thin">
        <color rgb="FF9E9E9E"/>
      </left>
      <right/>
      <top style="medium">
        <color indexed="64"/>
      </top>
      <bottom style="thin">
        <color rgb="FF9E9E9E"/>
      </bottom>
      <diagonal/>
    </border>
    <border>
      <left/>
      <right style="thin">
        <color rgb="FF9E9E9E"/>
      </right>
      <top style="medium">
        <color indexed="64"/>
      </top>
      <bottom style="thin">
        <color rgb="FF9E9E9E"/>
      </bottom>
      <diagonal/>
    </border>
    <border>
      <left style="medium">
        <color indexed="64"/>
      </left>
      <right style="thin">
        <color rgb="FF9E9E9E"/>
      </right>
      <top/>
      <bottom style="medium">
        <color indexed="64"/>
      </bottom>
      <diagonal/>
    </border>
    <border>
      <left style="thin">
        <color rgb="FF9E9E9E"/>
      </left>
      <right style="medium">
        <color indexed="64"/>
      </right>
      <top/>
      <bottom style="medium">
        <color indexed="64"/>
      </bottom>
      <diagonal/>
    </border>
    <border>
      <left/>
      <right style="thin">
        <color rgb="FF9E9E9E"/>
      </right>
      <top style="thin">
        <color rgb="FF9E9E9E"/>
      </top>
      <bottom style="thin">
        <color rgb="FF9E9E9E"/>
      </bottom>
      <diagonal/>
    </border>
    <border>
      <left style="thin">
        <color rgb="FF9E9E9E"/>
      </left>
      <right/>
      <top style="thin">
        <color rgb="FF9E9E9E"/>
      </top>
      <bottom style="medium">
        <color indexed="64"/>
      </bottom>
      <diagonal/>
    </border>
    <border>
      <left style="thin">
        <color rgb="FF9E9E9E"/>
      </left>
      <right style="medium">
        <color indexed="64"/>
      </right>
      <top style="thin">
        <color rgb="FF9E9E9E"/>
      </top>
      <bottom/>
      <diagonal/>
    </border>
    <border>
      <left style="thin">
        <color rgb="FF9E9E9E"/>
      </left>
      <right style="thin">
        <color rgb="FF9E9E9E"/>
      </right>
      <top style="medium">
        <color indexed="64"/>
      </top>
      <bottom style="medium">
        <color indexed="64"/>
      </bottom>
      <diagonal/>
    </border>
    <border>
      <left style="thin">
        <color rgb="FF9E9E9E"/>
      </left>
      <right/>
      <top style="medium">
        <color indexed="64"/>
      </top>
      <bottom style="medium">
        <color indexed="64"/>
      </bottom>
      <diagonal/>
    </border>
    <border>
      <left/>
      <right style="thin">
        <color rgb="FF9E9E9E"/>
      </right>
      <top style="medium">
        <color indexed="64"/>
      </top>
      <bottom style="medium">
        <color indexed="64"/>
      </bottom>
      <diagonal/>
    </border>
    <border>
      <left/>
      <right/>
      <top style="thin">
        <color theme="1"/>
      </top>
      <bottom/>
      <diagonal/>
    </border>
    <border>
      <left style="thin">
        <color rgb="FF000000"/>
      </left>
      <right style="thin">
        <color rgb="FF000000"/>
      </right>
      <top style="thin">
        <color rgb="FF000000"/>
      </top>
      <bottom style="thin">
        <color rgb="FF000000"/>
      </bottom>
      <diagonal/>
    </border>
    <border>
      <left style="thin">
        <color indexed="64"/>
      </left>
      <right style="medium">
        <color indexed="64"/>
      </right>
      <top style="medium">
        <color indexed="64"/>
      </top>
      <bottom style="thin">
        <color rgb="FF000000"/>
      </bottom>
      <diagonal/>
    </border>
    <border>
      <left style="medium">
        <color indexed="64"/>
      </left>
      <right style="thin">
        <color indexed="64"/>
      </right>
      <top style="thin">
        <color rgb="FF9E9E9E"/>
      </top>
      <bottom style="medium">
        <color indexed="64"/>
      </bottom>
      <diagonal/>
    </border>
    <border>
      <left style="thin">
        <color indexed="64"/>
      </left>
      <right style="medium">
        <color indexed="64"/>
      </right>
      <top style="thin">
        <color rgb="FF9E9E9E"/>
      </top>
      <bottom style="medium">
        <color indexed="64"/>
      </bottom>
      <diagonal/>
    </border>
  </borders>
  <cellStyleXfs count="7">
    <xf numFmtId="0" fontId="0" fillId="0" borderId="0"/>
    <xf numFmtId="9" fontId="1" fillId="0" borderId="0" applyFont="0" applyFill="0" applyBorder="0" applyAlignment="0" applyProtection="0"/>
    <xf numFmtId="0" fontId="19" fillId="0" borderId="0"/>
    <xf numFmtId="0" fontId="54" fillId="13" borderId="0"/>
    <xf numFmtId="0" fontId="55" fillId="14" borderId="0"/>
    <xf numFmtId="168" fontId="56" fillId="0" borderId="0"/>
    <xf numFmtId="9" fontId="56" fillId="0" borderId="0"/>
  </cellStyleXfs>
  <cellXfs count="207">
    <xf numFmtId="0" fontId="0" fillId="0" borderId="0" xfId="0"/>
    <xf numFmtId="0" fontId="0" fillId="0" borderId="0" xfId="0" applyAlignment="1">
      <alignment horizontal="left" vertical="top" wrapText="1"/>
    </xf>
    <xf numFmtId="0" fontId="7" fillId="4" borderId="0" xfId="0" applyFont="1" applyFill="1"/>
    <xf numFmtId="165" fontId="7" fillId="0" borderId="11" xfId="0" applyNumberFormat="1" applyFont="1" applyBorder="1" applyAlignment="1">
      <alignment horizontal="left"/>
    </xf>
    <xf numFmtId="0" fontId="7" fillId="0" borderId="11" xfId="0" applyFont="1" applyBorder="1" applyAlignment="1">
      <alignment horizontal="center"/>
    </xf>
    <xf numFmtId="0" fontId="27" fillId="0" borderId="0" xfId="0" applyFont="1" applyAlignment="1">
      <alignment vertical="center"/>
    </xf>
    <xf numFmtId="0" fontId="27" fillId="0" borderId="0" xfId="0" applyFont="1" applyAlignment="1">
      <alignment horizontal="left" vertical="center" indent="1"/>
    </xf>
    <xf numFmtId="0" fontId="28" fillId="0" borderId="0" xfId="0" applyFont="1" applyAlignment="1">
      <alignment horizontal="left" vertical="center" wrapText="1" indent="1"/>
    </xf>
    <xf numFmtId="0" fontId="33" fillId="3" borderId="17" xfId="0" applyFont="1" applyFill="1" applyBorder="1" applyAlignment="1">
      <alignment vertical="center"/>
    </xf>
    <xf numFmtId="0" fontId="33" fillId="3" borderId="18" xfId="0" applyFont="1" applyFill="1" applyBorder="1" applyAlignment="1">
      <alignment vertical="center"/>
    </xf>
    <xf numFmtId="0" fontId="33" fillId="3" borderId="20" xfId="0" applyFont="1" applyFill="1" applyBorder="1" applyAlignment="1">
      <alignment vertical="center"/>
    </xf>
    <xf numFmtId="14" fontId="7" fillId="4" borderId="0" xfId="0" applyNumberFormat="1" applyFont="1" applyFill="1" applyAlignment="1">
      <alignment horizontal="center"/>
    </xf>
    <xf numFmtId="165" fontId="7" fillId="4" borderId="0" xfId="0" applyNumberFormat="1" applyFont="1" applyFill="1" applyAlignment="1">
      <alignment horizontal="left"/>
    </xf>
    <xf numFmtId="0" fontId="7" fillId="4" borderId="0" xfId="0" applyFont="1" applyFill="1" applyAlignment="1">
      <alignment horizontal="center"/>
    </xf>
    <xf numFmtId="0" fontId="2" fillId="0" borderId="0" xfId="0" applyFont="1" applyAlignment="1">
      <alignment horizontal="left" wrapText="1"/>
    </xf>
    <xf numFmtId="0" fontId="14" fillId="4" borderId="0" xfId="0" quotePrefix="1" applyFont="1" applyFill="1"/>
    <xf numFmtId="0" fontId="7" fillId="0" borderId="0" xfId="0" applyFont="1"/>
    <xf numFmtId="0" fontId="7" fillId="0" borderId="0" xfId="0" applyFont="1" applyAlignment="1">
      <alignment horizontal="left" vertical="top" wrapText="1"/>
    </xf>
    <xf numFmtId="0" fontId="7" fillId="0" borderId="0" xfId="0" applyFont="1" applyAlignment="1">
      <alignment horizontal="center" vertical="top"/>
    </xf>
    <xf numFmtId="165" fontId="15" fillId="5" borderId="4" xfId="0" applyNumberFormat="1" applyFont="1" applyFill="1" applyBorder="1" applyAlignment="1">
      <alignment horizontal="center" wrapText="1"/>
    </xf>
    <xf numFmtId="165" fontId="15" fillId="5" borderId="5" xfId="0" applyNumberFormat="1" applyFont="1" applyFill="1" applyBorder="1" applyAlignment="1">
      <alignment horizontal="center" wrapText="1"/>
    </xf>
    <xf numFmtId="165" fontId="15" fillId="5" borderId="6" xfId="0" applyNumberFormat="1" applyFont="1" applyFill="1" applyBorder="1" applyAlignment="1">
      <alignment horizontal="center" wrapText="1"/>
    </xf>
    <xf numFmtId="0" fontId="7" fillId="0" borderId="0" xfId="0" applyFont="1" applyAlignment="1">
      <alignment horizontal="left" vertical="top"/>
    </xf>
    <xf numFmtId="0" fontId="7" fillId="0" borderId="7" xfId="0" applyFont="1" applyBorder="1" applyAlignment="1">
      <alignment horizontal="center"/>
    </xf>
    <xf numFmtId="165" fontId="7" fillId="0" borderId="8" xfId="0" applyNumberFormat="1" applyFont="1" applyBorder="1" applyAlignment="1">
      <alignment horizontal="left"/>
    </xf>
    <xf numFmtId="0" fontId="7" fillId="0" borderId="8" xfId="0" applyFont="1" applyBorder="1" applyAlignment="1">
      <alignment horizontal="center"/>
    </xf>
    <xf numFmtId="165" fontId="7" fillId="0" borderId="9" xfId="0" applyNumberFormat="1" applyFont="1" applyBorder="1" applyAlignment="1">
      <alignment horizontal="left"/>
    </xf>
    <xf numFmtId="0" fontId="7" fillId="0" borderId="10" xfId="0" applyFont="1" applyBorder="1" applyAlignment="1">
      <alignment horizontal="center"/>
    </xf>
    <xf numFmtId="165" fontId="7" fillId="0" borderId="12" xfId="0" applyNumberFormat="1" applyFont="1" applyBorder="1" applyAlignment="1">
      <alignment horizontal="left"/>
    </xf>
    <xf numFmtId="0" fontId="18" fillId="4" borderId="0" xfId="0" applyFont="1" applyFill="1"/>
    <xf numFmtId="0" fontId="3" fillId="0" borderId="41" xfId="0" applyFont="1" applyBorder="1" applyAlignment="1">
      <alignment horizontal="right" vertical="center" wrapText="1"/>
    </xf>
    <xf numFmtId="0" fontId="3" fillId="6" borderId="39" xfId="0" applyFont="1" applyFill="1" applyBorder="1" applyAlignment="1">
      <alignment horizontal="right" vertical="center" wrapText="1"/>
    </xf>
    <xf numFmtId="164" fontId="2" fillId="6" borderId="40" xfId="0" applyNumberFormat="1" applyFont="1" applyFill="1" applyBorder="1" applyAlignment="1">
      <alignment horizontal="right" vertical="center"/>
    </xf>
    <xf numFmtId="0" fontId="3" fillId="6" borderId="33" xfId="0" applyFont="1" applyFill="1" applyBorder="1" applyAlignment="1">
      <alignment horizontal="right" vertical="center" wrapText="1"/>
    </xf>
    <xf numFmtId="164" fontId="2" fillId="6" borderId="34" xfId="0" applyNumberFormat="1" applyFont="1" applyFill="1" applyBorder="1" applyAlignment="1">
      <alignment horizontal="right" vertical="center"/>
    </xf>
    <xf numFmtId="0" fontId="3" fillId="0" borderId="39" xfId="0" applyFont="1" applyBorder="1" applyAlignment="1">
      <alignment horizontal="right" vertical="center" wrapText="1"/>
    </xf>
    <xf numFmtId="0" fontId="7" fillId="4" borderId="0" xfId="0" applyFont="1" applyFill="1" applyAlignment="1">
      <alignment vertical="center" wrapText="1"/>
    </xf>
    <xf numFmtId="0" fontId="3" fillId="0" borderId="33" xfId="0" applyFont="1" applyBorder="1" applyAlignment="1">
      <alignment horizontal="right" vertical="center" wrapText="1"/>
    </xf>
    <xf numFmtId="0" fontId="3" fillId="0" borderId="35" xfId="0" applyFont="1" applyBorder="1" applyAlignment="1">
      <alignment horizontal="right" vertical="center"/>
    </xf>
    <xf numFmtId="0" fontId="6" fillId="3" borderId="36" xfId="0" applyFont="1" applyFill="1" applyBorder="1" applyAlignment="1">
      <alignment horizontal="center" vertical="center"/>
    </xf>
    <xf numFmtId="164" fontId="2" fillId="6" borderId="36" xfId="0" applyNumberFormat="1" applyFont="1" applyFill="1" applyBorder="1" applyAlignment="1">
      <alignment horizontal="right" vertical="center"/>
    </xf>
    <xf numFmtId="0" fontId="3" fillId="6" borderId="33" xfId="0" applyFont="1" applyFill="1" applyBorder="1" applyAlignment="1">
      <alignment horizontal="right" vertical="center"/>
    </xf>
    <xf numFmtId="164" fontId="2" fillId="6" borderId="34" xfId="0" applyNumberFormat="1" applyFont="1" applyFill="1" applyBorder="1" applyAlignment="1">
      <alignment horizontal="center" vertical="center"/>
    </xf>
    <xf numFmtId="164" fontId="2" fillId="6" borderId="32" xfId="0" applyNumberFormat="1" applyFont="1" applyFill="1" applyBorder="1" applyAlignment="1">
      <alignment horizontal="right" vertical="center"/>
    </xf>
    <xf numFmtId="0" fontId="3" fillId="6" borderId="57" xfId="0" applyFont="1" applyFill="1" applyBorder="1" applyAlignment="1">
      <alignment horizontal="right" vertical="center"/>
    </xf>
    <xf numFmtId="164" fontId="2" fillId="6" borderId="58" xfId="0" applyNumberFormat="1" applyFont="1" applyFill="1" applyBorder="1" applyAlignment="1">
      <alignment horizontal="right" vertical="center"/>
    </xf>
    <xf numFmtId="0" fontId="3" fillId="0" borderId="33" xfId="0" applyFont="1" applyBorder="1" applyAlignment="1">
      <alignment horizontal="right" vertical="center"/>
    </xf>
    <xf numFmtId="164" fontId="2" fillId="6" borderId="34" xfId="0" applyNumberFormat="1" applyFont="1" applyFill="1" applyBorder="1" applyAlignment="1">
      <alignment horizontal="right" vertical="center" wrapText="1"/>
    </xf>
    <xf numFmtId="0" fontId="3" fillId="6" borderId="35" xfId="0" applyFont="1" applyFill="1" applyBorder="1" applyAlignment="1">
      <alignment horizontal="right" vertical="center" wrapText="1"/>
    </xf>
    <xf numFmtId="0" fontId="2" fillId="6" borderId="36" xfId="0" applyFont="1" applyFill="1" applyBorder="1" applyAlignment="1">
      <alignment horizontal="right" vertical="center" wrapText="1"/>
    </xf>
    <xf numFmtId="0" fontId="12" fillId="0" borderId="35" xfId="0" applyFont="1" applyBorder="1" applyAlignment="1">
      <alignment horizontal="right" vertical="center" wrapText="1"/>
    </xf>
    <xf numFmtId="0" fontId="2" fillId="0" borderId="43" xfId="0" applyFont="1" applyBorder="1" applyAlignment="1">
      <alignment horizontal="right" vertical="center"/>
    </xf>
    <xf numFmtId="164" fontId="2" fillId="0" borderId="44" xfId="0" applyNumberFormat="1" applyFont="1" applyBorder="1" applyAlignment="1">
      <alignment horizontal="right" vertical="center"/>
    </xf>
    <xf numFmtId="0" fontId="3" fillId="7" borderId="53" xfId="0" applyFont="1" applyFill="1" applyBorder="1" applyAlignment="1">
      <alignment horizontal="right" vertical="center"/>
    </xf>
    <xf numFmtId="0" fontId="2" fillId="0" borderId="25" xfId="0" applyFont="1" applyBorder="1" applyAlignment="1">
      <alignment horizontal="right" vertical="center" wrapText="1"/>
    </xf>
    <xf numFmtId="164" fontId="2" fillId="0" borderId="29" xfId="0" applyNumberFormat="1" applyFont="1" applyBorder="1" applyAlignment="1">
      <alignment horizontal="right" vertical="center"/>
    </xf>
    <xf numFmtId="0" fontId="3" fillId="0" borderId="39" xfId="0" applyFont="1" applyBorder="1" applyAlignment="1">
      <alignment horizontal="right" vertical="center"/>
    </xf>
    <xf numFmtId="0" fontId="21" fillId="6" borderId="51" xfId="0" applyFont="1" applyFill="1" applyBorder="1" applyAlignment="1">
      <alignment horizontal="right"/>
    </xf>
    <xf numFmtId="164" fontId="3" fillId="6" borderId="52" xfId="0" applyNumberFormat="1" applyFont="1" applyFill="1" applyBorder="1" applyAlignment="1">
      <alignment horizontal="right" vertical="center"/>
    </xf>
    <xf numFmtId="0" fontId="21" fillId="6" borderId="25" xfId="0" applyFont="1" applyFill="1" applyBorder="1" applyAlignment="1">
      <alignment horizontal="right"/>
    </xf>
    <xf numFmtId="164" fontId="3" fillId="6" borderId="29" xfId="0" applyNumberFormat="1" applyFont="1" applyFill="1" applyBorder="1" applyAlignment="1">
      <alignment horizontal="right" vertical="center"/>
    </xf>
    <xf numFmtId="0" fontId="3" fillId="0" borderId="35" xfId="0" applyFont="1" applyBorder="1" applyAlignment="1">
      <alignment horizontal="right" vertical="center" wrapText="1"/>
    </xf>
    <xf numFmtId="0" fontId="7" fillId="4" borderId="51" xfId="0" applyFont="1" applyFill="1" applyBorder="1" applyAlignment="1">
      <alignment horizontal="right" vertical="center"/>
    </xf>
    <xf numFmtId="164" fontId="2" fillId="0" borderId="52" xfId="0" applyNumberFormat="1" applyFont="1" applyBorder="1" applyAlignment="1">
      <alignment horizontal="right" vertical="center"/>
    </xf>
    <xf numFmtId="0" fontId="7" fillId="4" borderId="25" xfId="0" applyFont="1" applyFill="1" applyBorder="1" applyAlignment="1">
      <alignment horizontal="right"/>
    </xf>
    <xf numFmtId="0" fontId="45" fillId="3" borderId="16" xfId="0" applyFont="1" applyFill="1" applyBorder="1" applyAlignment="1">
      <alignment horizontal="right" vertical="center" wrapText="1"/>
    </xf>
    <xf numFmtId="164" fontId="45" fillId="3" borderId="19" xfId="0" applyNumberFormat="1" applyFont="1" applyFill="1" applyBorder="1" applyAlignment="1">
      <alignment horizontal="right" vertical="center"/>
    </xf>
    <xf numFmtId="0" fontId="15" fillId="3" borderId="31" xfId="0" applyFont="1" applyFill="1" applyBorder="1" applyAlignment="1">
      <alignment horizontal="right" vertical="center" wrapText="1"/>
    </xf>
    <xf numFmtId="0" fontId="7" fillId="0" borderId="13" xfId="0" applyFont="1" applyBorder="1" applyAlignment="1">
      <alignment horizontal="center"/>
    </xf>
    <xf numFmtId="0" fontId="7" fillId="0" borderId="14" xfId="0" applyFont="1" applyBorder="1" applyAlignment="1">
      <alignment horizontal="center"/>
    </xf>
    <xf numFmtId="165" fontId="7" fillId="0" borderId="15" xfId="0" applyNumberFormat="1" applyFont="1" applyBorder="1" applyAlignment="1">
      <alignment horizontal="left"/>
    </xf>
    <xf numFmtId="166" fontId="2" fillId="6" borderId="40" xfId="0" applyNumberFormat="1" applyFont="1" applyFill="1" applyBorder="1" applyAlignment="1">
      <alignment horizontal="center" vertical="center"/>
    </xf>
    <xf numFmtId="0" fontId="7" fillId="4" borderId="43" xfId="0" applyFont="1" applyFill="1" applyBorder="1" applyAlignment="1">
      <alignment horizontal="right" wrapText="1"/>
    </xf>
    <xf numFmtId="10" fontId="2" fillId="0" borderId="44" xfId="1" applyNumberFormat="1" applyFont="1" applyFill="1" applyBorder="1" applyAlignment="1" applyProtection="1">
      <alignment horizontal="right" vertical="center" wrapText="1"/>
    </xf>
    <xf numFmtId="8" fontId="2" fillId="6" borderId="58" xfId="0" applyNumberFormat="1" applyFont="1" applyFill="1" applyBorder="1" applyAlignment="1">
      <alignment horizontal="center" vertical="center"/>
    </xf>
    <xf numFmtId="0" fontId="3" fillId="4" borderId="0" xfId="0" applyFont="1" applyFill="1" applyAlignment="1">
      <alignment horizontal="right" vertical="center"/>
    </xf>
    <xf numFmtId="8" fontId="2" fillId="4" borderId="0" xfId="0" applyNumberFormat="1" applyFont="1" applyFill="1" applyAlignment="1">
      <alignment horizontal="center" vertical="center"/>
    </xf>
    <xf numFmtId="164" fontId="8" fillId="4" borderId="0" xfId="0" applyNumberFormat="1" applyFont="1" applyFill="1" applyAlignment="1">
      <alignment horizontal="center" vertical="center"/>
    </xf>
    <xf numFmtId="0" fontId="15" fillId="3" borderId="63" xfId="0" applyFont="1" applyFill="1" applyBorder="1" applyAlignment="1">
      <alignment vertical="center"/>
    </xf>
    <xf numFmtId="0" fontId="15" fillId="3" borderId="64" xfId="0" applyFont="1" applyFill="1" applyBorder="1" applyAlignment="1">
      <alignment horizontal="center" vertical="center"/>
    </xf>
    <xf numFmtId="0" fontId="15" fillId="3" borderId="50" xfId="0" applyFont="1" applyFill="1" applyBorder="1" applyAlignment="1">
      <alignment horizontal="center" vertical="center"/>
    </xf>
    <xf numFmtId="0" fontId="16" fillId="0" borderId="32" xfId="0" applyFont="1" applyBorder="1" applyAlignment="1">
      <alignment horizontal="center" vertical="center"/>
    </xf>
    <xf numFmtId="0" fontId="16" fillId="0" borderId="34" xfId="0" applyFont="1" applyBorder="1" applyAlignment="1">
      <alignment horizontal="center" vertical="center"/>
    </xf>
    <xf numFmtId="0" fontId="16" fillId="0" borderId="61" xfId="0" applyFont="1" applyBorder="1" applyAlignment="1">
      <alignment horizontal="center" vertical="center"/>
    </xf>
    <xf numFmtId="0" fontId="15" fillId="3" borderId="21" xfId="0" applyFont="1" applyFill="1" applyBorder="1" applyAlignment="1">
      <alignment horizontal="right" vertical="center"/>
    </xf>
    <xf numFmtId="164" fontId="3" fillId="8" borderId="3" xfId="0" applyNumberFormat="1" applyFont="1" applyFill="1" applyBorder="1" applyAlignment="1">
      <alignment horizontal="right" vertical="center"/>
    </xf>
    <xf numFmtId="0" fontId="15" fillId="3" borderId="26" xfId="0" applyFont="1" applyFill="1" applyBorder="1" applyAlignment="1">
      <alignment horizontal="right" vertical="center"/>
    </xf>
    <xf numFmtId="164" fontId="3" fillId="8" borderId="60" xfId="0" applyNumberFormat="1" applyFont="1" applyFill="1" applyBorder="1" applyAlignment="1">
      <alignment horizontal="right" vertical="center" wrapText="1"/>
    </xf>
    <xf numFmtId="0" fontId="7" fillId="0" borderId="0" xfId="0" applyFont="1" applyAlignment="1">
      <alignment horizontal="center"/>
    </xf>
    <xf numFmtId="165" fontId="7" fillId="0" borderId="0" xfId="0" applyNumberFormat="1" applyFont="1" applyAlignment="1">
      <alignment horizontal="left"/>
    </xf>
    <xf numFmtId="167" fontId="2" fillId="10" borderId="42" xfId="0" applyNumberFormat="1" applyFont="1" applyFill="1" applyBorder="1" applyAlignment="1" applyProtection="1">
      <alignment horizontal="center" vertical="center"/>
      <protection locked="0"/>
    </xf>
    <xf numFmtId="164" fontId="2" fillId="10" borderId="34" xfId="0" applyNumberFormat="1" applyFont="1" applyFill="1" applyBorder="1" applyAlignment="1" applyProtection="1">
      <alignment horizontal="right" vertical="center"/>
      <protection locked="0"/>
    </xf>
    <xf numFmtId="0" fontId="2" fillId="10" borderId="36" xfId="0" applyFont="1" applyFill="1" applyBorder="1" applyAlignment="1" applyProtection="1">
      <alignment horizontal="right" vertical="center"/>
      <protection locked="0"/>
    </xf>
    <xf numFmtId="164" fontId="2" fillId="10" borderId="36" xfId="0" applyNumberFormat="1" applyFont="1" applyFill="1" applyBorder="1" applyAlignment="1" applyProtection="1">
      <alignment horizontal="right" vertical="center"/>
      <protection locked="0"/>
    </xf>
    <xf numFmtId="9" fontId="2" fillId="10" borderId="40" xfId="0" applyNumberFormat="1" applyFont="1" applyFill="1" applyBorder="1" applyAlignment="1" applyProtection="1">
      <alignment horizontal="center" vertical="center"/>
      <protection locked="0"/>
    </xf>
    <xf numFmtId="9" fontId="2" fillId="10" borderId="36" xfId="0" applyNumberFormat="1" applyFont="1" applyFill="1" applyBorder="1" applyAlignment="1" applyProtection="1">
      <alignment horizontal="center" vertical="center"/>
      <protection locked="0"/>
    </xf>
    <xf numFmtId="164" fontId="2" fillId="0" borderId="1" xfId="0" applyNumberFormat="1" applyFont="1" applyBorder="1" applyAlignment="1" applyProtection="1">
      <alignment horizontal="right" vertical="center"/>
      <protection locked="0"/>
    </xf>
    <xf numFmtId="164" fontId="2" fillId="0" borderId="48" xfId="0" applyNumberFormat="1" applyFont="1" applyBorder="1" applyAlignment="1" applyProtection="1">
      <alignment horizontal="right" vertical="center"/>
      <protection locked="0"/>
    </xf>
    <xf numFmtId="0" fontId="25" fillId="0" borderId="33" xfId="0" applyFont="1" applyBorder="1" applyAlignment="1" applyProtection="1">
      <alignment horizontal="left" vertical="center"/>
      <protection locked="0"/>
    </xf>
    <xf numFmtId="0" fontId="25" fillId="0" borderId="35" xfId="0" applyFont="1" applyBorder="1" applyAlignment="1" applyProtection="1">
      <alignment horizontal="left" vertical="center"/>
      <protection locked="0"/>
    </xf>
    <xf numFmtId="0" fontId="2" fillId="0" borderId="40" xfId="0" applyFont="1" applyBorder="1" applyAlignment="1">
      <alignment horizontal="center" vertical="center"/>
    </xf>
    <xf numFmtId="0" fontId="21" fillId="4" borderId="27" xfId="0" applyFont="1" applyFill="1" applyBorder="1" applyAlignment="1">
      <alignment wrapText="1"/>
    </xf>
    <xf numFmtId="40" fontId="7" fillId="4" borderId="8" xfId="0" applyNumberFormat="1" applyFont="1" applyFill="1" applyBorder="1"/>
    <xf numFmtId="40" fontId="7" fillId="4" borderId="11" xfId="0" applyNumberFormat="1" applyFont="1" applyFill="1" applyBorder="1" applyAlignment="1">
      <alignment vertical="center"/>
    </xf>
    <xf numFmtId="40" fontId="7" fillId="4" borderId="8" xfId="0" applyNumberFormat="1" applyFont="1" applyFill="1" applyBorder="1" applyAlignment="1">
      <alignment vertical="center"/>
    </xf>
    <xf numFmtId="0" fontId="49" fillId="0" borderId="0" xfId="0" applyFont="1" applyAlignment="1">
      <alignment horizontal="center" wrapText="1"/>
    </xf>
    <xf numFmtId="0" fontId="49" fillId="0" borderId="0" xfId="0" applyFont="1" applyAlignment="1">
      <alignment horizontal="center" vertical="top" wrapText="1"/>
    </xf>
    <xf numFmtId="0" fontId="7" fillId="4" borderId="21" xfId="0" applyFont="1" applyFill="1" applyBorder="1"/>
    <xf numFmtId="0" fontId="7" fillId="4" borderId="22" xfId="0" applyFont="1" applyFill="1" applyBorder="1"/>
    <xf numFmtId="0" fontId="20" fillId="4" borderId="0" xfId="0" applyFont="1" applyFill="1"/>
    <xf numFmtId="0" fontId="21" fillId="11" borderId="25" xfId="0" applyFont="1" applyFill="1" applyBorder="1" applyAlignment="1">
      <alignment wrapText="1"/>
    </xf>
    <xf numFmtId="0" fontId="21" fillId="4" borderId="29" xfId="0" applyFont="1" applyFill="1" applyBorder="1" applyAlignment="1">
      <alignment wrapText="1"/>
    </xf>
    <xf numFmtId="0" fontId="7" fillId="6" borderId="51" xfId="0" applyFont="1" applyFill="1" applyBorder="1" applyAlignment="1">
      <alignment horizontal="center"/>
    </xf>
    <xf numFmtId="40" fontId="21" fillId="4" borderId="52" xfId="0" applyNumberFormat="1" applyFont="1" applyFill="1" applyBorder="1"/>
    <xf numFmtId="0" fontId="7" fillId="6" borderId="23" xfId="0" applyFont="1" applyFill="1" applyBorder="1" applyAlignment="1">
      <alignment horizontal="center" wrapText="1"/>
    </xf>
    <xf numFmtId="40" fontId="21" fillId="4" borderId="24" xfId="0" applyNumberFormat="1" applyFont="1" applyFill="1" applyBorder="1" applyAlignment="1">
      <alignment vertical="center"/>
    </xf>
    <xf numFmtId="0" fontId="7" fillId="6" borderId="25" xfId="0" applyFont="1" applyFill="1" applyBorder="1" applyAlignment="1">
      <alignment horizontal="center"/>
    </xf>
    <xf numFmtId="40" fontId="7" fillId="4" borderId="27" xfId="0" applyNumberFormat="1" applyFont="1" applyFill="1" applyBorder="1"/>
    <xf numFmtId="40" fontId="7" fillId="4" borderId="5" xfId="0" applyNumberFormat="1" applyFont="1" applyFill="1" applyBorder="1"/>
    <xf numFmtId="40" fontId="21" fillId="4" borderId="29" xfId="0" applyNumberFormat="1" applyFont="1" applyFill="1" applyBorder="1"/>
    <xf numFmtId="0" fontId="0" fillId="4" borderId="0" xfId="0" applyFill="1"/>
    <xf numFmtId="164" fontId="2" fillId="10" borderId="40" xfId="0" applyNumberFormat="1" applyFont="1" applyFill="1" applyBorder="1" applyAlignment="1" applyProtection="1">
      <alignment horizontal="right" vertical="center"/>
      <protection locked="0"/>
    </xf>
    <xf numFmtId="0" fontId="7" fillId="4" borderId="53" xfId="0" applyFont="1" applyFill="1" applyBorder="1" applyAlignment="1">
      <alignment horizontal="right" wrapText="1"/>
    </xf>
    <xf numFmtId="164" fontId="2" fillId="0" borderId="54" xfId="0" applyNumberFormat="1" applyFont="1" applyBorder="1" applyAlignment="1">
      <alignment horizontal="right" vertical="center"/>
    </xf>
    <xf numFmtId="0" fontId="21" fillId="6" borderId="53" xfId="0" applyFont="1" applyFill="1" applyBorder="1" applyAlignment="1">
      <alignment horizontal="right"/>
    </xf>
    <xf numFmtId="164" fontId="3" fillId="6" borderId="54" xfId="0" applyNumberFormat="1" applyFont="1" applyFill="1" applyBorder="1" applyAlignment="1">
      <alignment horizontal="right" vertical="center"/>
    </xf>
    <xf numFmtId="0" fontId="7" fillId="4" borderId="25" xfId="0" applyFont="1" applyFill="1" applyBorder="1" applyAlignment="1">
      <alignment horizontal="right" vertical="center" wrapText="1"/>
    </xf>
    <xf numFmtId="10" fontId="3" fillId="0" borderId="29" xfId="1" applyNumberFormat="1" applyFont="1" applyFill="1" applyBorder="1" applyAlignment="1" applyProtection="1">
      <alignment horizontal="right" vertical="center" wrapText="1"/>
    </xf>
    <xf numFmtId="0" fontId="15" fillId="3" borderId="62" xfId="0" applyFont="1" applyFill="1" applyBorder="1" applyAlignment="1">
      <alignment horizontal="center" vertical="center" wrapText="1"/>
    </xf>
    <xf numFmtId="0" fontId="15" fillId="3" borderId="49" xfId="0" applyFont="1" applyFill="1" applyBorder="1" applyAlignment="1">
      <alignment horizontal="center" vertical="center" wrapText="1"/>
    </xf>
    <xf numFmtId="0" fontId="3" fillId="6" borderId="49" xfId="0" applyFont="1" applyFill="1" applyBorder="1" applyAlignment="1">
      <alignment horizontal="right" vertical="center"/>
    </xf>
    <xf numFmtId="164" fontId="15" fillId="2" borderId="50" xfId="0" applyNumberFormat="1" applyFont="1" applyFill="1" applyBorder="1" applyAlignment="1">
      <alignment horizontal="right" vertical="center"/>
    </xf>
    <xf numFmtId="0" fontId="3" fillId="6" borderId="31" xfId="0" applyFont="1" applyFill="1" applyBorder="1" applyAlignment="1">
      <alignment horizontal="right" vertical="center" wrapText="1"/>
    </xf>
    <xf numFmtId="0" fontId="3" fillId="6" borderId="57" xfId="0" applyFont="1" applyFill="1" applyBorder="1" applyAlignment="1">
      <alignment horizontal="right" vertical="center" wrapText="1"/>
    </xf>
    <xf numFmtId="14" fontId="7" fillId="12" borderId="0" xfId="0" applyNumberFormat="1" applyFont="1" applyFill="1" applyAlignment="1">
      <alignment horizontal="center"/>
    </xf>
    <xf numFmtId="0" fontId="11" fillId="3" borderId="35" xfId="0" applyFont="1" applyFill="1" applyBorder="1" applyAlignment="1">
      <alignment horizontal="right" vertical="center" wrapText="1"/>
    </xf>
    <xf numFmtId="0" fontId="7" fillId="4" borderId="0" xfId="0" quotePrefix="1" applyFont="1" applyFill="1"/>
    <xf numFmtId="0" fontId="55" fillId="14" borderId="66" xfId="4" applyBorder="1" applyAlignment="1">
      <alignment vertical="center" wrapText="1"/>
    </xf>
    <xf numFmtId="0" fontId="0" fillId="0" borderId="66" xfId="0" applyBorder="1" applyAlignment="1">
      <alignment vertical="center" wrapText="1"/>
    </xf>
    <xf numFmtId="168" fontId="56" fillId="0" borderId="66" xfId="5" applyBorder="1" applyAlignment="1">
      <alignment vertical="center" wrapText="1"/>
    </xf>
    <xf numFmtId="9" fontId="56" fillId="0" borderId="66" xfId="6" applyBorder="1" applyAlignment="1">
      <alignment vertical="center" wrapText="1"/>
    </xf>
    <xf numFmtId="0" fontId="52" fillId="4" borderId="0" xfId="0" applyFont="1" applyFill="1" applyAlignment="1">
      <alignment horizontal="right"/>
    </xf>
    <xf numFmtId="164" fontId="0" fillId="0" borderId="66" xfId="0" applyNumberFormat="1" applyBorder="1" applyAlignment="1">
      <alignment vertical="center" wrapText="1"/>
    </xf>
    <xf numFmtId="9" fontId="2" fillId="7" borderId="44" xfId="1" applyFont="1" applyFill="1" applyBorder="1" applyAlignment="1" applyProtection="1">
      <alignment horizontal="right" vertical="center" wrapText="1"/>
    </xf>
    <xf numFmtId="0" fontId="2" fillId="6" borderId="43" xfId="0" applyFont="1" applyFill="1" applyBorder="1" applyAlignment="1">
      <alignment horizontal="right" vertical="center"/>
    </xf>
    <xf numFmtId="0" fontId="54" fillId="13" borderId="0" xfId="3"/>
    <xf numFmtId="0" fontId="53" fillId="4" borderId="0" xfId="0" applyFont="1" applyFill="1"/>
    <xf numFmtId="9" fontId="15" fillId="2" borderId="54" xfId="0" applyNumberFormat="1" applyFont="1" applyFill="1" applyBorder="1" applyAlignment="1">
      <alignment horizontal="right" vertical="center"/>
    </xf>
    <xf numFmtId="9" fontId="3" fillId="0" borderId="67" xfId="6" applyFont="1" applyBorder="1" applyAlignment="1">
      <alignment horizontal="center" vertical="center" wrapText="1"/>
    </xf>
    <xf numFmtId="0" fontId="3" fillId="6" borderId="68" xfId="0" applyFont="1" applyFill="1" applyBorder="1" applyAlignment="1">
      <alignment horizontal="right" vertical="center" wrapText="1"/>
    </xf>
    <xf numFmtId="0" fontId="2" fillId="6" borderId="69" xfId="0" applyFont="1" applyFill="1" applyBorder="1" applyAlignment="1">
      <alignment horizontal="center" vertical="center" wrapText="1"/>
    </xf>
    <xf numFmtId="0" fontId="7" fillId="4" borderId="0" xfId="0" applyFont="1" applyFill="1" applyAlignment="1">
      <alignment horizontal="left" vertical="top" wrapText="1"/>
    </xf>
    <xf numFmtId="0" fontId="7" fillId="4" borderId="0" xfId="0" applyFont="1" applyFill="1" applyAlignment="1">
      <alignment horizontal="center" vertical="top"/>
    </xf>
    <xf numFmtId="0" fontId="7" fillId="4" borderId="0" xfId="0" applyFont="1" applyFill="1" applyAlignment="1">
      <alignment horizontal="left" vertical="top"/>
    </xf>
    <xf numFmtId="0" fontId="54" fillId="13" borderId="66" xfId="3" applyBorder="1" applyAlignment="1">
      <alignment vertical="center" wrapText="1"/>
    </xf>
    <xf numFmtId="0" fontId="7" fillId="4" borderId="17" xfId="0" applyFont="1" applyFill="1" applyBorder="1" applyAlignment="1">
      <alignment horizontal="left" vertical="top" wrapText="1"/>
    </xf>
    <xf numFmtId="0" fontId="7" fillId="4" borderId="18" xfId="0" applyFont="1" applyFill="1" applyBorder="1" applyAlignment="1">
      <alignment horizontal="left" vertical="top" wrapText="1"/>
    </xf>
    <xf numFmtId="0" fontId="7" fillId="4" borderId="20" xfId="0" applyFont="1" applyFill="1" applyBorder="1" applyAlignment="1">
      <alignment horizontal="left" vertical="top" wrapText="1"/>
    </xf>
    <xf numFmtId="0" fontId="7" fillId="4" borderId="26" xfId="0" applyFont="1" applyFill="1" applyBorder="1" applyAlignment="1">
      <alignment horizontal="left" vertical="top" wrapText="1"/>
    </xf>
    <xf numFmtId="0" fontId="7" fillId="4" borderId="28" xfId="0" applyFont="1" applyFill="1" applyBorder="1" applyAlignment="1">
      <alignment horizontal="left" vertical="top" wrapText="1"/>
    </xf>
    <xf numFmtId="0" fontId="7" fillId="4" borderId="30" xfId="0" applyFont="1" applyFill="1" applyBorder="1" applyAlignment="1">
      <alignment horizontal="left" vertical="top" wrapText="1"/>
    </xf>
    <xf numFmtId="0" fontId="26" fillId="3" borderId="37" xfId="0" applyFont="1" applyFill="1" applyBorder="1" applyAlignment="1">
      <alignment horizontal="center"/>
    </xf>
    <xf numFmtId="0" fontId="26" fillId="3" borderId="38" xfId="0" applyFont="1" applyFill="1" applyBorder="1" applyAlignment="1">
      <alignment horizontal="center"/>
    </xf>
    <xf numFmtId="0" fontId="11" fillId="2" borderId="45" xfId="0" applyFont="1" applyFill="1" applyBorder="1" applyAlignment="1">
      <alignment horizontal="center" wrapText="1"/>
    </xf>
    <xf numFmtId="0" fontId="11" fillId="2" borderId="46" xfId="0" applyFont="1" applyFill="1" applyBorder="1" applyAlignment="1">
      <alignment horizontal="center" wrapText="1"/>
    </xf>
    <xf numFmtId="164" fontId="9" fillId="0" borderId="26" xfId="0" applyNumberFormat="1" applyFont="1" applyBorder="1" applyAlignment="1">
      <alignment horizontal="center" vertical="center"/>
    </xf>
    <xf numFmtId="164" fontId="9" fillId="0" borderId="30" xfId="0" applyNumberFormat="1" applyFont="1" applyBorder="1" applyAlignment="1">
      <alignment horizontal="center" vertical="center"/>
    </xf>
    <xf numFmtId="0" fontId="9" fillId="9" borderId="37" xfId="0" applyFont="1" applyFill="1" applyBorder="1" applyAlignment="1">
      <alignment horizontal="center"/>
    </xf>
    <xf numFmtId="0" fontId="9" fillId="9" borderId="38" xfId="0" applyFont="1" applyFill="1" applyBorder="1" applyAlignment="1">
      <alignment horizontal="center"/>
    </xf>
    <xf numFmtId="0" fontId="26" fillId="3" borderId="45" xfId="0" applyFont="1" applyFill="1" applyBorder="1" applyAlignment="1">
      <alignment horizontal="center" wrapText="1"/>
    </xf>
    <xf numFmtId="0" fontId="26" fillId="3" borderId="46" xfId="0" applyFont="1" applyFill="1" applyBorder="1" applyAlignment="1">
      <alignment horizontal="center" wrapText="1"/>
    </xf>
    <xf numFmtId="0" fontId="9" fillId="9" borderId="45" xfId="0" applyFont="1" applyFill="1" applyBorder="1" applyAlignment="1">
      <alignment horizontal="center"/>
    </xf>
    <xf numFmtId="0" fontId="9" fillId="9" borderId="46" xfId="0" applyFont="1" applyFill="1" applyBorder="1" applyAlignment="1">
      <alignment horizontal="center"/>
    </xf>
    <xf numFmtId="0" fontId="24" fillId="0" borderId="2" xfId="0" applyFont="1" applyBorder="1" applyAlignment="1">
      <alignment horizontal="center" vertical="center"/>
    </xf>
    <xf numFmtId="0" fontId="24" fillId="0" borderId="59" xfId="0" applyFont="1" applyBorder="1" applyAlignment="1">
      <alignment horizontal="center" vertical="center"/>
    </xf>
    <xf numFmtId="0" fontId="37" fillId="4" borderId="18" xfId="0" applyFont="1" applyFill="1" applyBorder="1" applyAlignment="1">
      <alignment horizontal="left" vertical="top" wrapText="1"/>
    </xf>
    <xf numFmtId="0" fontId="37" fillId="4" borderId="18" xfId="0" applyFont="1" applyFill="1" applyBorder="1" applyAlignment="1">
      <alignment horizontal="left" vertical="top"/>
    </xf>
    <xf numFmtId="0" fontId="37" fillId="4" borderId="65" xfId="0" applyFont="1" applyFill="1" applyBorder="1" applyAlignment="1">
      <alignment horizontal="left" vertical="top" wrapText="1"/>
    </xf>
    <xf numFmtId="0" fontId="37" fillId="4" borderId="0" xfId="0" applyFont="1" applyFill="1" applyAlignment="1">
      <alignment horizontal="left" vertical="top" wrapText="1"/>
    </xf>
    <xf numFmtId="0" fontId="46" fillId="4" borderId="65" xfId="0" applyFont="1" applyFill="1" applyBorder="1" applyAlignment="1">
      <alignment horizontal="left" vertical="top" wrapText="1"/>
    </xf>
    <xf numFmtId="0" fontId="5" fillId="2" borderId="45" xfId="0" applyFont="1" applyFill="1" applyBorder="1" applyAlignment="1">
      <alignment horizontal="center" vertical="center" wrapText="1"/>
    </xf>
    <xf numFmtId="0" fontId="5" fillId="2" borderId="46" xfId="0" applyFont="1" applyFill="1" applyBorder="1" applyAlignment="1">
      <alignment horizontal="center" vertical="center"/>
    </xf>
    <xf numFmtId="0" fontId="39" fillId="4" borderId="0" xfId="0" applyFont="1" applyFill="1" applyAlignment="1">
      <alignment horizontal="left" vertical="top" wrapText="1"/>
    </xf>
    <xf numFmtId="0" fontId="26" fillId="3" borderId="26" xfId="0" applyFont="1" applyFill="1" applyBorder="1" applyAlignment="1">
      <alignment horizontal="center" vertical="top" wrapText="1"/>
    </xf>
    <xf numFmtId="0" fontId="26" fillId="3" borderId="30" xfId="0" applyFont="1" applyFill="1" applyBorder="1" applyAlignment="1">
      <alignment horizontal="center" vertical="top" wrapText="1"/>
    </xf>
    <xf numFmtId="0" fontId="5" fillId="2" borderId="17" xfId="0" applyFont="1" applyFill="1" applyBorder="1" applyAlignment="1">
      <alignment horizontal="center" vertical="center" wrapText="1"/>
    </xf>
    <xf numFmtId="0" fontId="5" fillId="2" borderId="20" xfId="0" applyFont="1" applyFill="1" applyBorder="1" applyAlignment="1">
      <alignment horizontal="center" vertical="center"/>
    </xf>
    <xf numFmtId="0" fontId="37" fillId="6" borderId="21" xfId="0" applyFont="1" applyFill="1" applyBorder="1" applyAlignment="1">
      <alignment horizontal="center" vertical="top" wrapText="1"/>
    </xf>
    <xf numFmtId="0" fontId="37" fillId="6" borderId="0" xfId="0" applyFont="1" applyFill="1" applyAlignment="1">
      <alignment horizontal="center" vertical="top" wrapText="1"/>
    </xf>
    <xf numFmtId="0" fontId="37" fillId="6" borderId="22" xfId="0" applyFont="1" applyFill="1" applyBorder="1" applyAlignment="1">
      <alignment horizontal="center" vertical="top" wrapText="1"/>
    </xf>
    <xf numFmtId="0" fontId="37" fillId="6" borderId="26" xfId="0" applyFont="1" applyFill="1" applyBorder="1" applyAlignment="1">
      <alignment horizontal="center" vertical="top" wrapText="1"/>
    </xf>
    <xf numFmtId="0" fontId="37" fillId="6" borderId="28" xfId="0" applyFont="1" applyFill="1" applyBorder="1" applyAlignment="1">
      <alignment horizontal="center" vertical="top" wrapText="1"/>
    </xf>
    <xf numFmtId="0" fontId="37" fillId="6" borderId="30" xfId="0" applyFont="1" applyFill="1" applyBorder="1" applyAlignment="1">
      <alignment horizontal="center" vertical="top" wrapText="1"/>
    </xf>
    <xf numFmtId="0" fontId="24" fillId="0" borderId="47" xfId="0" applyFont="1" applyBorder="1" applyAlignment="1">
      <alignment horizontal="center" vertical="center"/>
    </xf>
    <xf numFmtId="0" fontId="9" fillId="9" borderId="45" xfId="0" applyFont="1" applyFill="1" applyBorder="1" applyAlignment="1">
      <alignment horizontal="center" wrapText="1"/>
    </xf>
    <xf numFmtId="0" fontId="9" fillId="9" borderId="46" xfId="0" applyFont="1" applyFill="1" applyBorder="1" applyAlignment="1">
      <alignment horizontal="center" wrapText="1"/>
    </xf>
    <xf numFmtId="0" fontId="43" fillId="3" borderId="45" xfId="0" applyFont="1" applyFill="1" applyBorder="1" applyAlignment="1">
      <alignment horizontal="center" vertical="top" wrapText="1"/>
    </xf>
    <xf numFmtId="0" fontId="43" fillId="3" borderId="46" xfId="0" applyFont="1" applyFill="1" applyBorder="1" applyAlignment="1">
      <alignment horizontal="center" vertical="top"/>
    </xf>
    <xf numFmtId="0" fontId="24" fillId="0" borderId="55" xfId="0" applyFont="1" applyBorder="1" applyAlignment="1">
      <alignment horizontal="center" vertical="center"/>
    </xf>
    <xf numFmtId="0" fontId="24" fillId="0" borderId="56" xfId="0" applyFont="1" applyBorder="1" applyAlignment="1">
      <alignment horizontal="center" vertical="center"/>
    </xf>
    <xf numFmtId="0" fontId="47" fillId="3" borderId="17" xfId="0" applyFont="1" applyFill="1" applyBorder="1" applyAlignment="1">
      <alignment horizontal="left"/>
    </xf>
    <xf numFmtId="0" fontId="47" fillId="3" borderId="18" xfId="0" applyFont="1" applyFill="1" applyBorder="1" applyAlignment="1">
      <alignment horizontal="left"/>
    </xf>
    <xf numFmtId="0" fontId="47" fillId="3" borderId="20" xfId="0" applyFont="1" applyFill="1" applyBorder="1" applyAlignment="1">
      <alignment horizontal="left"/>
    </xf>
    <xf numFmtId="0" fontId="34" fillId="0" borderId="0" xfId="0" applyFont="1" applyAlignment="1">
      <alignment horizontal="left" vertical="top" wrapText="1"/>
    </xf>
    <xf numFmtId="165" fontId="7" fillId="0" borderId="27" xfId="0" applyNumberFormat="1" applyFont="1" applyBorder="1" applyAlignment="1">
      <alignment horizontal="left"/>
    </xf>
    <xf numFmtId="0" fontId="7" fillId="4" borderId="0" xfId="0" applyFont="1" applyFill="1" applyProtection="1"/>
    <xf numFmtId="165" fontId="15" fillId="5" borderId="5" xfId="0" applyNumberFormat="1" applyFont="1" applyFill="1" applyBorder="1" applyAlignment="1" applyProtection="1">
      <alignment horizontal="center" wrapText="1"/>
    </xf>
  </cellXfs>
  <cellStyles count="7">
    <cellStyle name="currency_integrated" xfId="5" xr:uid="{FA93D477-708C-406A-9A04-F8C4DF35CE62}"/>
    <cellStyle name="header_integrated" xfId="4" xr:uid="{D0FA8428-E02C-4F9C-ADAD-13EAE4348129}"/>
    <cellStyle name="Normal" xfId="0" builtinId="0"/>
    <cellStyle name="Normal 2" xfId="2" xr:uid="{60A08734-B997-43CC-9E31-1A21E2973BD4}"/>
    <cellStyle name="Percent" xfId="1" builtinId="5"/>
    <cellStyle name="percent_integrated" xfId="6" xr:uid="{54631C4A-00FF-4D71-8F71-E0B3BB9D96EA}"/>
    <cellStyle name="subtitle_integrated" xfId="3" xr:uid="{706B5DFF-6294-47A9-8D85-F25B66867366}"/>
  </cellStyles>
  <dxfs count="27">
    <dxf>
      <fill>
        <patternFill patternType="solid">
          <fgColor rgb="FFC6EFCE"/>
          <bgColor rgb="FFC6EFCE"/>
        </patternFill>
      </fill>
    </dxf>
    <dxf>
      <fill>
        <patternFill patternType="solid">
          <fgColor rgb="FFFFC7CE"/>
          <bgColor rgb="FFFFC7CE"/>
        </patternFill>
      </fill>
    </dxf>
    <dxf>
      <font>
        <b/>
        <i val="0"/>
        <color rgb="FFFF0066"/>
      </font>
    </dxf>
    <dxf>
      <font>
        <b/>
        <i val="0"/>
        <color theme="0"/>
      </font>
      <fill>
        <patternFill patternType="solid">
          <bgColor rgb="FFFF0000"/>
        </patternFill>
      </fill>
    </dxf>
    <dxf>
      <font>
        <b/>
        <i val="0"/>
        <color theme="0"/>
      </font>
      <fill>
        <patternFill>
          <bgColor rgb="FF00B050"/>
        </patternFill>
      </fill>
    </dxf>
    <dxf>
      <font>
        <b/>
        <i val="0"/>
        <color auto="1"/>
      </font>
      <fill>
        <patternFill>
          <bgColor rgb="FF00B0F0"/>
        </patternFill>
      </fill>
    </dxf>
    <dxf>
      <font>
        <b/>
        <i val="0"/>
        <color rgb="FFFF0066"/>
      </font>
    </dxf>
    <dxf>
      <font>
        <b/>
        <i val="0"/>
        <color rgb="FFFF0066"/>
      </font>
    </dxf>
    <dxf>
      <font>
        <b/>
        <i val="0"/>
        <color theme="7"/>
      </font>
    </dxf>
    <dxf>
      <fill>
        <patternFill>
          <bgColor theme="7" tint="0.79998168889431442"/>
        </patternFill>
      </fill>
    </dxf>
    <dxf>
      <font>
        <b val="0"/>
        <i/>
        <color theme="1" tint="0.34998626667073579"/>
      </font>
      <fill>
        <patternFill>
          <bgColor theme="7" tint="0.59996337778862885"/>
        </patternFill>
      </fill>
    </dxf>
    <dxf>
      <numFmt numFmtId="0" formatCode="General"/>
      <protection locked="1" hidden="0"/>
    </dxf>
    <dxf>
      <font>
        <b val="0"/>
        <i val="0"/>
        <strike val="0"/>
        <condense val="0"/>
        <extend val="0"/>
        <outline val="0"/>
        <shadow val="0"/>
        <u val="none"/>
        <vertAlign val="baseline"/>
        <sz val="11"/>
        <color theme="1"/>
        <name val="Aptos Narrow"/>
        <family val="2"/>
        <scheme val="none"/>
      </font>
      <alignment horizontal="left" vertical="top" textRotation="0" indent="0" justifyLastLine="0" shrinkToFit="0" readingOrder="0"/>
      <protection locked="1" hidden="0"/>
    </dxf>
    <dxf>
      <font>
        <b val="0"/>
        <i val="0"/>
        <strike val="0"/>
        <condense val="0"/>
        <extend val="0"/>
        <outline val="0"/>
        <shadow val="0"/>
        <u val="none"/>
        <vertAlign val="baseline"/>
        <sz val="11"/>
        <color theme="1"/>
        <name val="Aptos Narrow"/>
        <family val="2"/>
        <scheme val="none"/>
      </font>
      <alignment horizontal="center" vertical="top" textRotation="0" indent="0" justifyLastLine="0" shrinkToFit="0" readingOrder="0"/>
      <protection locked="1" hidden="0"/>
    </dxf>
    <dxf>
      <font>
        <b val="0"/>
        <i val="0"/>
        <strike val="0"/>
        <condense val="0"/>
        <extend val="0"/>
        <outline val="0"/>
        <shadow val="0"/>
        <u val="none"/>
        <vertAlign val="baseline"/>
        <sz val="11"/>
        <color theme="1"/>
        <name val="Aptos Narrow"/>
        <family val="2"/>
        <scheme val="none"/>
      </font>
      <alignment horizontal="center" vertical="top" textRotation="0" indent="0" justifyLastLine="0" shrinkToFit="0" readingOrder="0"/>
      <protection locked="1" hidden="0"/>
    </dxf>
    <dxf>
      <font>
        <b val="0"/>
        <i val="0"/>
        <strike val="0"/>
        <condense val="0"/>
        <extend val="0"/>
        <outline val="0"/>
        <shadow val="0"/>
        <u val="none"/>
        <vertAlign val="baseline"/>
        <sz val="11"/>
        <color theme="1"/>
        <name val="Aptos Narrow"/>
        <family val="2"/>
        <scheme val="none"/>
      </font>
      <alignment horizontal="center" vertical="top" textRotation="0" indent="0" justifyLastLine="0" shrinkToFit="0" readingOrder="0"/>
      <protection locked="1" hidden="0"/>
    </dxf>
    <dxf>
      <font>
        <b val="0"/>
        <i val="0"/>
        <strike val="0"/>
        <condense val="0"/>
        <extend val="0"/>
        <outline val="0"/>
        <shadow val="0"/>
        <u val="none"/>
        <vertAlign val="baseline"/>
        <sz val="11"/>
        <color theme="1"/>
        <name val="Aptos Narrow"/>
        <family val="2"/>
        <scheme val="none"/>
      </font>
      <alignment horizontal="left" vertical="top" textRotation="0" wrapText="1" indent="0" justifyLastLine="0" shrinkToFit="0" readingOrder="0"/>
      <protection locked="1" hidden="0"/>
    </dxf>
    <dxf>
      <font>
        <b val="0"/>
        <i val="0"/>
        <strike val="0"/>
        <condense val="0"/>
        <extend val="0"/>
        <outline val="0"/>
        <shadow val="0"/>
        <u val="none"/>
        <vertAlign val="baseline"/>
        <sz val="11"/>
        <color theme="1"/>
        <name val="Aptos Narrow"/>
        <family val="2"/>
        <scheme val="none"/>
      </font>
      <alignment horizontal="left" vertical="top" textRotation="0" indent="0" justifyLastLine="0" shrinkToFit="0" readingOrder="0"/>
      <protection locked="1" hidden="0"/>
    </dxf>
    <dxf>
      <font>
        <b val="0"/>
        <i val="0"/>
        <strike val="0"/>
        <condense val="0"/>
        <extend val="0"/>
        <outline val="0"/>
        <shadow val="0"/>
        <u val="none"/>
        <vertAlign val="baseline"/>
        <sz val="11"/>
        <color auto="1"/>
        <name val="Aptos Narrow"/>
        <family val="2"/>
        <scheme val="none"/>
      </font>
      <alignment horizontal="left" vertical="bottom" textRotation="0" wrapText="1" indent="0" justifyLastLine="0" shrinkToFit="0" readingOrder="0"/>
      <protection locked="1" hidden="0"/>
    </dxf>
    <dxf>
      <font>
        <b val="0"/>
        <i val="0"/>
        <strike val="0"/>
        <condense val="0"/>
        <extend val="0"/>
        <outline val="0"/>
        <shadow val="0"/>
        <u val="none"/>
        <vertAlign val="baseline"/>
        <sz val="11"/>
        <color theme="1"/>
        <name val="Aptos Narrow"/>
        <family val="2"/>
        <scheme val="none"/>
      </font>
      <numFmt numFmtId="165" formatCode="[$-F800]dddd\,\ mmmm\ dd\,\ yyyy"/>
      <alignment horizontal="left" vertical="bottom" textRotation="0" wrapText="0" indent="0" justifyLastLine="0" shrinkToFit="0" readingOrder="0"/>
      <border diagonalUp="0" diagonalDown="0">
        <left style="thin">
          <color auto="1"/>
        </left>
        <right/>
        <top style="thin">
          <color auto="1"/>
        </top>
        <bottom style="thin">
          <color auto="1"/>
        </bottom>
        <vertical/>
        <horizontal/>
      </border>
      <protection locked="1" hidden="0"/>
    </dxf>
    <dxf>
      <font>
        <b val="0"/>
        <i val="0"/>
        <strike val="0"/>
        <condense val="0"/>
        <extend val="0"/>
        <outline val="0"/>
        <shadow val="0"/>
        <u val="none"/>
        <vertAlign val="baseline"/>
        <sz val="11"/>
        <color theme="1"/>
        <name val="Aptos Narrow"/>
        <family val="2"/>
        <scheme val="none"/>
      </font>
      <alignment horizontal="center" vertical="bottom" textRotation="0" indent="0" justifyLastLine="0" shrinkToFit="0" readingOrder="0"/>
      <border diagonalUp="0" diagonalDown="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1"/>
        <color theme="1"/>
        <name val="Aptos Narrow"/>
        <family val="2"/>
        <scheme val="none"/>
      </font>
      <numFmt numFmtId="165" formatCode="[$-F800]dddd\,\ mmmm\ dd\,\ yyyy"/>
      <alignment horizontal="left"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font>
        <b val="0"/>
        <i val="0"/>
        <strike val="0"/>
        <condense val="0"/>
        <extend val="0"/>
        <outline val="0"/>
        <shadow val="0"/>
        <u val="none"/>
        <vertAlign val="baseline"/>
        <sz val="11"/>
        <color theme="1"/>
        <name val="Aptos Narrow"/>
        <family val="2"/>
        <scheme val="none"/>
      </font>
      <alignment horizontal="center" vertical="bottom" textRotation="0" indent="0" justifyLastLine="0" shrinkToFit="0" readingOrder="0"/>
      <border diagonalUp="0" diagonalDown="0">
        <left/>
        <right style="thin">
          <color auto="1"/>
        </right>
        <top style="thin">
          <color auto="1"/>
        </top>
        <bottom style="thin">
          <color auto="1"/>
        </bottom>
      </border>
      <protection locked="1" hidden="0"/>
    </dxf>
    <dxf>
      <border outline="0">
        <left style="medium">
          <color indexed="64"/>
        </left>
        <right style="medium">
          <color indexed="64"/>
        </right>
        <top style="medium">
          <color indexed="64"/>
        </top>
        <bottom style="medium">
          <color indexed="64"/>
        </bottom>
      </border>
    </dxf>
    <dxf>
      <protection locked="1" hidden="0"/>
    </dxf>
    <dxf>
      <border outline="0">
        <bottom style="medium">
          <color indexed="64"/>
        </bottom>
      </border>
    </dxf>
    <dxf>
      <font>
        <b/>
        <i val="0"/>
        <strike val="0"/>
        <condense val="0"/>
        <extend val="0"/>
        <outline val="0"/>
        <shadow val="0"/>
        <u val="none"/>
        <vertAlign val="baseline"/>
        <sz val="11"/>
        <color theme="0"/>
        <name val="Aptos Narrow"/>
        <family val="2"/>
        <scheme val="none"/>
      </font>
      <numFmt numFmtId="165" formatCode="[$-F800]dddd\,\ mmmm\ dd\,\ yyyy"/>
      <fill>
        <patternFill patternType="solid">
          <fgColor indexed="64"/>
          <bgColor theme="5" tint="-0.249977111117893"/>
        </patternFill>
      </fill>
      <alignment horizontal="center" vertical="bottom" textRotation="0" wrapText="1" indent="0" justifyLastLine="0" shrinkToFit="0" readingOrder="0"/>
      <border diagonalUp="0" diagonalDown="0">
        <left style="thin">
          <color auto="1"/>
        </left>
        <right style="thin">
          <color auto="1"/>
        </right>
        <top/>
        <bottom/>
      </border>
      <protection locked="1" hidden="0"/>
    </dxf>
  </dxfs>
  <tableStyles count="0" defaultTableStyle="TableStyleMedium9" defaultPivotStyle="PivotStyleLight16"/>
  <colors>
    <mruColors>
      <color rgb="FFE7FFE7"/>
      <color rgb="FF00FF00"/>
      <color rgb="FF035BFB"/>
      <color rgb="FFFF0066"/>
      <color rgb="FFC5DAFF"/>
      <color rgb="FF8CB5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363394</xdr:colOff>
      <xdr:row>33</xdr:row>
      <xdr:rowOff>43757</xdr:rowOff>
    </xdr:from>
    <xdr:to>
      <xdr:col>1</xdr:col>
      <xdr:colOff>1040549</xdr:colOff>
      <xdr:row>36</xdr:row>
      <xdr:rowOff>127001</xdr:rowOff>
    </xdr:to>
    <xdr:sp macro="" textlink="">
      <xdr:nvSpPr>
        <xdr:cNvPr id="5" name="Arrow: Down 4">
          <a:extLst>
            <a:ext uri="{FF2B5EF4-FFF2-40B4-BE49-F238E27FC236}">
              <a16:creationId xmlns:a16="http://schemas.microsoft.com/office/drawing/2014/main" id="{68D00598-D55B-0E11-124A-E99E95693EB9}"/>
            </a:ext>
          </a:extLst>
        </xdr:cNvPr>
        <xdr:cNvSpPr/>
      </xdr:nvSpPr>
      <xdr:spPr>
        <a:xfrm>
          <a:off x="572570" y="10995639"/>
          <a:ext cx="677155" cy="1151538"/>
        </a:xfrm>
        <a:prstGeom prst="downArrow">
          <a:avLst/>
        </a:prstGeom>
        <a:gradFill>
          <a:gsLst>
            <a:gs pos="43000">
              <a:schemeClr val="accent4">
                <a:lumMod val="63000"/>
                <a:lumOff val="37000"/>
              </a:schemeClr>
            </a:gs>
            <a:gs pos="100000">
              <a:schemeClr val="accent5">
                <a:tint val="37000"/>
                <a:satMod val="300000"/>
              </a:schemeClr>
            </a:gs>
            <a:gs pos="100000">
              <a:schemeClr val="accent5">
                <a:tint val="15000"/>
                <a:satMod val="350000"/>
              </a:schemeClr>
            </a:gs>
          </a:gsLst>
        </a:gradFill>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endParaRPr lang="en-US" sz="1100"/>
        </a:p>
      </xdr:txBody>
    </xdr:sp>
    <xdr:clientData/>
  </xdr:twoCellAnchor>
  <xdr:twoCellAnchor>
    <xdr:from>
      <xdr:col>1</xdr:col>
      <xdr:colOff>2099237</xdr:colOff>
      <xdr:row>33</xdr:row>
      <xdr:rowOff>52294</xdr:rowOff>
    </xdr:from>
    <xdr:to>
      <xdr:col>2</xdr:col>
      <xdr:colOff>654744</xdr:colOff>
      <xdr:row>36</xdr:row>
      <xdr:rowOff>128067</xdr:rowOff>
    </xdr:to>
    <xdr:sp macro="" textlink="">
      <xdr:nvSpPr>
        <xdr:cNvPr id="7" name="Arrow: Down 6">
          <a:extLst>
            <a:ext uri="{FF2B5EF4-FFF2-40B4-BE49-F238E27FC236}">
              <a16:creationId xmlns:a16="http://schemas.microsoft.com/office/drawing/2014/main" id="{2A1AFBBB-B08F-41E3-92A3-C66BB82F4A3C}"/>
            </a:ext>
          </a:extLst>
        </xdr:cNvPr>
        <xdr:cNvSpPr/>
      </xdr:nvSpPr>
      <xdr:spPr>
        <a:xfrm>
          <a:off x="2308413" y="11004176"/>
          <a:ext cx="677155" cy="1144067"/>
        </a:xfrm>
        <a:prstGeom prst="downArrow">
          <a:avLst/>
        </a:prstGeom>
        <a:gradFill>
          <a:gsLst>
            <a:gs pos="43000">
              <a:schemeClr val="accent4">
                <a:lumMod val="63000"/>
                <a:lumOff val="37000"/>
              </a:schemeClr>
            </a:gs>
            <a:gs pos="100000">
              <a:schemeClr val="accent5">
                <a:tint val="37000"/>
                <a:satMod val="300000"/>
              </a:schemeClr>
            </a:gs>
            <a:gs pos="100000">
              <a:schemeClr val="accent5">
                <a:tint val="15000"/>
                <a:satMod val="350000"/>
              </a:schemeClr>
            </a:gs>
          </a:gsLst>
        </a:gradFill>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6</xdr:col>
      <xdr:colOff>283882</xdr:colOff>
      <xdr:row>37</xdr:row>
      <xdr:rowOff>186762</xdr:rowOff>
    </xdr:from>
    <xdr:to>
      <xdr:col>35</xdr:col>
      <xdr:colOff>29383</xdr:colOff>
      <xdr:row>43</xdr:row>
      <xdr:rowOff>242744</xdr:rowOff>
    </xdr:to>
    <xdr:pic>
      <xdr:nvPicPr>
        <xdr:cNvPr id="9" name="Picture 8">
          <a:extLst>
            <a:ext uri="{FF2B5EF4-FFF2-40B4-BE49-F238E27FC236}">
              <a16:creationId xmlns:a16="http://schemas.microsoft.com/office/drawing/2014/main" id="{95910CFA-A861-35BE-BA5A-B720D97E4159}"/>
            </a:ext>
          </a:extLst>
        </xdr:cNvPr>
        <xdr:cNvPicPr>
          <a:picLocks noChangeAspect="1"/>
        </xdr:cNvPicPr>
      </xdr:nvPicPr>
      <xdr:blipFill>
        <a:blip xmlns:r="http://schemas.openxmlformats.org/officeDocument/2006/relationships" r:embed="rId1"/>
        <a:stretch>
          <a:fillRect/>
        </a:stretch>
      </xdr:blipFill>
      <xdr:spPr>
        <a:xfrm>
          <a:off x="7993529" y="13693586"/>
          <a:ext cx="8433795" cy="26931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AFC8A3D-246C-431F-BE42-2D12C467B138}" name="PaySchedule" displayName="PaySchedule" ref="P4:T30" totalsRowShown="0" headerRowDxfId="26" dataDxfId="24" headerRowBorderDxfId="25" tableBorderDxfId="23">
  <autoFilter ref="P4:T30" xr:uid="{0AFC8A3D-246C-431F-BE42-2D12C467B138}"/>
  <tableColumns count="5">
    <tableColumn id="1" xr3:uid="{FB990020-CEBB-4FD2-BC28-B3B0A0AF26D4}" name="BW Pay #" dataDxfId="22"/>
    <tableColumn id="2" xr3:uid="{D3F07C31-693D-4F7B-9C9D-455C642A5F55}" name="BI-Weekly Pay Date" dataDxfId="21"/>
    <tableColumn id="3" xr3:uid="{37488859-E38A-4E2E-B9E3-80E14967B7F5}" name="SM Pay #" dataDxfId="20"/>
    <tableColumn id="4" xr3:uid="{903AAB3F-C269-4E71-B617-E5590281D3A2}" name="Semi-Monthly Pay Date" dataDxfId="19"/>
    <tableColumn id="5" xr3:uid="{E3B85F3F-7327-48B8-9CE0-B2B0B46D44EC}" name="Column1" dataDxfId="11">
      <calculatedColumnFormula>IF(AND(Q5&lt;&gt;"",NOT(ISNUMBER(Q5))),"TEXT DATE", "")</calculatedColumnFormula>
    </tableColumn>
  </tableColumns>
  <tableStyleInfo name="TableStyleMedium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8D662F0-3D66-4417-AFBB-1F44D7D1D52A}" name="EligibleComp" displayName="EligibleComp" ref="V2:Z31" totalsRowShown="0" headerRowDxfId="18" dataDxfId="17">
  <autoFilter ref="V2:Z31" xr:uid="{C8D662F0-3D66-4417-AFBB-1F44D7D1D52A}"/>
  <tableColumns count="5">
    <tableColumn id="1" xr3:uid="{F1CCD709-7835-4D99-97CE-F167E2F98129}" name="Compensation Type" dataDxfId="16"/>
    <tableColumn id="2" xr3:uid="{8FCD3A7D-13F1-4BDE-8878-58A1AD6C50E3}" name="Is this Eligible Compensation in Plan?" dataDxfId="15"/>
    <tableColumn id="3" xr3:uid="{C48A4C66-0898-4B93-ACD7-D4430199924B}" name="Eligible for Employer Match" dataDxfId="14"/>
    <tableColumn id="4" xr3:uid="{F6067E9F-058C-44A8-8276-06960496AC89}" name="Counts toward §415(c)?" dataDxfId="13"/>
    <tableColumn id="5" xr3:uid="{0B7CC28F-262D-4EAB-B074-F120153F7341}" name="Notes" dataDxfId="12"/>
  </tableColumns>
  <tableStyleInfo name="TableStyleMedium5" showFirstColumn="0" showLastColumn="0" showRowStripes="1" showColumnStripes="0"/>
</table>
</file>

<file path=xl/theme/theme1.xml><?xml version="1.0" encoding="utf-8"?>
<a:theme xmlns:a="http://schemas.openxmlformats.org/drawingml/2006/main" name="Office Theme">
  <a:themeElements>
    <a:clrScheme name="Blue">
      <a:dk1>
        <a:sysClr val="windowText" lastClr="000000"/>
      </a:dk1>
      <a:lt1>
        <a:sysClr val="window" lastClr="FFFFFF"/>
      </a:lt1>
      <a:dk2>
        <a:srgbClr val="17406D"/>
      </a:dk2>
      <a:lt2>
        <a:srgbClr val="DBEFF9"/>
      </a:lt2>
      <a:accent1>
        <a:srgbClr val="0F6FC6"/>
      </a:accent1>
      <a:accent2>
        <a:srgbClr val="009DD9"/>
      </a:accent2>
      <a:accent3>
        <a:srgbClr val="0BD0D9"/>
      </a:accent3>
      <a:accent4>
        <a:srgbClr val="10CF9B"/>
      </a:accent4>
      <a:accent5>
        <a:srgbClr val="7CCA62"/>
      </a:accent5>
      <a:accent6>
        <a:srgbClr val="A5C249"/>
      </a:accent6>
      <a:hlink>
        <a:srgbClr val="F49100"/>
      </a:hlink>
      <a:folHlink>
        <a:srgbClr val="85DFD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autoPageBreaks="0"/>
  </sheetPr>
  <dimension ref="A1:AE97"/>
  <sheetViews>
    <sheetView showGridLines="0" tabSelected="1" zoomScale="85" zoomScaleNormal="85" workbookViewId="0">
      <selection activeCell="C12" sqref="C12"/>
    </sheetView>
    <sheetView tabSelected="1" topLeftCell="AD2" zoomScale="85" zoomScaleNormal="85" workbookViewId="1">
      <selection activeCell="Q6" sqref="Q6"/>
    </sheetView>
  </sheetViews>
  <sheetFormatPr defaultRowHeight="14.5" x14ac:dyDescent="0.35"/>
  <cols>
    <col min="1" max="1" width="3" style="2" customWidth="1"/>
    <col min="2" max="2" width="30.36328125" style="16" customWidth="1"/>
    <col min="3" max="3" width="14.90625" style="16" customWidth="1"/>
    <col min="4" max="4" width="4.36328125" style="16" customWidth="1"/>
    <col min="5" max="5" width="37.54296875" style="16" customWidth="1"/>
    <col min="6" max="6" width="20.1796875" style="16" bestFit="1" customWidth="1"/>
    <col min="7" max="7" width="4.36328125" style="16" customWidth="1"/>
    <col min="8" max="8" width="41.54296875" style="16" bestFit="1" customWidth="1"/>
    <col min="9" max="9" width="17.08984375" style="16" customWidth="1"/>
    <col min="10" max="10" width="8.7265625" style="16"/>
    <col min="11" max="11" width="43.81640625" style="16" hidden="1" customWidth="1"/>
    <col min="12" max="12" width="11.1796875" style="16" hidden="1" customWidth="1"/>
    <col min="13" max="14" width="0" style="16" hidden="1" customWidth="1"/>
    <col min="15" max="15" width="20.26953125" style="16" hidden="1" customWidth="1"/>
    <col min="16" max="16" width="13.6328125" style="88" hidden="1" customWidth="1"/>
    <col min="17" max="17" width="28.36328125" style="89" hidden="1" customWidth="1"/>
    <col min="18" max="18" width="13.36328125" style="88" hidden="1" customWidth="1"/>
    <col min="19" max="19" width="28.36328125" style="89" hidden="1" customWidth="1"/>
    <col min="20" max="20" width="8.7265625" style="16" hidden="1" customWidth="1"/>
    <col min="21" max="21" width="11" style="16" hidden="1" customWidth="1"/>
    <col min="22" max="22" width="70" style="17" hidden="1" customWidth="1"/>
    <col min="23" max="23" width="27.26953125" style="18" hidden="1" customWidth="1"/>
    <col min="24" max="24" width="27.90625" style="18" hidden="1" customWidth="1"/>
    <col min="25" max="25" width="16.36328125" style="18" hidden="1" customWidth="1"/>
    <col min="26" max="26" width="55.36328125" style="22" hidden="1" customWidth="1"/>
    <col min="27" max="29" width="8.7265625" style="16" hidden="1" customWidth="1"/>
    <col min="30" max="33" width="8.7265625" style="16" customWidth="1"/>
    <col min="34" max="16384" width="8.7265625" style="16"/>
  </cols>
  <sheetData>
    <row r="1" spans="2:26" s="2" customFormat="1" ht="15" thickBot="1" x14ac:dyDescent="0.4">
      <c r="P1" s="13"/>
      <c r="Q1" s="12"/>
      <c r="R1" s="13"/>
      <c r="S1" s="12"/>
      <c r="V1" s="151"/>
      <c r="W1" s="152"/>
      <c r="X1" s="152"/>
      <c r="Y1" s="152"/>
      <c r="Z1" s="153"/>
    </row>
    <row r="2" spans="2:26" s="2" customFormat="1" ht="31" x14ac:dyDescent="0.35">
      <c r="B2" s="8" t="s">
        <v>99</v>
      </c>
      <c r="C2" s="9"/>
      <c r="D2" s="9"/>
      <c r="E2" s="9"/>
      <c r="F2" s="9"/>
      <c r="G2" s="9"/>
      <c r="H2" s="9"/>
      <c r="I2" s="10"/>
      <c r="P2" s="13"/>
      <c r="Q2" s="12"/>
      <c r="R2" s="13"/>
      <c r="S2" s="12"/>
      <c r="V2" s="14" t="s">
        <v>47</v>
      </c>
      <c r="W2" s="14" t="s">
        <v>59</v>
      </c>
      <c r="X2" s="14" t="s">
        <v>14</v>
      </c>
      <c r="Y2" s="14" t="s">
        <v>15</v>
      </c>
      <c r="Z2" s="14" t="s">
        <v>16</v>
      </c>
    </row>
    <row r="3" spans="2:26" s="2" customFormat="1" ht="14.5" customHeight="1" x14ac:dyDescent="0.35">
      <c r="B3" s="187" t="s">
        <v>96</v>
      </c>
      <c r="C3" s="188"/>
      <c r="D3" s="188"/>
      <c r="E3" s="188"/>
      <c r="F3" s="188"/>
      <c r="G3" s="188"/>
      <c r="H3" s="188"/>
      <c r="I3" s="189"/>
      <c r="P3" s="11">
        <f ca="1">TODAY()</f>
        <v>46030</v>
      </c>
      <c r="Q3" s="15" t="s">
        <v>7</v>
      </c>
      <c r="R3" s="134">
        <v>46387</v>
      </c>
      <c r="S3" s="16"/>
      <c r="V3" s="17" t="s">
        <v>29</v>
      </c>
      <c r="W3" s="18" t="s">
        <v>26</v>
      </c>
      <c r="X3" s="18" t="s">
        <v>26</v>
      </c>
      <c r="Y3" s="18" t="s">
        <v>26</v>
      </c>
      <c r="Z3" s="17" t="s">
        <v>40</v>
      </c>
    </row>
    <row r="4" spans="2:26" ht="24.5" customHeight="1" thickBot="1" x14ac:dyDescent="0.4">
      <c r="B4" s="190"/>
      <c r="C4" s="191"/>
      <c r="D4" s="191"/>
      <c r="E4" s="191"/>
      <c r="F4" s="191"/>
      <c r="G4" s="191"/>
      <c r="H4" s="191"/>
      <c r="I4" s="192"/>
      <c r="J4" s="2"/>
      <c r="K4" s="2"/>
      <c r="L4" s="2"/>
      <c r="M4" s="2"/>
      <c r="N4" s="2"/>
      <c r="O4" s="2"/>
      <c r="P4" s="19" t="s">
        <v>8</v>
      </c>
      <c r="Q4" s="20" t="s">
        <v>9</v>
      </c>
      <c r="R4" s="20" t="s">
        <v>10</v>
      </c>
      <c r="S4" s="21" t="s">
        <v>11</v>
      </c>
      <c r="T4" s="206" t="s">
        <v>169</v>
      </c>
      <c r="U4" s="2"/>
      <c r="V4" s="17" t="s">
        <v>28</v>
      </c>
      <c r="W4" s="18" t="s">
        <v>26</v>
      </c>
      <c r="X4" s="18" t="s">
        <v>26</v>
      </c>
      <c r="Y4" s="18" t="s">
        <v>26</v>
      </c>
      <c r="Z4" s="17" t="s">
        <v>40</v>
      </c>
    </row>
    <row r="5" spans="2:26" ht="113.5" customHeight="1" x14ac:dyDescent="0.35">
      <c r="B5" s="175" t="s">
        <v>97</v>
      </c>
      <c r="C5" s="175"/>
      <c r="D5" s="175"/>
      <c r="E5" s="175"/>
      <c r="F5" s="175" t="s">
        <v>139</v>
      </c>
      <c r="G5" s="176"/>
      <c r="H5" s="176"/>
      <c r="I5" s="176"/>
      <c r="J5" s="2"/>
      <c r="K5" s="2"/>
      <c r="L5" s="2"/>
      <c r="M5" s="2"/>
      <c r="N5" s="2"/>
      <c r="O5" s="2"/>
      <c r="P5" s="23">
        <v>1</v>
      </c>
      <c r="Q5" s="24">
        <v>46027</v>
      </c>
      <c r="R5" s="25">
        <v>1</v>
      </c>
      <c r="S5" s="26">
        <v>46029</v>
      </c>
      <c r="T5" s="205" t="str">
        <f t="shared" ref="T5:T30" si="0">IF(AND(Q5&lt;&gt;"",NOT(ISNUMBER(Q5))),"TEXT DATE", "")</f>
        <v/>
      </c>
      <c r="U5" s="2"/>
      <c r="V5" s="17" t="s">
        <v>38</v>
      </c>
      <c r="W5" s="18" t="s">
        <v>26</v>
      </c>
      <c r="X5" s="18" t="s">
        <v>26</v>
      </c>
      <c r="Y5" s="18" t="s">
        <v>26</v>
      </c>
    </row>
    <row r="6" spans="2:26" s="2" customFormat="1" ht="47.5" customHeight="1" x14ac:dyDescent="0.35">
      <c r="B6" s="177" t="s">
        <v>125</v>
      </c>
      <c r="C6" s="177"/>
      <c r="D6" s="177"/>
      <c r="E6" s="177"/>
      <c r="F6" s="179" t="s">
        <v>129</v>
      </c>
      <c r="G6" s="177"/>
      <c r="H6" s="177"/>
      <c r="I6" s="177"/>
      <c r="P6" s="27">
        <v>2</v>
      </c>
      <c r="Q6" s="3">
        <v>46036</v>
      </c>
      <c r="R6" s="4">
        <v>2</v>
      </c>
      <c r="S6" s="28">
        <v>46044</v>
      </c>
      <c r="T6" s="205" t="str">
        <f t="shared" si="0"/>
        <v/>
      </c>
      <c r="V6" s="17" t="s">
        <v>17</v>
      </c>
      <c r="W6" s="18" t="s">
        <v>26</v>
      </c>
      <c r="X6" s="18" t="s">
        <v>26</v>
      </c>
      <c r="Y6" s="18" t="s">
        <v>26</v>
      </c>
      <c r="Z6" s="22"/>
    </row>
    <row r="7" spans="2:26" ht="69" customHeight="1" thickBot="1" x14ac:dyDescent="0.4">
      <c r="B7" s="178"/>
      <c r="C7" s="178"/>
      <c r="D7" s="178"/>
      <c r="E7" s="178"/>
      <c r="F7" s="178"/>
      <c r="G7" s="178"/>
      <c r="H7" s="178"/>
      <c r="I7" s="178"/>
      <c r="J7" s="2"/>
      <c r="K7" s="2"/>
      <c r="L7" s="2"/>
      <c r="M7" s="2"/>
      <c r="N7" s="2"/>
      <c r="O7" s="2"/>
      <c r="P7" s="27">
        <v>3</v>
      </c>
      <c r="Q7" s="3">
        <v>46051</v>
      </c>
      <c r="R7" s="4">
        <v>3</v>
      </c>
      <c r="S7" s="28">
        <v>46058</v>
      </c>
      <c r="T7" s="205" t="str">
        <f t="shared" si="0"/>
        <v/>
      </c>
      <c r="U7" s="2"/>
      <c r="V7" s="17" t="s">
        <v>23</v>
      </c>
      <c r="W7" s="18" t="s">
        <v>26</v>
      </c>
      <c r="X7" s="18" t="s">
        <v>26</v>
      </c>
      <c r="Y7" s="18" t="s">
        <v>26</v>
      </c>
    </row>
    <row r="8" spans="2:26" ht="35" customHeight="1" thickBot="1" x14ac:dyDescent="0.45">
      <c r="B8" s="185" t="s">
        <v>130</v>
      </c>
      <c r="C8" s="186"/>
      <c r="D8" s="2"/>
      <c r="E8" s="163" t="s">
        <v>131</v>
      </c>
      <c r="F8" s="164"/>
      <c r="G8" s="2"/>
      <c r="H8" s="180" t="s">
        <v>100</v>
      </c>
      <c r="I8" s="181"/>
      <c r="J8" s="2"/>
      <c r="K8" s="2"/>
      <c r="L8" s="2"/>
      <c r="M8" s="2"/>
      <c r="N8" s="2"/>
      <c r="O8" s="2"/>
      <c r="P8" s="27">
        <v>4</v>
      </c>
      <c r="Q8" s="3">
        <v>46064</v>
      </c>
      <c r="R8" s="4">
        <v>4</v>
      </c>
      <c r="S8" s="28">
        <v>46072</v>
      </c>
      <c r="T8" s="205" t="str">
        <f t="shared" si="0"/>
        <v/>
      </c>
      <c r="U8" s="2"/>
      <c r="V8" s="17" t="s">
        <v>18</v>
      </c>
      <c r="W8" s="18" t="s">
        <v>26</v>
      </c>
      <c r="X8" s="18" t="s">
        <v>26</v>
      </c>
      <c r="Y8" s="18" t="s">
        <v>26</v>
      </c>
    </row>
    <row r="9" spans="2:26" ht="19" thickBot="1" x14ac:dyDescent="0.4">
      <c r="B9" s="165">
        <f>IF(AgeAsOf="",0,MAX(0,F19-SUM(C19:C20)))</f>
        <v>0</v>
      </c>
      <c r="C9" s="166"/>
      <c r="D9" s="2"/>
      <c r="E9" s="165">
        <f>IF(AgeAsOf="",0,F19)</f>
        <v>0</v>
      </c>
      <c r="F9" s="166"/>
      <c r="G9" s="2"/>
      <c r="H9" s="165">
        <f>IF(AgeAsOf="",0,MAX(0,F15-SUM(C19:C23)))</f>
        <v>0</v>
      </c>
      <c r="I9" s="166"/>
      <c r="J9" s="2"/>
      <c r="K9" s="2"/>
      <c r="L9" s="2"/>
      <c r="M9" s="2"/>
      <c r="N9" s="2"/>
      <c r="O9" s="2"/>
      <c r="P9" s="27">
        <v>5</v>
      </c>
      <c r="Q9" s="3">
        <v>46079</v>
      </c>
      <c r="R9" s="4">
        <v>5</v>
      </c>
      <c r="S9" s="28">
        <v>46086</v>
      </c>
      <c r="T9" s="205" t="str">
        <f t="shared" si="0"/>
        <v/>
      </c>
      <c r="U9" s="2"/>
      <c r="V9" s="17" t="s">
        <v>35</v>
      </c>
      <c r="W9" s="18" t="s">
        <v>26</v>
      </c>
      <c r="X9" s="18" t="s">
        <v>26</v>
      </c>
      <c r="Y9" s="18" t="s">
        <v>26</v>
      </c>
    </row>
    <row r="10" spans="2:26" ht="16.5" customHeight="1" thickBot="1" x14ac:dyDescent="0.4">
      <c r="B10" s="29"/>
      <c r="C10" s="29"/>
      <c r="D10" s="2"/>
      <c r="E10" s="2"/>
      <c r="F10" s="2"/>
      <c r="G10" s="2"/>
      <c r="H10" s="2"/>
      <c r="I10" s="2"/>
      <c r="J10" s="2"/>
      <c r="K10" s="2"/>
      <c r="L10" s="2"/>
      <c r="M10" s="2"/>
      <c r="N10" s="2"/>
      <c r="O10" s="2"/>
      <c r="P10" s="27">
        <v>6</v>
      </c>
      <c r="Q10" s="3">
        <v>46093</v>
      </c>
      <c r="R10" s="4">
        <v>6</v>
      </c>
      <c r="S10" s="28">
        <v>46104</v>
      </c>
      <c r="T10" s="205" t="str">
        <f t="shared" si="0"/>
        <v/>
      </c>
      <c r="U10" s="2"/>
      <c r="V10" s="17" t="s">
        <v>36</v>
      </c>
      <c r="W10" s="18" t="s">
        <v>26</v>
      </c>
      <c r="X10" s="18" t="s">
        <v>26</v>
      </c>
      <c r="Y10" s="18" t="s">
        <v>26</v>
      </c>
    </row>
    <row r="11" spans="2:26" ht="19" thickBot="1" x14ac:dyDescent="0.5">
      <c r="B11" s="171" t="s">
        <v>119</v>
      </c>
      <c r="C11" s="172"/>
      <c r="D11" s="2"/>
      <c r="E11" s="169" t="s">
        <v>80</v>
      </c>
      <c r="F11" s="170"/>
      <c r="G11" s="2"/>
      <c r="H11" s="161" t="s">
        <v>128</v>
      </c>
      <c r="I11" s="162"/>
      <c r="J11" s="2"/>
      <c r="K11" s="2"/>
      <c r="L11" s="2"/>
      <c r="M11" s="2"/>
      <c r="N11" s="2"/>
      <c r="O11" s="2"/>
      <c r="P11" s="27">
        <v>7</v>
      </c>
      <c r="Q11" s="3">
        <v>46107</v>
      </c>
      <c r="R11" s="4">
        <v>7</v>
      </c>
      <c r="S11" s="28">
        <v>46119</v>
      </c>
      <c r="T11" s="205" t="str">
        <f t="shared" si="0"/>
        <v/>
      </c>
      <c r="U11" s="2"/>
      <c r="V11" s="17" t="s">
        <v>25</v>
      </c>
      <c r="W11" s="18" t="s">
        <v>26</v>
      </c>
      <c r="X11" s="18" t="s">
        <v>26</v>
      </c>
      <c r="Y11" s="18" t="s">
        <v>26</v>
      </c>
    </row>
    <row r="12" spans="2:26" ht="29" x14ac:dyDescent="0.35">
      <c r="B12" s="30" t="s">
        <v>170</v>
      </c>
      <c r="C12" s="90"/>
      <c r="D12" s="2"/>
      <c r="E12" s="31" t="s">
        <v>79</v>
      </c>
      <c r="F12" s="32">
        <v>24500</v>
      </c>
      <c r="G12" s="2"/>
      <c r="H12" s="33" t="s">
        <v>101</v>
      </c>
      <c r="I12" s="34">
        <f>Roth_401_k__YTD+K401_YTD</f>
        <v>0</v>
      </c>
      <c r="J12" s="2"/>
      <c r="K12" s="2"/>
      <c r="L12" s="2"/>
      <c r="M12" s="2"/>
      <c r="N12" s="2"/>
      <c r="O12" s="2"/>
      <c r="P12" s="27">
        <v>8</v>
      </c>
      <c r="Q12" s="3">
        <v>46121</v>
      </c>
      <c r="R12" s="4">
        <v>8</v>
      </c>
      <c r="S12" s="28">
        <v>46134</v>
      </c>
      <c r="T12" s="205" t="str">
        <f t="shared" si="0"/>
        <v/>
      </c>
      <c r="U12" s="2"/>
      <c r="V12" s="17" t="s">
        <v>19</v>
      </c>
      <c r="W12" s="18" t="s">
        <v>26</v>
      </c>
      <c r="X12" s="18" t="s">
        <v>26</v>
      </c>
      <c r="Y12" s="18" t="s">
        <v>26</v>
      </c>
    </row>
    <row r="13" spans="2:26" ht="27.5" customHeight="1" x14ac:dyDescent="0.35">
      <c r="B13" s="35" t="s">
        <v>94</v>
      </c>
      <c r="C13" s="100" t="str">
        <f>IF(Age_AsOf_Date="","",DATEDIF(Age_AsOf_Date, DATE(YEAR($R$3), 12, 31), "Y"))</f>
        <v/>
      </c>
      <c r="D13" s="2"/>
      <c r="E13" s="33" t="s">
        <v>132</v>
      </c>
      <c r="F13" s="34">
        <v>8000</v>
      </c>
      <c r="G13" s="2"/>
      <c r="H13" s="33" t="s">
        <v>136</v>
      </c>
      <c r="I13" s="34">
        <f>Match_YTD</f>
        <v>0</v>
      </c>
      <c r="J13" s="2"/>
      <c r="K13" s="36"/>
      <c r="L13" s="36"/>
      <c r="M13" s="2"/>
      <c r="N13" s="2"/>
      <c r="O13" s="2"/>
      <c r="P13" s="27">
        <v>9</v>
      </c>
      <c r="Q13" s="3">
        <v>46135</v>
      </c>
      <c r="R13" s="4">
        <v>9</v>
      </c>
      <c r="S13" s="28">
        <v>46149</v>
      </c>
      <c r="T13" s="205" t="str">
        <f t="shared" si="0"/>
        <v/>
      </c>
      <c r="U13" s="2"/>
      <c r="V13" s="17" t="s">
        <v>34</v>
      </c>
      <c r="W13" s="18" t="s">
        <v>26</v>
      </c>
      <c r="X13" s="18" t="s">
        <v>26</v>
      </c>
      <c r="Y13" s="18" t="s">
        <v>26</v>
      </c>
    </row>
    <row r="14" spans="2:26" ht="28" thickBot="1" x14ac:dyDescent="0.4">
      <c r="B14" s="37" t="s">
        <v>6</v>
      </c>
      <c r="C14" s="91">
        <v>0</v>
      </c>
      <c r="D14" s="2"/>
      <c r="E14" s="33" t="s">
        <v>78</v>
      </c>
      <c r="F14" s="34">
        <v>11250</v>
      </c>
      <c r="G14" s="2"/>
      <c r="H14" s="33" t="s">
        <v>135</v>
      </c>
      <c r="I14" s="34">
        <f>Current_AT_415C_YTD</f>
        <v>0</v>
      </c>
      <c r="J14" s="2"/>
      <c r="K14" s="2"/>
      <c r="L14" s="2"/>
      <c r="M14" s="2"/>
      <c r="N14" s="2"/>
      <c r="O14" s="2"/>
      <c r="P14" s="27">
        <v>10</v>
      </c>
      <c r="Q14" s="3">
        <v>46149</v>
      </c>
      <c r="R14" s="4">
        <v>10</v>
      </c>
      <c r="S14" s="28">
        <v>46162</v>
      </c>
      <c r="T14" s="205" t="str">
        <f t="shared" si="0"/>
        <v/>
      </c>
      <c r="U14" s="2"/>
      <c r="V14" s="17" t="s">
        <v>24</v>
      </c>
      <c r="W14" s="18" t="s">
        <v>26</v>
      </c>
      <c r="X14" s="18" t="s">
        <v>26</v>
      </c>
      <c r="Y14" s="18" t="s">
        <v>26</v>
      </c>
    </row>
    <row r="15" spans="2:26" ht="41" thickBot="1" x14ac:dyDescent="0.4">
      <c r="B15" s="38" t="s">
        <v>12</v>
      </c>
      <c r="C15" s="92" t="s">
        <v>51</v>
      </c>
      <c r="D15" s="2"/>
      <c r="E15" s="33" t="s">
        <v>138</v>
      </c>
      <c r="F15" s="34">
        <v>72000</v>
      </c>
      <c r="G15" s="2"/>
      <c r="H15" s="67" t="s">
        <v>134</v>
      </c>
      <c r="I15" s="131">
        <f>SUM($C$19:$C$23)</f>
        <v>0</v>
      </c>
      <c r="J15" s="2"/>
      <c r="K15" s="2"/>
      <c r="L15" s="2"/>
      <c r="M15" s="2"/>
      <c r="N15" s="2"/>
      <c r="O15" s="2"/>
      <c r="P15" s="27">
        <v>11</v>
      </c>
      <c r="Q15" s="3">
        <v>46162</v>
      </c>
      <c r="R15" s="4">
        <v>11</v>
      </c>
      <c r="S15" s="28">
        <v>46178</v>
      </c>
      <c r="T15" s="205" t="str">
        <f t="shared" si="0"/>
        <v/>
      </c>
      <c r="U15" s="2"/>
      <c r="V15" s="17" t="s">
        <v>20</v>
      </c>
      <c r="W15" s="18" t="s">
        <v>26</v>
      </c>
      <c r="X15" s="18" t="s">
        <v>26</v>
      </c>
      <c r="Y15" s="18" t="s">
        <v>26</v>
      </c>
    </row>
    <row r="16" spans="2:26" ht="41" thickBot="1" x14ac:dyDescent="0.4">
      <c r="B16" s="135" t="s">
        <v>140</v>
      </c>
      <c r="C16" s="39">
        <f>IF($C$15="Bi-Weekly",
   COUNTIFS($Q$5:$Q$35,"&gt;="&amp;$P$3,$Q$5:$Q$35,"&lt;="&amp;$R$3),
IF($C$15="Semi-Monthly",
   COUNTIFS($S$5:$S$35,"&gt;="&amp;$P$3,$S$5:$S$35,"&lt;="&amp;$R$3),
0))</f>
        <v>0</v>
      </c>
      <c r="D16" s="2"/>
      <c r="E16" s="48" t="s">
        <v>133</v>
      </c>
      <c r="F16" s="40">
        <v>360000</v>
      </c>
      <c r="G16" s="2"/>
      <c r="H16" s="33" t="s">
        <v>90</v>
      </c>
      <c r="I16" s="32">
        <f>MAX(0,F12-I12)</f>
        <v>24500</v>
      </c>
      <c r="J16" s="2"/>
      <c r="K16" s="2"/>
      <c r="L16" s="2"/>
      <c r="M16" s="2"/>
      <c r="N16" s="2"/>
      <c r="O16" s="2"/>
      <c r="P16" s="27">
        <v>12</v>
      </c>
      <c r="Q16" s="3">
        <v>46177</v>
      </c>
      <c r="R16" s="4">
        <v>12</v>
      </c>
      <c r="S16" s="28">
        <v>46195</v>
      </c>
      <c r="T16" s="205" t="str">
        <f t="shared" si="0"/>
        <v/>
      </c>
      <c r="U16" s="2"/>
      <c r="V16" s="17" t="s">
        <v>21</v>
      </c>
      <c r="W16" s="18" t="s">
        <v>26</v>
      </c>
      <c r="X16" s="18" t="s">
        <v>26</v>
      </c>
      <c r="Y16" s="18" t="s">
        <v>26</v>
      </c>
    </row>
    <row r="17" spans="2:30" ht="28" thickBot="1" x14ac:dyDescent="0.4">
      <c r="B17" s="2"/>
      <c r="C17" s="2"/>
      <c r="D17" s="2"/>
      <c r="E17" s="2"/>
      <c r="F17" s="2"/>
      <c r="G17" s="2"/>
      <c r="H17" s="33" t="s">
        <v>102</v>
      </c>
      <c r="I17" s="34">
        <f>MAX(0,F18-MAX(0,MIN(I12-F12,F18)))</f>
        <v>8000</v>
      </c>
      <c r="J17" s="2"/>
      <c r="K17" s="2"/>
      <c r="L17" s="2"/>
      <c r="M17" s="2"/>
      <c r="N17" s="2"/>
      <c r="O17" s="2"/>
      <c r="P17" s="27">
        <v>13</v>
      </c>
      <c r="Q17" s="3">
        <v>46190</v>
      </c>
      <c r="R17" s="4">
        <v>13</v>
      </c>
      <c r="S17" s="28">
        <v>46210</v>
      </c>
      <c r="T17" s="205" t="str">
        <f t="shared" si="0"/>
        <v/>
      </c>
      <c r="U17" s="2"/>
      <c r="V17" s="17" t="s">
        <v>39</v>
      </c>
      <c r="W17" s="18" t="s">
        <v>26</v>
      </c>
      <c r="X17" s="18" t="s">
        <v>26</v>
      </c>
      <c r="Y17" s="18" t="s">
        <v>26</v>
      </c>
    </row>
    <row r="18" spans="2:30" ht="41" thickBot="1" x14ac:dyDescent="0.5">
      <c r="B18" s="194" t="s">
        <v>120</v>
      </c>
      <c r="C18" s="195"/>
      <c r="D18" s="2"/>
      <c r="E18" s="132" t="s">
        <v>126</v>
      </c>
      <c r="F18" s="43">
        <f>IF(AND(C13&gt;=60,C13&lt;=63),F14,IF(C13&gt;=50,F13,0))</f>
        <v>8000</v>
      </c>
      <c r="G18" s="2"/>
      <c r="H18" s="33" t="s">
        <v>137</v>
      </c>
      <c r="I18" s="34">
        <f>MAX(0,C_415_Limit-$I$15)</f>
        <v>72000</v>
      </c>
      <c r="J18" s="2"/>
      <c r="K18" s="2"/>
      <c r="L18" s="2"/>
      <c r="M18" s="2"/>
      <c r="N18" s="2"/>
      <c r="O18" s="2"/>
      <c r="P18" s="27">
        <v>14</v>
      </c>
      <c r="Q18" s="3">
        <v>46204</v>
      </c>
      <c r="R18" s="4">
        <v>14</v>
      </c>
      <c r="S18" s="28">
        <v>46226</v>
      </c>
      <c r="T18" s="205" t="str">
        <f t="shared" si="0"/>
        <v/>
      </c>
      <c r="U18" s="2"/>
      <c r="V18" s="17" t="s">
        <v>33</v>
      </c>
      <c r="W18" s="18" t="s">
        <v>26</v>
      </c>
      <c r="X18" s="18" t="s">
        <v>26</v>
      </c>
      <c r="Y18" s="18" t="s">
        <v>26</v>
      </c>
    </row>
    <row r="19" spans="2:30" x14ac:dyDescent="0.35">
      <c r="B19" s="56" t="s">
        <v>0</v>
      </c>
      <c r="C19" s="121">
        <v>0</v>
      </c>
      <c r="D19" s="2"/>
      <c r="E19" s="41" t="s">
        <v>5</v>
      </c>
      <c r="F19" s="34">
        <f>F12+F18</f>
        <v>32500</v>
      </c>
      <c r="G19" s="2"/>
      <c r="H19" s="41" t="s">
        <v>88</v>
      </c>
      <c r="I19" s="42" t="str">
        <f>IF(AND(AgeAsOf&gt;=50, W2_Box3&gt;150000), "YES", "NO")</f>
        <v>NO</v>
      </c>
      <c r="J19" s="2"/>
      <c r="K19" s="2"/>
      <c r="L19" s="2"/>
      <c r="M19" s="2"/>
      <c r="N19" s="2"/>
      <c r="O19" s="2"/>
      <c r="P19" s="27">
        <v>15</v>
      </c>
      <c r="Q19" s="3">
        <v>46219</v>
      </c>
      <c r="R19" s="4">
        <v>15</v>
      </c>
      <c r="S19" s="28">
        <v>46240</v>
      </c>
      <c r="T19" s="205" t="str">
        <f t="shared" si="0"/>
        <v/>
      </c>
      <c r="U19" s="2"/>
      <c r="V19" s="17" t="s">
        <v>30</v>
      </c>
      <c r="W19" s="18" t="s">
        <v>26</v>
      </c>
      <c r="X19" s="18" t="s">
        <v>26</v>
      </c>
      <c r="Y19" s="18" t="s">
        <v>26</v>
      </c>
    </row>
    <row r="20" spans="2:30" ht="29.5" thickBot="1" x14ac:dyDescent="0.4">
      <c r="B20" s="46" t="s">
        <v>1</v>
      </c>
      <c r="C20" s="91">
        <v>0</v>
      </c>
      <c r="D20" s="2"/>
      <c r="E20" s="33" t="s">
        <v>77</v>
      </c>
      <c r="F20" s="47" t="str">
        <f>IF(AgeAsOf&lt;50,
    "Not eligible for catch-up",
    IF(W2_Box3&gt;150000,
       "YES — catch-up must be Roth",
       "NO — catch-up optional pre-tax/Roth"
    )
)</f>
        <v>NO — catch-up optional pre-tax/Roth</v>
      </c>
      <c r="G20" s="2"/>
      <c r="H20" s="133" t="s">
        <v>127</v>
      </c>
      <c r="I20" s="45">
        <f>MAX(0,Match_AnnualCap-ER_Match_YTD)</f>
        <v>2100</v>
      </c>
      <c r="J20" s="2"/>
      <c r="K20" s="2"/>
      <c r="L20" s="2"/>
      <c r="M20" s="2"/>
      <c r="N20" s="2"/>
      <c r="O20" s="2"/>
      <c r="P20" s="27">
        <v>16</v>
      </c>
      <c r="Q20" s="3">
        <v>46233</v>
      </c>
      <c r="R20" s="4">
        <v>16</v>
      </c>
      <c r="S20" s="28">
        <v>46255</v>
      </c>
      <c r="T20" s="205" t="str">
        <f t="shared" si="0"/>
        <v/>
      </c>
      <c r="U20" s="2"/>
      <c r="V20" s="17" t="s">
        <v>37</v>
      </c>
      <c r="W20" s="18" t="s">
        <v>26</v>
      </c>
      <c r="X20" s="18" t="s">
        <v>26</v>
      </c>
      <c r="Y20" s="18" t="s">
        <v>26</v>
      </c>
    </row>
    <row r="21" spans="2:30" ht="34" customHeight="1" thickBot="1" x14ac:dyDescent="0.4">
      <c r="B21" s="46" t="s">
        <v>2</v>
      </c>
      <c r="C21" s="91">
        <v>0</v>
      </c>
      <c r="D21" s="2"/>
      <c r="E21" s="48" t="s">
        <v>76</v>
      </c>
      <c r="F21" s="49" t="str">
        <f>IF(AgeAsOf&lt;50,
    "Not required",
    IF(W2_Box3&gt;150000,
       "YES — catch-up must be Roth",
       "NO — catch-up optional pre-tax/Roth"
    )
)</f>
        <v>NO — catch-up optional pre-tax/Roth</v>
      </c>
      <c r="G21" s="2"/>
      <c r="H21" s="2"/>
      <c r="I21" s="2"/>
      <c r="J21" s="2"/>
      <c r="K21" s="2"/>
      <c r="L21" s="2"/>
      <c r="M21" s="2"/>
      <c r="N21" s="2"/>
      <c r="O21" s="2"/>
      <c r="P21" s="27">
        <v>17</v>
      </c>
      <c r="Q21" s="3">
        <v>46247</v>
      </c>
      <c r="R21" s="4">
        <v>17</v>
      </c>
      <c r="S21" s="28">
        <v>46269</v>
      </c>
      <c r="T21" s="205" t="str">
        <f t="shared" si="0"/>
        <v/>
      </c>
      <c r="U21" s="2"/>
      <c r="V21" s="17" t="s">
        <v>31</v>
      </c>
      <c r="W21" s="18" t="s">
        <v>26</v>
      </c>
      <c r="X21" s="18" t="s">
        <v>26</v>
      </c>
      <c r="Y21" s="18" t="s">
        <v>26</v>
      </c>
    </row>
    <row r="22" spans="2:30" ht="23.5" customHeight="1" thickBot="1" x14ac:dyDescent="0.4">
      <c r="B22" s="46" t="s">
        <v>3</v>
      </c>
      <c r="C22" s="91">
        <v>0</v>
      </c>
      <c r="D22" s="2"/>
      <c r="E22" s="2"/>
      <c r="F22" s="2"/>
      <c r="G22" s="2"/>
      <c r="H22" s="2"/>
      <c r="I22" s="2"/>
      <c r="J22" s="2"/>
      <c r="K22" s="2"/>
      <c r="L22" s="2"/>
      <c r="M22" s="2"/>
      <c r="N22" s="2"/>
      <c r="O22" s="2"/>
      <c r="P22" s="27">
        <v>18</v>
      </c>
      <c r="Q22" s="3">
        <v>46261</v>
      </c>
      <c r="R22" s="4">
        <v>18</v>
      </c>
      <c r="S22" s="28">
        <v>46287</v>
      </c>
      <c r="T22" s="205" t="str">
        <f t="shared" si="0"/>
        <v/>
      </c>
      <c r="U22" s="2"/>
      <c r="V22" s="17" t="s">
        <v>22</v>
      </c>
      <c r="W22" s="18" t="s">
        <v>26</v>
      </c>
      <c r="X22" s="18" t="s">
        <v>26</v>
      </c>
      <c r="Y22" s="18" t="s">
        <v>26</v>
      </c>
    </row>
    <row r="23" spans="2:30" ht="32.5" customHeight="1" thickBot="1" x14ac:dyDescent="0.4">
      <c r="B23" s="50" t="s">
        <v>13</v>
      </c>
      <c r="C23" s="93">
        <v>0</v>
      </c>
      <c r="D23" s="2"/>
      <c r="E23" s="196" t="s">
        <v>98</v>
      </c>
      <c r="F23" s="197"/>
      <c r="G23" s="2"/>
      <c r="H23" s="183" t="s">
        <v>167</v>
      </c>
      <c r="I23" s="184"/>
      <c r="J23" s="2"/>
      <c r="K23" s="2"/>
      <c r="L23" s="2"/>
      <c r="M23" s="2"/>
      <c r="N23" s="2"/>
      <c r="O23" s="2"/>
      <c r="P23" s="27">
        <v>19</v>
      </c>
      <c r="Q23" s="3">
        <v>46275</v>
      </c>
      <c r="R23" s="4">
        <v>19</v>
      </c>
      <c r="S23" s="28">
        <v>46301</v>
      </c>
      <c r="T23" s="205" t="str">
        <f t="shared" si="0"/>
        <v/>
      </c>
      <c r="U23" s="2"/>
      <c r="V23" s="17" t="s">
        <v>32</v>
      </c>
      <c r="W23" s="18" t="s">
        <v>26</v>
      </c>
      <c r="X23" s="18" t="s">
        <v>26</v>
      </c>
      <c r="Y23" s="18" t="s">
        <v>26</v>
      </c>
    </row>
    <row r="24" spans="2:30" ht="15" thickBot="1" x14ac:dyDescent="0.4">
      <c r="B24" s="2"/>
      <c r="C24" s="2"/>
      <c r="D24" s="2"/>
      <c r="E24" s="51" t="s">
        <v>54</v>
      </c>
      <c r="F24" s="52">
        <f>C47</f>
        <v>0</v>
      </c>
      <c r="G24" s="2"/>
      <c r="H24" s="130" t="s">
        <v>93</v>
      </c>
      <c r="I24" s="58">
        <f>$U$53</f>
        <v>0</v>
      </c>
      <c r="J24" s="2"/>
      <c r="K24" s="2"/>
      <c r="L24" s="2"/>
      <c r="M24" s="2"/>
      <c r="N24" s="2"/>
      <c r="O24" s="2"/>
      <c r="P24" s="27">
        <v>20</v>
      </c>
      <c r="Q24" s="3">
        <v>46289</v>
      </c>
      <c r="R24" s="4">
        <v>20</v>
      </c>
      <c r="S24" s="28">
        <v>46317</v>
      </c>
      <c r="T24" s="205" t="str">
        <f t="shared" si="0"/>
        <v/>
      </c>
      <c r="U24" s="2"/>
      <c r="V24" s="17" t="s">
        <v>46</v>
      </c>
      <c r="W24" s="18" t="s">
        <v>27</v>
      </c>
      <c r="X24" s="18" t="s">
        <v>27</v>
      </c>
      <c r="Y24" s="18" t="s">
        <v>27</v>
      </c>
    </row>
    <row r="25" spans="2:30" ht="19" thickBot="1" x14ac:dyDescent="0.5">
      <c r="B25" s="171" t="s">
        <v>121</v>
      </c>
      <c r="C25" s="172"/>
      <c r="D25" s="2"/>
      <c r="E25" s="54" t="s">
        <v>55</v>
      </c>
      <c r="F25" s="55">
        <f>C48</f>
        <v>0</v>
      </c>
      <c r="G25" s="2"/>
      <c r="H25" s="53" t="s">
        <v>157</v>
      </c>
      <c r="I25" s="143">
        <f>$U$56</f>
        <v>0</v>
      </c>
      <c r="J25" s="2"/>
      <c r="K25" s="2"/>
      <c r="L25" s="2"/>
      <c r="M25" s="2"/>
      <c r="N25" s="2"/>
      <c r="O25" s="2"/>
      <c r="P25" s="27">
        <v>21</v>
      </c>
      <c r="Q25" s="3">
        <v>46302</v>
      </c>
      <c r="R25" s="4">
        <v>21</v>
      </c>
      <c r="S25" s="28">
        <v>46331</v>
      </c>
      <c r="T25" s="205" t="str">
        <f t="shared" si="0"/>
        <v/>
      </c>
      <c r="U25" s="2"/>
      <c r="V25" s="17" t="s">
        <v>42</v>
      </c>
      <c r="W25" s="18" t="s">
        <v>27</v>
      </c>
      <c r="X25" s="18" t="s">
        <v>27</v>
      </c>
      <c r="Y25" s="18" t="s">
        <v>27</v>
      </c>
    </row>
    <row r="26" spans="2:30" ht="15" thickBot="1" x14ac:dyDescent="0.4">
      <c r="B26" s="56" t="s">
        <v>56</v>
      </c>
      <c r="C26" s="94">
        <v>0.01</v>
      </c>
      <c r="D26" s="2"/>
      <c r="E26" s="57" t="s">
        <v>81</v>
      </c>
      <c r="F26" s="58">
        <f>Current_PreTax_Pct*Gross_Per_Pay</f>
        <v>0</v>
      </c>
      <c r="G26" s="2"/>
      <c r="H26" s="44" t="s">
        <v>159</v>
      </c>
      <c r="I26" s="58">
        <f>$U$54</f>
        <v>0</v>
      </c>
      <c r="J26" s="136"/>
      <c r="K26" s="2"/>
      <c r="L26" s="2"/>
      <c r="M26" s="2"/>
      <c r="N26" s="2"/>
      <c r="O26" s="2"/>
      <c r="P26" s="27">
        <v>22</v>
      </c>
      <c r="Q26" s="3">
        <v>46317</v>
      </c>
      <c r="R26" s="4">
        <v>22</v>
      </c>
      <c r="S26" s="28">
        <v>46344</v>
      </c>
      <c r="T26" s="205" t="str">
        <f t="shared" si="0"/>
        <v/>
      </c>
      <c r="U26" s="2"/>
      <c r="V26" s="17" t="s">
        <v>41</v>
      </c>
      <c r="W26" s="18" t="s">
        <v>27</v>
      </c>
      <c r="X26" s="18" t="s">
        <v>27</v>
      </c>
      <c r="Y26" s="18" t="s">
        <v>27</v>
      </c>
    </row>
    <row r="27" spans="2:30" ht="15" thickBot="1" x14ac:dyDescent="0.4">
      <c r="B27" s="56" t="s">
        <v>57</v>
      </c>
      <c r="C27" s="94">
        <v>0</v>
      </c>
      <c r="D27" s="2"/>
      <c r="E27" s="59" t="s">
        <v>82</v>
      </c>
      <c r="F27" s="60">
        <f>Current_Roth_Pct*Gross_Per_Pay</f>
        <v>0</v>
      </c>
      <c r="G27" s="2"/>
      <c r="H27" s="53" t="s">
        <v>60</v>
      </c>
      <c r="I27" s="143">
        <f>$U$57</f>
        <v>0</v>
      </c>
      <c r="J27" s="2"/>
      <c r="K27" s="2"/>
      <c r="L27" s="2"/>
      <c r="M27" s="2"/>
      <c r="N27" s="2"/>
      <c r="O27" s="2"/>
      <c r="P27" s="27">
        <v>23</v>
      </c>
      <c r="Q27" s="3">
        <v>46331</v>
      </c>
      <c r="R27" s="4">
        <v>23</v>
      </c>
      <c r="S27" s="28">
        <v>46363</v>
      </c>
      <c r="T27" s="205" t="str">
        <f t="shared" si="0"/>
        <v/>
      </c>
      <c r="U27" s="2"/>
      <c r="V27" s="17" t="s">
        <v>43</v>
      </c>
      <c r="W27" s="18" t="s">
        <v>27</v>
      </c>
      <c r="X27" s="18" t="s">
        <v>27</v>
      </c>
      <c r="Y27" s="18" t="s">
        <v>27</v>
      </c>
    </row>
    <row r="28" spans="2:30" ht="15" thickBot="1" x14ac:dyDescent="0.4">
      <c r="B28" s="61" t="s">
        <v>58</v>
      </c>
      <c r="C28" s="95">
        <v>0</v>
      </c>
      <c r="D28" s="2"/>
      <c r="E28" s="62" t="s">
        <v>52</v>
      </c>
      <c r="F28" s="63">
        <f>IF($C$16&lt;&gt;"",$F$26*$C$16,0)</f>
        <v>0</v>
      </c>
      <c r="G28" s="2"/>
      <c r="H28" s="2"/>
      <c r="I28" s="147">
        <f>$I$25+$I$27</f>
        <v>0</v>
      </c>
      <c r="J28" s="2"/>
      <c r="K28" s="2"/>
      <c r="L28" s="2"/>
      <c r="M28" s="2"/>
      <c r="N28" s="2"/>
      <c r="O28" s="2"/>
      <c r="P28" s="27">
        <v>24</v>
      </c>
      <c r="Q28" s="3">
        <v>46345</v>
      </c>
      <c r="R28" s="4">
        <v>24</v>
      </c>
      <c r="S28" s="28">
        <v>46378</v>
      </c>
      <c r="T28" s="205" t="str">
        <f t="shared" si="0"/>
        <v/>
      </c>
      <c r="U28" s="2"/>
      <c r="V28" s="17" t="s">
        <v>44</v>
      </c>
      <c r="W28" s="18" t="s">
        <v>27</v>
      </c>
      <c r="X28" s="18" t="s">
        <v>27</v>
      </c>
      <c r="Y28" s="18" t="s">
        <v>27</v>
      </c>
    </row>
    <row r="29" spans="2:30" ht="15" thickBot="1" x14ac:dyDescent="0.4">
      <c r="B29" s="2"/>
      <c r="C29" s="2"/>
      <c r="D29" s="2"/>
      <c r="E29" s="64" t="s">
        <v>53</v>
      </c>
      <c r="F29" s="55">
        <f>IF($C$16&lt;&gt;"",$F$27*$C$16,0)</f>
        <v>0</v>
      </c>
      <c r="G29" s="2"/>
      <c r="J29" s="2"/>
      <c r="K29" s="2"/>
      <c r="L29" s="2"/>
      <c r="M29" s="2"/>
      <c r="N29" s="2"/>
      <c r="O29" s="2"/>
      <c r="P29" s="27">
        <v>25</v>
      </c>
      <c r="Q29" s="3">
        <v>46359</v>
      </c>
      <c r="R29" s="4"/>
      <c r="S29" s="28"/>
      <c r="T29" s="205" t="str">
        <f t="shared" si="0"/>
        <v/>
      </c>
      <c r="U29" s="2"/>
      <c r="V29" s="17" t="s">
        <v>45</v>
      </c>
      <c r="W29" s="18" t="s">
        <v>27</v>
      </c>
      <c r="X29" s="18" t="s">
        <v>27</v>
      </c>
      <c r="Y29" s="18" t="s">
        <v>27</v>
      </c>
    </row>
    <row r="30" spans="2:30" ht="32.5" thickBot="1" x14ac:dyDescent="0.5">
      <c r="B30" s="161" t="s">
        <v>62</v>
      </c>
      <c r="C30" s="162"/>
      <c r="D30" s="2"/>
      <c r="E30" s="65" t="s">
        <v>84</v>
      </c>
      <c r="F30" s="66">
        <f>SUM(F28:F29)</f>
        <v>0</v>
      </c>
      <c r="G30" s="2"/>
      <c r="H30" s="169" t="s">
        <v>166</v>
      </c>
      <c r="I30" s="170"/>
      <c r="J30" s="2"/>
      <c r="K30" s="2"/>
      <c r="L30" s="2"/>
      <c r="M30" s="2"/>
      <c r="N30" s="2"/>
      <c r="O30" s="2"/>
      <c r="P30" s="68">
        <v>26</v>
      </c>
      <c r="Q30" s="204">
        <v>46372</v>
      </c>
      <c r="R30" s="69"/>
      <c r="S30" s="70"/>
      <c r="T30" s="205" t="str">
        <f t="shared" si="0"/>
        <v/>
      </c>
      <c r="U30" s="2"/>
      <c r="V30" s="17" t="s">
        <v>51</v>
      </c>
      <c r="W30" s="18" t="s">
        <v>27</v>
      </c>
      <c r="X30" s="18" t="s">
        <v>27</v>
      </c>
      <c r="Y30" s="18" t="s">
        <v>27</v>
      </c>
    </row>
    <row r="31" spans="2:30" ht="29" x14ac:dyDescent="0.35">
      <c r="B31" s="31" t="s">
        <v>95</v>
      </c>
      <c r="C31" s="71">
        <v>2.5000000000000001E-2</v>
      </c>
      <c r="D31" s="2"/>
      <c r="E31" s="72" t="s">
        <v>65</v>
      </c>
      <c r="F31" s="73">
        <f>IF(Eligible_Comp_Per_Pay &gt; 0,
    (Current_PreTax_Pct + Current_Roth_Pct),
    0)</f>
        <v>0</v>
      </c>
      <c r="G31" s="2"/>
      <c r="H31" s="144" t="s">
        <v>164</v>
      </c>
      <c r="I31" s="148">
        <f>IF($F$12&gt;0,$I$12/$F$12,0)</f>
        <v>0</v>
      </c>
      <c r="J31" s="2"/>
      <c r="K31" s="2"/>
      <c r="L31" s="2"/>
      <c r="M31" s="2"/>
      <c r="N31" s="2"/>
      <c r="O31" s="2"/>
      <c r="P31" s="13"/>
      <c r="Q31" s="12"/>
      <c r="R31" s="13"/>
      <c r="S31" s="12"/>
      <c r="T31" s="2"/>
      <c r="U31" s="2"/>
      <c r="W31" s="18" t="s">
        <v>27</v>
      </c>
      <c r="X31" s="18" t="s">
        <v>27</v>
      </c>
      <c r="Y31" s="18" t="s">
        <v>27</v>
      </c>
    </row>
    <row r="32" spans="2:30" ht="29.5" thickBot="1" x14ac:dyDescent="0.4">
      <c r="B32" s="31" t="s">
        <v>63</v>
      </c>
      <c r="C32" s="71">
        <v>0.05</v>
      </c>
      <c r="D32" s="2"/>
      <c r="E32" s="126" t="s">
        <v>83</v>
      </c>
      <c r="F32" s="127">
        <f>MIN($F$31,Match_FullRatePct) * (Match_MaxPct / Match_FullRatePct)</f>
        <v>0</v>
      </c>
      <c r="G32" s="2"/>
      <c r="H32" s="149" t="s">
        <v>165</v>
      </c>
      <c r="I32" s="150" t="str">
        <f>IF($U$63&gt;=1, "✅ At limit", IF($U$63&gt;=0.75, "On track", "Behind target"))</f>
        <v>Behind target</v>
      </c>
      <c r="J32" s="2"/>
      <c r="K32" s="2"/>
      <c r="L32" s="2"/>
      <c r="M32" s="2"/>
      <c r="N32" s="2"/>
      <c r="O32" s="2"/>
      <c r="P32" s="13"/>
      <c r="Q32" s="12"/>
      <c r="R32" s="13"/>
      <c r="S32" s="12"/>
      <c r="T32" s="2"/>
      <c r="U32" s="2"/>
      <c r="V32" s="2"/>
      <c r="W32" s="2"/>
      <c r="X32" s="2"/>
      <c r="Y32" s="2"/>
      <c r="Z32" s="2"/>
      <c r="AA32" s="2"/>
      <c r="AB32" s="2"/>
      <c r="AC32" s="2"/>
      <c r="AD32" s="2"/>
    </row>
    <row r="33" spans="2:30" ht="15" thickBot="1" x14ac:dyDescent="0.4">
      <c r="B33" s="44" t="s">
        <v>64</v>
      </c>
      <c r="C33" s="74">
        <v>2100</v>
      </c>
      <c r="D33" s="2"/>
      <c r="E33" s="124" t="s">
        <v>118</v>
      </c>
      <c r="F33" s="125">
        <f>MAX(0, MIN($F$32*Eligible_Comp_Per_Pay, $F$34))</f>
        <v>0</v>
      </c>
      <c r="G33" s="2"/>
      <c r="H33" s="182" t="s">
        <v>91</v>
      </c>
      <c r="I33" s="182"/>
      <c r="J33" s="2"/>
      <c r="K33" s="2"/>
      <c r="L33" s="2"/>
      <c r="M33" s="2"/>
      <c r="N33" s="2"/>
      <c r="O33" s="2"/>
      <c r="P33" s="13"/>
      <c r="Q33" s="12"/>
      <c r="R33" s="13"/>
      <c r="S33" s="12"/>
      <c r="T33" s="2"/>
      <c r="U33" s="2"/>
      <c r="V33" s="2"/>
      <c r="W33" s="2"/>
      <c r="X33" s="2"/>
      <c r="Y33" s="2"/>
      <c r="Z33" s="2"/>
      <c r="AA33" s="2"/>
      <c r="AB33" s="2"/>
      <c r="AC33" s="2"/>
      <c r="AD33" s="2"/>
    </row>
    <row r="34" spans="2:30" ht="15" thickBot="1" x14ac:dyDescent="0.4">
      <c r="B34" s="75"/>
      <c r="C34" s="76"/>
      <c r="D34" s="2"/>
      <c r="E34" s="122" t="s">
        <v>85</v>
      </c>
      <c r="F34" s="123">
        <f>MAX(0, IF($C$16&lt;&gt;"", MIN($F$26*$C$16, 2100), 0) - ER_Match_YTD)</f>
        <v>0</v>
      </c>
      <c r="G34" s="2"/>
      <c r="H34" s="182"/>
      <c r="I34" s="182"/>
      <c r="J34" s="2"/>
      <c r="K34" s="2"/>
      <c r="L34" s="2"/>
      <c r="M34" s="2"/>
      <c r="N34" s="2"/>
      <c r="O34" s="2"/>
      <c r="P34" s="13"/>
      <c r="Q34" s="12"/>
      <c r="R34" s="13"/>
      <c r="S34" s="12"/>
      <c r="T34" s="2"/>
      <c r="U34" s="2"/>
      <c r="V34" s="2"/>
      <c r="W34" s="2"/>
      <c r="X34" s="2"/>
      <c r="Y34" s="2"/>
      <c r="Z34" s="2"/>
      <c r="AA34" s="2"/>
      <c r="AB34" s="2"/>
      <c r="AC34" s="2"/>
      <c r="AD34" s="2"/>
    </row>
    <row r="35" spans="2:30" ht="36" customHeight="1" thickBot="1" x14ac:dyDescent="0.4">
      <c r="B35" s="75"/>
      <c r="C35" s="76"/>
      <c r="D35" s="2"/>
      <c r="E35" s="65" t="s">
        <v>87</v>
      </c>
      <c r="F35" s="66">
        <f>C_415_YTD_Total
+ IF((Current_PreTax_Pct + Current_Roth_Pct)&gt;0,
    ((Current_PreTax_Pct * Gross_Per_Pay) + (Current_Roth_Pct * Gross_Per_Pay)) *
Remaining_Pay_Periods,
    (Recommended_PerPay_PreTax+Recommended_PerPay_Roth) * Remaining_Pay_Periods)
+$F$34</f>
        <v>0</v>
      </c>
      <c r="G35" s="2"/>
      <c r="H35" s="182"/>
      <c r="I35" s="182"/>
      <c r="J35" s="2"/>
      <c r="K35" s="2"/>
      <c r="L35" s="2"/>
      <c r="M35" s="2"/>
      <c r="N35" s="2"/>
      <c r="O35" s="2"/>
      <c r="P35" s="13"/>
      <c r="Q35" s="120"/>
      <c r="R35" s="120"/>
      <c r="S35" s="120"/>
      <c r="T35" s="120"/>
      <c r="U35" s="120"/>
      <c r="V35" s="120"/>
      <c r="W35" s="120"/>
      <c r="X35" s="2"/>
      <c r="Y35" s="2"/>
      <c r="Z35" s="2"/>
      <c r="AA35" s="2"/>
      <c r="AB35" s="2"/>
      <c r="AC35" s="2"/>
      <c r="AD35" s="2"/>
    </row>
    <row r="36" spans="2:30" ht="35" customHeight="1" x14ac:dyDescent="0.45">
      <c r="B36" s="75"/>
      <c r="C36" s="76"/>
      <c r="D36" s="2"/>
      <c r="E36" s="2"/>
      <c r="F36" s="2"/>
      <c r="G36" s="2"/>
      <c r="H36" s="2"/>
      <c r="I36" s="2"/>
      <c r="J36" s="2"/>
      <c r="K36" s="2"/>
      <c r="L36" s="2"/>
      <c r="M36" s="2"/>
      <c r="N36" s="2"/>
      <c r="O36" s="2"/>
      <c r="P36" s="146" t="s">
        <v>141</v>
      </c>
      <c r="Q36" s="120"/>
      <c r="R36" s="120"/>
      <c r="S36" s="120"/>
      <c r="T36" s="120"/>
      <c r="U36" s="120"/>
      <c r="V36" s="120"/>
      <c r="W36" s="120"/>
      <c r="X36" s="2"/>
      <c r="Y36" s="2"/>
      <c r="Z36" s="2"/>
      <c r="AA36" s="2"/>
      <c r="AB36" s="2"/>
      <c r="AC36" s="2"/>
      <c r="AD36" s="2"/>
    </row>
    <row r="37" spans="2:30" ht="16.5" thickBot="1" x14ac:dyDescent="0.4">
      <c r="B37" s="75"/>
      <c r="C37" s="75"/>
      <c r="D37" s="2"/>
      <c r="E37" s="2"/>
      <c r="F37" s="2"/>
      <c r="G37" s="2"/>
      <c r="H37" s="77"/>
      <c r="I37" s="2"/>
      <c r="J37" s="2"/>
      <c r="K37" s="2"/>
      <c r="L37" s="2"/>
      <c r="M37" s="2"/>
      <c r="N37" s="2"/>
      <c r="O37" s="2"/>
      <c r="P37" s="145" t="s">
        <v>142</v>
      </c>
      <c r="Q37" s="145"/>
      <c r="R37" s="145"/>
      <c r="S37" s="145"/>
      <c r="T37" s="145"/>
      <c r="U37" s="145"/>
      <c r="V37" s="145"/>
      <c r="W37"/>
      <c r="X37" s="2"/>
      <c r="Y37" s="2"/>
      <c r="Z37" s="2"/>
      <c r="AA37" s="2"/>
      <c r="AB37" s="2"/>
      <c r="AC37" s="2"/>
      <c r="AD37" s="2"/>
    </row>
    <row r="38" spans="2:30" ht="19" thickBot="1" x14ac:dyDescent="0.5">
      <c r="B38" s="167" t="s">
        <v>122</v>
      </c>
      <c r="C38" s="168"/>
      <c r="D38" s="2"/>
      <c r="E38" s="2"/>
      <c r="F38" s="2"/>
      <c r="G38" s="2"/>
      <c r="H38" s="77"/>
      <c r="I38" s="2"/>
      <c r="J38" s="2"/>
      <c r="K38" s="2"/>
      <c r="L38" s="2"/>
      <c r="M38" s="2"/>
      <c r="N38" s="2"/>
      <c r="O38" s="2"/>
      <c r="P38"/>
      <c r="Q38"/>
      <c r="R38"/>
      <c r="S38"/>
      <c r="T38"/>
      <c r="U38"/>
      <c r="V38"/>
      <c r="W38"/>
      <c r="X38" s="2"/>
      <c r="Y38" s="2"/>
      <c r="Z38" s="2"/>
      <c r="AA38" s="2"/>
      <c r="AB38" s="2"/>
      <c r="AC38" s="2"/>
      <c r="AD38" s="2"/>
    </row>
    <row r="39" spans="2:30" ht="44" thickBot="1" x14ac:dyDescent="0.4">
      <c r="B39" s="129" t="s">
        <v>124</v>
      </c>
      <c r="C39" s="128" t="s">
        <v>123</v>
      </c>
      <c r="D39" s="78"/>
      <c r="E39" s="79" t="s">
        <v>59</v>
      </c>
      <c r="F39" s="80" t="s">
        <v>48</v>
      </c>
      <c r="G39" s="2"/>
      <c r="H39" s="77"/>
      <c r="I39" s="2"/>
      <c r="J39" s="2"/>
      <c r="K39" s="2"/>
      <c r="L39" s="2"/>
      <c r="M39" s="2"/>
      <c r="N39" s="2"/>
      <c r="O39" s="2"/>
      <c r="P39" s="137" t="s">
        <v>143</v>
      </c>
      <c r="Q39" s="138">
        <f>Remaining_Pay_Periods</f>
        <v>0</v>
      </c>
      <c r="R39" s="138"/>
      <c r="S39" s="138"/>
      <c r="T39" s="138"/>
      <c r="U39" s="138"/>
      <c r="V39" s="138"/>
      <c r="W39" s="138"/>
      <c r="X39" s="2"/>
      <c r="Y39" s="2"/>
      <c r="Z39" s="2"/>
      <c r="AA39" s="2"/>
      <c r="AB39" s="2"/>
      <c r="AC39" s="2"/>
      <c r="AD39" s="2"/>
    </row>
    <row r="40" spans="2:30" ht="43.5" x14ac:dyDescent="0.35">
      <c r="B40" s="98" t="s">
        <v>51</v>
      </c>
      <c r="C40" s="96">
        <v>0</v>
      </c>
      <c r="D40" s="198" t="str">
        <f>IF($B40&lt;&gt;"",_xlfn.XLOOKUP($B40,EligibleComp[Compensation Type],EligibleComp[Is this Eligible Compensation in Plan?],"",0),"")</f>
        <v>NO</v>
      </c>
      <c r="E40" s="199"/>
      <c r="F40" s="81" t="str">
        <f>IF($B40&lt;&gt;"",_xlfn.XLOOKUP($B40,EligibleComp[Compensation Type],EligibleComp[Eligible for Employer Match],"",0),"")</f>
        <v>NO</v>
      </c>
      <c r="G40" s="2"/>
      <c r="H40" s="77"/>
      <c r="I40" s="2"/>
      <c r="J40" s="2"/>
      <c r="K40" s="2"/>
      <c r="L40" s="2"/>
      <c r="M40" s="2"/>
      <c r="N40" s="2"/>
      <c r="O40" s="2"/>
      <c r="P40" s="137" t="s">
        <v>144</v>
      </c>
      <c r="Q40" s="139">
        <f>Eligible_Comp_Per_Pay</f>
        <v>0</v>
      </c>
      <c r="R40" s="138"/>
      <c r="S40" s="138"/>
      <c r="T40" s="138"/>
      <c r="U40" s="138"/>
      <c r="V40" s="138"/>
      <c r="W40" s="138"/>
      <c r="X40" s="2"/>
      <c r="Y40" s="2"/>
      <c r="Z40" s="2"/>
      <c r="AA40" s="2"/>
      <c r="AB40" s="2"/>
      <c r="AC40" s="2"/>
      <c r="AD40" s="2"/>
    </row>
    <row r="41" spans="2:30" ht="29" x14ac:dyDescent="0.35">
      <c r="B41" s="98" t="s">
        <v>51</v>
      </c>
      <c r="C41" s="96">
        <v>0</v>
      </c>
      <c r="D41" s="173" t="str">
        <f>IF($B41&lt;&gt;"",_xlfn.XLOOKUP($B41,EligibleComp[Compensation Type],EligibleComp[Is this Eligible Compensation in Plan?],"",0),"")</f>
        <v>NO</v>
      </c>
      <c r="E41" s="174"/>
      <c r="F41" s="82" t="str">
        <f>IF($B41&lt;&gt;"",_xlfn.XLOOKUP($B41,EligibleComp[Compensation Type],EligibleComp[Eligible for Employer Match],"",0),"")</f>
        <v>NO</v>
      </c>
      <c r="G41" s="2"/>
      <c r="H41" s="77"/>
      <c r="I41" s="2"/>
      <c r="J41" s="2"/>
      <c r="K41" s="2"/>
      <c r="L41" s="2"/>
      <c r="M41" s="2"/>
      <c r="N41" s="2"/>
      <c r="O41" s="2"/>
      <c r="P41" s="137" t="s">
        <v>145</v>
      </c>
      <c r="Q41" s="140">
        <f>Current_PreTax_Pct</f>
        <v>0.01</v>
      </c>
      <c r="R41" s="138"/>
      <c r="S41" s="138"/>
      <c r="T41" s="138"/>
      <c r="U41" s="138"/>
      <c r="V41" s="138"/>
      <c r="W41" s="138"/>
      <c r="X41" s="2"/>
      <c r="Y41" s="2"/>
      <c r="Z41" s="2"/>
      <c r="AA41" s="2"/>
      <c r="AB41" s="2"/>
      <c r="AC41" s="2"/>
      <c r="AD41" s="2"/>
    </row>
    <row r="42" spans="2:30" ht="29" x14ac:dyDescent="0.35">
      <c r="B42" s="98" t="s">
        <v>51</v>
      </c>
      <c r="C42" s="96">
        <v>0</v>
      </c>
      <c r="D42" s="173" t="str">
        <f>IF($B42&lt;&gt;"",_xlfn.XLOOKUP($B42,EligibleComp[Compensation Type],EligibleComp[Is this Eligible Compensation in Plan?],"",0),"")</f>
        <v>NO</v>
      </c>
      <c r="E42" s="174"/>
      <c r="F42" s="82" t="str">
        <f>IF($B42&lt;&gt;"",_xlfn.XLOOKUP($B42,EligibleComp[Compensation Type],EligibleComp[Eligible for Employer Match],"",0),"")</f>
        <v>NO</v>
      </c>
      <c r="G42" s="2"/>
      <c r="H42" s="77"/>
      <c r="I42" s="2"/>
      <c r="J42" s="2"/>
      <c r="K42" s="2"/>
      <c r="L42" s="2"/>
      <c r="M42" s="2"/>
      <c r="N42" s="2"/>
      <c r="O42" s="2"/>
      <c r="P42" s="137" t="s">
        <v>146</v>
      </c>
      <c r="Q42" s="140">
        <f>Current_Roth_Pct</f>
        <v>0</v>
      </c>
      <c r="R42" s="138"/>
      <c r="S42" s="138"/>
      <c r="T42" s="138"/>
      <c r="U42" s="138"/>
      <c r="V42" s="138"/>
      <c r="W42" s="138"/>
      <c r="X42" s="2"/>
      <c r="Y42" s="2"/>
      <c r="Z42" s="2"/>
      <c r="AA42" s="2"/>
      <c r="AB42" s="2"/>
      <c r="AC42" s="2"/>
      <c r="AD42" s="2"/>
    </row>
    <row r="43" spans="2:30" ht="43.5" x14ac:dyDescent="0.35">
      <c r="B43" s="98" t="s">
        <v>51</v>
      </c>
      <c r="C43" s="96">
        <v>0</v>
      </c>
      <c r="D43" s="173" t="str">
        <f>IF($B43&lt;&gt;"",_xlfn.XLOOKUP($B43,EligibleComp[Compensation Type],EligibleComp[Is this Eligible Compensation in Plan?],"",0),"")</f>
        <v>NO</v>
      </c>
      <c r="E43" s="174"/>
      <c r="F43" s="82" t="str">
        <f>IF($B43&lt;&gt;"",_xlfn.XLOOKUP($B43,EligibleComp[Compensation Type],EligibleComp[Eligible for Employer Match],"",0),"")</f>
        <v>NO</v>
      </c>
      <c r="G43" s="2"/>
      <c r="H43" s="77"/>
      <c r="I43" s="2"/>
      <c r="J43" s="2"/>
      <c r="K43" s="2"/>
      <c r="L43" s="2"/>
      <c r="M43" s="2"/>
      <c r="N43" s="2"/>
      <c r="O43" s="2"/>
      <c r="P43" s="137" t="s">
        <v>147</v>
      </c>
      <c r="Q43" s="139">
        <f>$I$16</f>
        <v>24500</v>
      </c>
      <c r="R43" s="138"/>
      <c r="S43" s="138"/>
      <c r="T43" s="138"/>
      <c r="U43" s="138"/>
      <c r="V43" s="138"/>
      <c r="W43" s="138"/>
      <c r="X43" s="2"/>
      <c r="Y43" s="2"/>
      <c r="Z43" s="2"/>
      <c r="AA43" s="2"/>
      <c r="AB43" s="2"/>
      <c r="AC43" s="2"/>
      <c r="AD43" s="2"/>
    </row>
    <row r="44" spans="2:30" ht="43.5" x14ac:dyDescent="0.35">
      <c r="B44" s="98" t="s">
        <v>51</v>
      </c>
      <c r="C44" s="96">
        <v>0</v>
      </c>
      <c r="D44" s="173" t="str">
        <f>IF($B44&lt;&gt;"",_xlfn.XLOOKUP($B44,EligibleComp[Compensation Type],EligibleComp[Is this Eligible Compensation in Plan?],"",0),"")</f>
        <v>NO</v>
      </c>
      <c r="E44" s="174"/>
      <c r="F44" s="82" t="str">
        <f>IF($B44&lt;&gt;"",_xlfn.XLOOKUP($B44,EligibleComp[Compensation Type],EligibleComp[Eligible for Employer Match],"",0),"")</f>
        <v>NO</v>
      </c>
      <c r="G44" s="2"/>
      <c r="H44" s="77"/>
      <c r="I44" s="2"/>
      <c r="J44" s="2"/>
      <c r="K44" s="2"/>
      <c r="L44" s="2"/>
      <c r="M44" s="2"/>
      <c r="N44" s="2"/>
      <c r="O44" s="2"/>
      <c r="P44" s="137" t="s">
        <v>148</v>
      </c>
      <c r="Q44" s="139">
        <f>$I$17</f>
        <v>8000</v>
      </c>
      <c r="R44" s="138"/>
      <c r="S44" s="138"/>
      <c r="T44" s="138"/>
      <c r="U44" s="138"/>
      <c r="V44" s="138"/>
      <c r="W44" s="138"/>
      <c r="X44" s="2"/>
      <c r="Y44" s="2"/>
      <c r="Z44" s="2"/>
      <c r="AA44" s="2"/>
      <c r="AB44" s="2"/>
      <c r="AC44" s="2"/>
      <c r="AD44" s="2"/>
    </row>
    <row r="45" spans="2:30" ht="58" x14ac:dyDescent="0.35">
      <c r="B45" s="98" t="s">
        <v>51</v>
      </c>
      <c r="C45" s="96">
        <v>0</v>
      </c>
      <c r="D45" s="173" t="str">
        <f>IF($B45&lt;&gt;"",_xlfn.XLOOKUP($B45,EligibleComp[Compensation Type],EligibleComp[Is this Eligible Compensation in Plan?],"",0),"")</f>
        <v>NO</v>
      </c>
      <c r="E45" s="174"/>
      <c r="F45" s="82" t="str">
        <f>IF($B45&lt;&gt;"",_xlfn.XLOOKUP($B45,EligibleComp[Compensation Type],EligibleComp[Eligible for Employer Match],"",0),"")</f>
        <v>NO</v>
      </c>
      <c r="G45" s="2"/>
      <c r="H45" s="2"/>
      <c r="I45" s="2"/>
      <c r="J45" s="2"/>
      <c r="K45" s="2"/>
      <c r="L45" s="2"/>
      <c r="M45" s="2"/>
      <c r="N45" s="2"/>
      <c r="O45" s="2"/>
      <c r="P45" s="137" t="s">
        <v>149</v>
      </c>
      <c r="Q45" s="142" t="str">
        <f>$I$19</f>
        <v>NO</v>
      </c>
      <c r="R45" s="138"/>
      <c r="S45" s="138"/>
      <c r="T45" s="138"/>
      <c r="U45" s="138"/>
      <c r="V45" s="138"/>
      <c r="W45" s="138"/>
      <c r="X45" s="2"/>
      <c r="Y45" s="2"/>
      <c r="Z45" s="2"/>
      <c r="AA45" s="2"/>
      <c r="AB45" s="2"/>
      <c r="AC45" s="2"/>
      <c r="AD45" s="2"/>
    </row>
    <row r="46" spans="2:30" ht="15" thickBot="1" x14ac:dyDescent="0.4">
      <c r="B46" s="99" t="s">
        <v>51</v>
      </c>
      <c r="C46" s="97">
        <v>0</v>
      </c>
      <c r="D46" s="193" t="str">
        <f>IF($B46&lt;&gt;"",_xlfn.XLOOKUP($B46,EligibleComp[Compensation Type],EligibleComp[Is this Eligible Compensation in Plan?],"",0),"")</f>
        <v>NO</v>
      </c>
      <c r="E46" s="193"/>
      <c r="F46" s="83" t="str">
        <f>IF($B46&lt;&gt;"",_xlfn.XLOOKUP($B46,EligibleComp[Compensation Type],EligibleComp[Eligible for Employer Match],"",0),"")</f>
        <v>NO</v>
      </c>
      <c r="G46" s="2"/>
      <c r="H46" s="2"/>
      <c r="I46" s="2"/>
      <c r="J46" s="2"/>
      <c r="K46" s="2"/>
      <c r="L46" s="2"/>
      <c r="M46" s="2"/>
      <c r="N46" s="2"/>
      <c r="O46" s="2"/>
      <c r="P46" s="138"/>
      <c r="Q46" s="138"/>
      <c r="R46" s="138"/>
      <c r="S46" s="138"/>
      <c r="T46" s="138"/>
      <c r="U46" s="138"/>
      <c r="V46" s="138"/>
      <c r="W46" s="138"/>
      <c r="X46" s="2"/>
      <c r="Y46" s="2"/>
      <c r="Z46" s="2"/>
      <c r="AA46" s="2"/>
      <c r="AB46" s="2"/>
      <c r="AC46" s="2"/>
      <c r="AD46" s="2"/>
    </row>
    <row r="47" spans="2:30" x14ac:dyDescent="0.35">
      <c r="B47" s="84" t="s">
        <v>49</v>
      </c>
      <c r="C47" s="85">
        <f>SUM(C40:C46)</f>
        <v>0</v>
      </c>
      <c r="D47" s="155" t="s">
        <v>61</v>
      </c>
      <c r="E47" s="156"/>
      <c r="F47" s="157"/>
      <c r="G47" s="2"/>
      <c r="H47" s="2"/>
      <c r="I47" s="2"/>
      <c r="J47" s="2"/>
      <c r="K47" s="2"/>
      <c r="L47" s="2"/>
      <c r="M47" s="2"/>
      <c r="N47" s="2"/>
      <c r="O47" s="2"/>
      <c r="P47" s="138"/>
      <c r="Q47" s="138"/>
      <c r="R47" s="138"/>
      <c r="S47" s="138"/>
      <c r="T47" s="138"/>
      <c r="U47" s="138"/>
      <c r="V47" s="138"/>
      <c r="W47" s="138"/>
      <c r="X47" s="2"/>
      <c r="Y47" s="2"/>
      <c r="Z47" s="2"/>
      <c r="AA47" s="2"/>
      <c r="AB47" s="2"/>
      <c r="AC47" s="2"/>
      <c r="AD47" s="2"/>
    </row>
    <row r="48" spans="2:30" ht="15" thickBot="1" x14ac:dyDescent="0.4">
      <c r="B48" s="86" t="s">
        <v>50</v>
      </c>
      <c r="C48" s="87" cm="1">
        <f t="array" ref="C48">SUMPRODUCT(
  (UPPER(TRIM($D$40:$E$46))="YES") * ($C$40:$C$46+0)
)</f>
        <v>0</v>
      </c>
      <c r="D48" s="158"/>
      <c r="E48" s="159"/>
      <c r="F48" s="160"/>
      <c r="G48" s="2"/>
      <c r="I48" s="2"/>
      <c r="J48" s="2"/>
      <c r="K48" s="2"/>
      <c r="L48" s="2"/>
      <c r="M48" s="2"/>
      <c r="N48" s="2"/>
      <c r="O48" s="2"/>
      <c r="P48" s="138"/>
      <c r="Q48" s="138"/>
      <c r="R48" s="138"/>
      <c r="S48" s="138"/>
      <c r="T48" s="138"/>
      <c r="U48" s="138"/>
      <c r="V48" s="138"/>
      <c r="W48" s="138"/>
      <c r="X48" s="2"/>
      <c r="Y48" s="2"/>
      <c r="Z48" s="2"/>
      <c r="AA48" s="2"/>
      <c r="AB48" s="2"/>
      <c r="AC48" s="2"/>
      <c r="AD48" s="2"/>
    </row>
    <row r="49" spans="2:30" ht="14.5" customHeight="1" x14ac:dyDescent="0.35">
      <c r="B49" s="2"/>
      <c r="C49" s="2"/>
      <c r="D49" s="2"/>
      <c r="E49" s="2"/>
      <c r="F49" s="2"/>
      <c r="G49" s="2"/>
      <c r="H49" s="2"/>
      <c r="I49" s="2"/>
      <c r="J49" s="2"/>
      <c r="K49" s="2"/>
      <c r="L49" s="2"/>
      <c r="M49" s="2"/>
      <c r="N49" s="2"/>
      <c r="O49" s="2"/>
      <c r="P49" s="154" t="s">
        <v>150</v>
      </c>
      <c r="Q49" s="138"/>
      <c r="R49" s="138"/>
      <c r="S49" s="138"/>
      <c r="T49" s="138"/>
      <c r="U49" s="138"/>
      <c r="V49" s="138"/>
      <c r="W49" s="138"/>
      <c r="X49" s="2"/>
      <c r="Y49" s="2"/>
      <c r="Z49" s="2"/>
      <c r="AA49" s="2"/>
      <c r="AB49" s="2"/>
      <c r="AC49" s="2"/>
      <c r="AD49" s="2"/>
    </row>
    <row r="50" spans="2:30" x14ac:dyDescent="0.35">
      <c r="B50" s="2"/>
      <c r="C50" s="2"/>
      <c r="D50" s="2"/>
      <c r="E50" s="2"/>
      <c r="F50" s="141" t="s">
        <v>168</v>
      </c>
      <c r="G50" s="2"/>
      <c r="I50" s="2"/>
      <c r="J50" s="2"/>
      <c r="K50" s="2"/>
      <c r="L50" s="2"/>
      <c r="M50" s="2"/>
      <c r="N50" s="2"/>
      <c r="O50" s="2"/>
      <c r="P50" s="138"/>
      <c r="Q50" s="138"/>
      <c r="R50" s="138"/>
      <c r="S50" s="138"/>
      <c r="T50" s="138"/>
      <c r="U50" s="138"/>
      <c r="V50" s="138"/>
      <c r="W50" s="138"/>
      <c r="X50" s="2"/>
      <c r="Y50" s="2"/>
      <c r="Z50" s="2"/>
      <c r="AA50" s="2"/>
      <c r="AB50" s="2"/>
      <c r="AC50" s="2"/>
      <c r="AD50" s="2"/>
    </row>
    <row r="51" spans="2:30" s="2" customFormat="1" ht="58" x14ac:dyDescent="0.35">
      <c r="P51" s="138" t="s">
        <v>151</v>
      </c>
      <c r="Q51" s="139">
        <f>IF(Remaining_Pay_Periods&gt;0,(C_415_YTD_Total+I17)/Remaining_Pay_Periods,0)</f>
        <v>0</v>
      </c>
      <c r="R51" s="138"/>
      <c r="S51" s="138"/>
      <c r="T51" s="154" t="s">
        <v>152</v>
      </c>
      <c r="U51" s="138"/>
      <c r="V51" s="138"/>
      <c r="W51" s="138"/>
    </row>
    <row r="52" spans="2:30" s="2" customFormat="1" ht="29" x14ac:dyDescent="0.35">
      <c r="H52" s="141"/>
      <c r="P52" s="138" t="s">
        <v>153</v>
      </c>
      <c r="Q52" s="139">
        <f>IF(Remaining_Pay_Periods&gt;0,C_415_YTD_Total/Remaining_Pay_Periods,0)</f>
        <v>0</v>
      </c>
      <c r="R52" s="138"/>
      <c r="S52" s="138"/>
      <c r="T52" s="138"/>
      <c r="U52" s="138"/>
      <c r="V52" s="138"/>
      <c r="W52" s="138"/>
    </row>
    <row r="53" spans="2:30" s="2" customFormat="1" ht="72.5" x14ac:dyDescent="0.35">
      <c r="H53" s="141"/>
      <c r="P53" s="138" t="s">
        <v>154</v>
      </c>
      <c r="Q53" s="139">
        <f>IF(AND($F$20="YES",Remaining_Pay_Periods&gt;0),$I$17/Remaining_Pay_Periods,0)</f>
        <v>0</v>
      </c>
      <c r="R53" s="138"/>
      <c r="S53" s="138"/>
      <c r="T53" s="138" t="s">
        <v>93</v>
      </c>
      <c r="U53" s="139">
        <f>IF(Remaining_Pay_Periods&gt;0,ROUND(MAX(0,MIN(Eligible_Comp_Per_Pay*Current_PreTax_Pct,C_415_YTD_Total/Remaining_Pay_Periods)),2),0)</f>
        <v>0</v>
      </c>
      <c r="V53" s="138"/>
      <c r="W53" s="138"/>
    </row>
    <row r="54" spans="2:30" s="2" customFormat="1" ht="72.5" x14ac:dyDescent="0.35">
      <c r="H54" s="141"/>
      <c r="P54" s="138" t="s">
        <v>155</v>
      </c>
      <c r="Q54" s="139">
        <f>Eligible_Comp_Per_Pay*Current_Roth_Pct</f>
        <v>0</v>
      </c>
      <c r="R54" s="138"/>
      <c r="S54" s="138"/>
      <c r="T54" s="138" t="s">
        <v>92</v>
      </c>
      <c r="U54" s="139">
        <f>IF(Remaining_Pay_Periods&gt;0,ROUND(MAX(0,MIN(MAX(Eligible_Comp_Per_Pay*Current_Roth_Pct,IF($I$19="YES",$I$17/Remaining_Pay_Periods,0)),(C_415_YTD_Total+$I$17)/Remaining_Pay_Periods)),2),0)</f>
        <v>0</v>
      </c>
      <c r="V54" s="138"/>
      <c r="W54" s="138"/>
    </row>
    <row r="55" spans="2:30" s="2" customFormat="1" ht="29" x14ac:dyDescent="0.35">
      <c r="H55" s="141"/>
      <c r="P55" s="138" t="s">
        <v>156</v>
      </c>
      <c r="Q55" s="139">
        <f>Eligible_Comp_Per_Pay*Current_Roth_Pct</f>
        <v>0</v>
      </c>
      <c r="R55" s="138"/>
      <c r="S55" s="138"/>
      <c r="T55" s="138"/>
      <c r="U55" s="138"/>
      <c r="V55" s="138"/>
      <c r="W55" s="138"/>
    </row>
    <row r="56" spans="2:30" s="2" customFormat="1" ht="58" x14ac:dyDescent="0.35">
      <c r="H56" s="141"/>
      <c r="P56" s="138"/>
      <c r="Q56" s="138"/>
      <c r="R56" s="138"/>
      <c r="S56" s="138"/>
      <c r="T56" s="138" t="s">
        <v>157</v>
      </c>
      <c r="U56" s="140">
        <f>IF(Eligible_Comp_Per_Pay&gt;0,ROUND((IF(Remaining_Pay_Periods&gt;0,C_415_YTD_Total/Remaining_Pay_Periods,0))/Eligible_Comp_Per_Pay,4),0)</f>
        <v>0</v>
      </c>
      <c r="V56" s="138"/>
      <c r="W56" s="138"/>
    </row>
    <row r="57" spans="2:30" s="2" customFormat="1" ht="72.5" x14ac:dyDescent="0.35">
      <c r="H57" s="141"/>
      <c r="P57" s="138" t="s">
        <v>158</v>
      </c>
      <c r="Q57" s="140">
        <f>Current_PreTax_Pct+Current_Roth_Pct</f>
        <v>0.01</v>
      </c>
      <c r="R57" s="138"/>
      <c r="S57" s="138"/>
      <c r="T57" s="138" t="s">
        <v>159</v>
      </c>
      <c r="U57" s="140">
        <f>IF(Eligible_Comp_Per_Pay&gt;0,ROUND((IF(AND($I$19="YES",Remaining_Pay_Periods&gt;0),$I$17/Remaining_Pay_Periods,0))/Eligible_Comp_Per_Pay,4),0)</f>
        <v>0</v>
      </c>
      <c r="V57" s="138"/>
      <c r="W57" s="138"/>
    </row>
    <row r="58" spans="2:30" s="2" customFormat="1" ht="29" x14ac:dyDescent="0.35">
      <c r="H58" s="141"/>
      <c r="P58" s="138" t="s">
        <v>160</v>
      </c>
      <c r="Q58" s="138" t="str">
        <f>IF($Q$57&gt;0.9,"⚠ Over 90% cap","OK")</f>
        <v>OK</v>
      </c>
      <c r="R58" s="138"/>
      <c r="S58" s="138"/>
      <c r="T58" s="138"/>
      <c r="U58" s="138"/>
      <c r="V58" s="138"/>
      <c r="W58" s="138"/>
    </row>
    <row r="59" spans="2:30" s="2" customFormat="1" ht="14.5" customHeight="1" x14ac:dyDescent="0.35">
      <c r="H59" s="141"/>
      <c r="P59" s="138"/>
      <c r="Q59" s="138"/>
      <c r="R59" s="138"/>
      <c r="S59" s="138"/>
      <c r="T59" s="154" t="s">
        <v>161</v>
      </c>
      <c r="U59" s="138"/>
      <c r="V59" s="138"/>
      <c r="W59" s="138"/>
    </row>
    <row r="60" spans="2:30" x14ac:dyDescent="0.35">
      <c r="B60" s="2"/>
      <c r="C60" s="2"/>
      <c r="D60" s="2"/>
      <c r="E60" s="2"/>
      <c r="F60" s="2"/>
      <c r="G60" s="2"/>
      <c r="H60" s="2"/>
      <c r="I60" s="2"/>
      <c r="J60" s="2"/>
      <c r="K60" s="2"/>
      <c r="L60" s="2"/>
      <c r="M60" s="2"/>
      <c r="N60" s="2"/>
      <c r="O60" s="2"/>
      <c r="P60" s="138"/>
      <c r="Q60" s="138"/>
      <c r="R60" s="138"/>
      <c r="S60" s="138"/>
      <c r="T60" s="138"/>
      <c r="U60" s="138"/>
      <c r="V60" s="138"/>
      <c r="W60" s="138"/>
      <c r="X60" s="2"/>
      <c r="Y60" s="2"/>
      <c r="Z60" s="2"/>
      <c r="AA60" s="2"/>
      <c r="AB60" s="2"/>
      <c r="AC60" s="2"/>
      <c r="AD60" s="2"/>
    </row>
    <row r="61" spans="2:30" ht="72.5" x14ac:dyDescent="0.35">
      <c r="B61" s="2"/>
      <c r="C61" s="2"/>
      <c r="D61" s="2"/>
      <c r="E61" s="2"/>
      <c r="F61" s="2"/>
      <c r="G61" s="2"/>
      <c r="H61" s="2"/>
      <c r="I61" s="2"/>
      <c r="J61" s="2"/>
      <c r="P61" s="138"/>
      <c r="Q61" s="138"/>
      <c r="R61" s="138"/>
      <c r="S61" s="138"/>
      <c r="T61" s="138" t="s">
        <v>162</v>
      </c>
      <c r="U61" s="139">
        <f>$F$12</f>
        <v>24500</v>
      </c>
      <c r="V61" s="138"/>
      <c r="W61" s="138"/>
      <c r="X61" s="2"/>
      <c r="Y61" s="2"/>
      <c r="Z61" s="2"/>
      <c r="AA61" s="2"/>
      <c r="AB61" s="2"/>
      <c r="AC61" s="2"/>
      <c r="AD61" s="2"/>
    </row>
    <row r="62" spans="2:30" ht="58" x14ac:dyDescent="0.35">
      <c r="B62" s="2"/>
      <c r="C62" s="2"/>
      <c r="D62" s="2"/>
      <c r="E62" s="2"/>
      <c r="F62" s="2"/>
      <c r="G62" s="2"/>
      <c r="H62" s="2"/>
      <c r="I62" s="2"/>
      <c r="J62" s="2"/>
      <c r="P62" s="138"/>
      <c r="Q62" s="138"/>
      <c r="R62" s="138"/>
      <c r="S62" s="138"/>
      <c r="T62" s="138" t="s">
        <v>163</v>
      </c>
      <c r="U62" s="139">
        <f>$I$12</f>
        <v>0</v>
      </c>
      <c r="V62" s="138"/>
      <c r="W62" s="138"/>
      <c r="X62" s="2"/>
      <c r="Y62" s="2"/>
      <c r="Z62" s="2"/>
      <c r="AA62" s="2"/>
      <c r="AB62" s="2"/>
      <c r="AC62" s="2"/>
      <c r="AD62" s="2"/>
    </row>
    <row r="63" spans="2:30" ht="72.5" x14ac:dyDescent="0.35">
      <c r="B63" s="2"/>
      <c r="C63" s="2"/>
      <c r="D63" s="2"/>
      <c r="E63" s="2"/>
      <c r="F63" s="2"/>
      <c r="G63" s="2"/>
      <c r="H63" s="2"/>
      <c r="I63" s="2"/>
      <c r="J63" s="2"/>
      <c r="P63" s="138"/>
      <c r="Q63" s="138"/>
      <c r="R63" s="138"/>
      <c r="S63" s="138"/>
      <c r="T63" s="138" t="s">
        <v>164</v>
      </c>
      <c r="U63" s="140">
        <f>IF($F$12&gt;0,$I$12/$F$12,0)</f>
        <v>0</v>
      </c>
      <c r="V63" s="138"/>
      <c r="W63" s="138"/>
      <c r="X63" s="2"/>
      <c r="Y63" s="2"/>
      <c r="Z63" s="2"/>
      <c r="AA63" s="2"/>
      <c r="AB63" s="2"/>
      <c r="AC63" s="2"/>
      <c r="AD63" s="2"/>
    </row>
    <row r="64" spans="2:30" ht="29" x14ac:dyDescent="0.35">
      <c r="B64" s="2"/>
      <c r="C64" s="2"/>
      <c r="D64" s="2"/>
      <c r="E64" s="2"/>
      <c r="F64" s="2"/>
      <c r="G64" s="2"/>
      <c r="H64" s="2"/>
      <c r="I64" s="2"/>
      <c r="J64" s="2"/>
      <c r="P64" s="138"/>
      <c r="Q64" s="138"/>
      <c r="R64" s="138"/>
      <c r="S64" s="138"/>
      <c r="T64" s="138" t="s">
        <v>165</v>
      </c>
      <c r="U64" s="138" t="str">
        <f>IF($U$63&gt;=1, "✅ At/Over limit", IF($U$63&gt;=0.75, "On track", "Behind target"))</f>
        <v>Behind target</v>
      </c>
      <c r="V64" s="138"/>
      <c r="W64" s="138"/>
      <c r="X64" s="2"/>
      <c r="Y64" s="2"/>
      <c r="Z64" s="2"/>
      <c r="AA64" s="2"/>
      <c r="AB64" s="2"/>
      <c r="AC64" s="2"/>
      <c r="AD64" s="2"/>
    </row>
    <row r="65" spans="2:30" x14ac:dyDescent="0.35">
      <c r="B65" s="2"/>
      <c r="C65" s="2"/>
      <c r="D65" s="2"/>
      <c r="E65" s="2"/>
      <c r="F65" s="2"/>
      <c r="G65" s="2"/>
      <c r="H65" s="2"/>
      <c r="I65" s="2"/>
      <c r="J65" s="2"/>
      <c r="S65" s="12"/>
      <c r="T65" s="2"/>
      <c r="U65" s="2"/>
      <c r="V65" s="2"/>
      <c r="W65" s="2"/>
      <c r="X65" s="2"/>
      <c r="Y65" s="2"/>
      <c r="Z65" s="2"/>
      <c r="AA65" s="2"/>
      <c r="AB65" s="2"/>
      <c r="AC65" s="2"/>
      <c r="AD65" s="2"/>
    </row>
    <row r="66" spans="2:30" x14ac:dyDescent="0.35">
      <c r="B66" s="2"/>
      <c r="C66" s="2"/>
      <c r="D66" s="2"/>
      <c r="E66" s="2"/>
      <c r="F66" s="2"/>
      <c r="G66" s="2"/>
      <c r="H66" s="2"/>
      <c r="I66" s="2"/>
      <c r="J66" s="2"/>
      <c r="S66" s="12"/>
      <c r="T66" s="2"/>
      <c r="U66" s="2"/>
      <c r="V66" s="2"/>
      <c r="W66" s="2"/>
      <c r="X66" s="2"/>
      <c r="Y66" s="2"/>
      <c r="Z66" s="2"/>
      <c r="AA66" s="2"/>
      <c r="AB66" s="2"/>
      <c r="AC66" s="2"/>
      <c r="AD66" s="2"/>
    </row>
    <row r="67" spans="2:30" x14ac:dyDescent="0.35">
      <c r="B67" s="2"/>
      <c r="C67" s="2"/>
      <c r="D67" s="2"/>
      <c r="E67" s="2"/>
      <c r="F67" s="2"/>
      <c r="G67" s="2"/>
      <c r="H67" s="2"/>
      <c r="I67" s="2"/>
      <c r="J67" s="2"/>
      <c r="S67" s="12"/>
      <c r="T67" s="2"/>
      <c r="U67" s="2"/>
      <c r="V67" s="2"/>
      <c r="W67" s="2"/>
      <c r="X67" s="2"/>
      <c r="Y67" s="2"/>
      <c r="Z67" s="2"/>
      <c r="AA67" s="2"/>
      <c r="AB67" s="2"/>
      <c r="AC67" s="2"/>
      <c r="AD67" s="2"/>
    </row>
    <row r="68" spans="2:30" x14ac:dyDescent="0.35">
      <c r="B68" s="2"/>
      <c r="C68" s="2"/>
      <c r="D68" s="2"/>
      <c r="E68" s="2"/>
      <c r="F68" s="2"/>
      <c r="G68" s="2"/>
      <c r="H68" s="2"/>
      <c r="I68" s="2"/>
      <c r="J68" s="2"/>
      <c r="S68" s="12"/>
      <c r="T68" s="2"/>
      <c r="U68" s="2"/>
      <c r="V68" s="2"/>
      <c r="W68" s="2"/>
      <c r="X68" s="2"/>
      <c r="Y68" s="2"/>
      <c r="Z68" s="2"/>
      <c r="AA68" s="2"/>
      <c r="AB68" s="2"/>
      <c r="AC68" s="2"/>
      <c r="AD68" s="2"/>
    </row>
    <row r="69" spans="2:30" x14ac:dyDescent="0.35">
      <c r="B69" s="2"/>
      <c r="C69" s="2"/>
      <c r="D69" s="2"/>
      <c r="E69" s="2"/>
      <c r="F69" s="2"/>
      <c r="G69" s="2"/>
      <c r="H69" s="2"/>
      <c r="I69" s="2"/>
      <c r="J69" s="2"/>
      <c r="S69" s="12"/>
      <c r="T69" s="2"/>
      <c r="U69" s="2"/>
      <c r="V69" s="2"/>
      <c r="W69" s="2"/>
      <c r="X69" s="2"/>
      <c r="Y69" s="2"/>
      <c r="Z69" s="2"/>
      <c r="AA69" s="2"/>
      <c r="AB69" s="2"/>
      <c r="AC69" s="2"/>
      <c r="AD69" s="2"/>
    </row>
    <row r="70" spans="2:30" x14ac:dyDescent="0.35">
      <c r="B70" s="2"/>
      <c r="C70" s="2"/>
      <c r="D70" s="2"/>
      <c r="E70" s="2"/>
      <c r="F70" s="2"/>
      <c r="G70" s="2"/>
      <c r="H70" s="2"/>
      <c r="I70" s="2"/>
      <c r="J70" s="2"/>
      <c r="S70" s="12"/>
      <c r="T70" s="2"/>
      <c r="U70" s="2"/>
      <c r="V70" s="2"/>
      <c r="W70" s="2"/>
      <c r="X70" s="2"/>
      <c r="Y70" s="2"/>
      <c r="Z70" s="2"/>
      <c r="AA70" s="2"/>
      <c r="AB70" s="2"/>
      <c r="AC70" s="2"/>
      <c r="AD70" s="2"/>
    </row>
    <row r="71" spans="2:30" x14ac:dyDescent="0.35">
      <c r="B71" s="2"/>
      <c r="C71" s="2"/>
      <c r="D71" s="2"/>
      <c r="E71" s="2"/>
      <c r="F71" s="2"/>
      <c r="G71" s="2"/>
      <c r="H71" s="2"/>
      <c r="I71" s="2"/>
      <c r="J71" s="2"/>
      <c r="S71" s="12"/>
      <c r="T71" s="2"/>
      <c r="U71" s="2"/>
      <c r="V71" s="2"/>
      <c r="W71" s="2"/>
      <c r="X71" s="2"/>
      <c r="Y71" s="2"/>
      <c r="Z71" s="2"/>
      <c r="AA71" s="2"/>
      <c r="AB71" s="2"/>
      <c r="AC71" s="2"/>
      <c r="AD71" s="2"/>
    </row>
    <row r="72" spans="2:30" x14ac:dyDescent="0.35">
      <c r="B72" s="2"/>
      <c r="C72" s="2"/>
      <c r="D72" s="2"/>
      <c r="E72" s="2"/>
      <c r="F72" s="2"/>
      <c r="G72" s="2"/>
      <c r="H72" s="2"/>
      <c r="I72" s="2"/>
      <c r="J72" s="2"/>
      <c r="S72" s="12"/>
      <c r="T72" s="2"/>
      <c r="U72" s="2"/>
      <c r="V72" s="2"/>
      <c r="W72" s="2"/>
      <c r="X72" s="2"/>
      <c r="Y72" s="2"/>
      <c r="Z72" s="2"/>
      <c r="AA72" s="2"/>
      <c r="AB72" s="2"/>
      <c r="AC72" s="2"/>
      <c r="AD72" s="2"/>
    </row>
    <row r="73" spans="2:30" x14ac:dyDescent="0.35">
      <c r="B73" s="2"/>
      <c r="C73" s="2"/>
      <c r="D73" s="2"/>
      <c r="E73" s="2"/>
      <c r="F73" s="2"/>
      <c r="G73" s="2"/>
      <c r="H73" s="2"/>
      <c r="I73" s="2"/>
      <c r="J73" s="2"/>
      <c r="S73" s="12"/>
      <c r="T73" s="2"/>
      <c r="U73" s="2"/>
      <c r="V73" s="2"/>
      <c r="W73" s="2"/>
      <c r="X73" s="2"/>
      <c r="Y73" s="2"/>
      <c r="Z73" s="2"/>
      <c r="AA73" s="2"/>
      <c r="AB73" s="2"/>
      <c r="AC73" s="2"/>
      <c r="AD73" s="2"/>
    </row>
    <row r="74" spans="2:30" x14ac:dyDescent="0.35">
      <c r="B74" s="2"/>
      <c r="C74" s="2"/>
      <c r="D74" s="2"/>
      <c r="E74" s="2"/>
      <c r="F74" s="2"/>
      <c r="G74" s="2"/>
      <c r="H74" s="2"/>
      <c r="I74" s="2"/>
      <c r="J74" s="2"/>
      <c r="S74" s="12"/>
      <c r="T74" s="2"/>
      <c r="U74" s="2"/>
      <c r="V74" s="2"/>
      <c r="W74" s="2"/>
      <c r="X74" s="2"/>
      <c r="Y74" s="2"/>
      <c r="Z74" s="2"/>
      <c r="AA74" s="2"/>
      <c r="AB74" s="2"/>
      <c r="AC74" s="2"/>
      <c r="AD74" s="2"/>
    </row>
    <row r="75" spans="2:30" x14ac:dyDescent="0.35">
      <c r="B75" s="2"/>
      <c r="C75" s="2"/>
      <c r="D75" s="2"/>
      <c r="E75" s="2"/>
      <c r="F75" s="2"/>
      <c r="G75" s="2"/>
      <c r="H75" s="2"/>
      <c r="I75" s="2"/>
      <c r="J75" s="2"/>
      <c r="S75" s="12"/>
      <c r="T75" s="2"/>
      <c r="U75" s="2"/>
      <c r="V75" s="2"/>
      <c r="W75" s="2"/>
      <c r="X75" s="2"/>
      <c r="Y75" s="2"/>
      <c r="Z75" s="2"/>
      <c r="AA75" s="2"/>
      <c r="AB75" s="2"/>
      <c r="AC75" s="2"/>
      <c r="AD75" s="2"/>
    </row>
    <row r="76" spans="2:30" x14ac:dyDescent="0.35">
      <c r="B76" s="2"/>
      <c r="C76" s="2"/>
      <c r="D76" s="2"/>
      <c r="E76" s="2"/>
      <c r="F76" s="2"/>
      <c r="G76" s="2"/>
      <c r="H76" s="2"/>
      <c r="I76" s="2"/>
      <c r="J76" s="2"/>
      <c r="S76" s="12"/>
      <c r="T76" s="2"/>
      <c r="U76" s="2"/>
      <c r="V76" s="2"/>
      <c r="W76" s="2"/>
      <c r="X76" s="2"/>
      <c r="Y76" s="2"/>
      <c r="Z76" s="2"/>
      <c r="AA76" s="2"/>
      <c r="AB76" s="2"/>
      <c r="AC76" s="2"/>
      <c r="AD76" s="2"/>
    </row>
    <row r="77" spans="2:30" x14ac:dyDescent="0.35">
      <c r="B77" s="2"/>
      <c r="C77" s="2"/>
      <c r="D77" s="2"/>
      <c r="E77" s="2"/>
      <c r="F77" s="2"/>
      <c r="G77" s="2"/>
      <c r="H77" s="2"/>
      <c r="I77" s="2"/>
      <c r="J77" s="2"/>
      <c r="S77" s="12"/>
      <c r="T77" s="2"/>
      <c r="U77" s="2"/>
      <c r="V77" s="2"/>
      <c r="W77" s="2"/>
      <c r="X77" s="2"/>
      <c r="Y77" s="2"/>
      <c r="Z77" s="2"/>
      <c r="AA77" s="2"/>
      <c r="AB77" s="2"/>
      <c r="AC77" s="2"/>
      <c r="AD77" s="2"/>
    </row>
    <row r="78" spans="2:30" x14ac:dyDescent="0.35">
      <c r="B78" s="2"/>
      <c r="C78" s="2"/>
      <c r="D78" s="2"/>
      <c r="E78" s="2"/>
      <c r="F78" s="2"/>
      <c r="G78" s="2"/>
      <c r="H78" s="2"/>
      <c r="I78" s="2"/>
      <c r="J78" s="2"/>
      <c r="S78" s="12"/>
      <c r="T78" s="2"/>
      <c r="U78" s="2"/>
      <c r="V78" s="2"/>
      <c r="W78" s="2"/>
      <c r="X78" s="2"/>
      <c r="Y78" s="2"/>
      <c r="Z78" s="2"/>
      <c r="AA78" s="2"/>
      <c r="AB78" s="2"/>
      <c r="AC78" s="2"/>
      <c r="AD78" s="2"/>
    </row>
    <row r="79" spans="2:30" x14ac:dyDescent="0.35">
      <c r="B79" s="2"/>
      <c r="C79" s="2"/>
      <c r="D79" s="2"/>
      <c r="E79" s="2"/>
      <c r="F79" s="2"/>
      <c r="G79" s="2"/>
      <c r="H79" s="2"/>
      <c r="I79" s="2"/>
      <c r="J79" s="2"/>
      <c r="S79" s="12"/>
      <c r="T79" s="2"/>
      <c r="U79" s="2"/>
      <c r="V79" s="2"/>
      <c r="W79" s="2"/>
      <c r="X79" s="2"/>
      <c r="Y79" s="2"/>
      <c r="Z79" s="2"/>
      <c r="AA79" s="2"/>
      <c r="AB79" s="2"/>
      <c r="AC79" s="2"/>
      <c r="AD79" s="2"/>
    </row>
    <row r="80" spans="2:30" x14ac:dyDescent="0.35">
      <c r="B80" s="2"/>
      <c r="C80" s="2"/>
      <c r="D80" s="2"/>
      <c r="E80" s="2"/>
      <c r="F80" s="2"/>
      <c r="G80" s="2"/>
      <c r="H80" s="2"/>
      <c r="I80" s="2"/>
      <c r="J80" s="2"/>
      <c r="S80" s="12"/>
      <c r="T80" s="2"/>
      <c r="U80" s="2"/>
      <c r="V80" s="2"/>
      <c r="W80" s="2"/>
      <c r="X80" s="2"/>
      <c r="Y80" s="2"/>
      <c r="Z80" s="2"/>
      <c r="AA80" s="2"/>
      <c r="AB80" s="2"/>
      <c r="AC80" s="2"/>
      <c r="AD80" s="2"/>
    </row>
    <row r="81" spans="2:30" x14ac:dyDescent="0.35">
      <c r="B81" s="2"/>
      <c r="C81" s="2"/>
      <c r="D81" s="2"/>
      <c r="E81" s="2"/>
      <c r="F81" s="2"/>
      <c r="G81" s="2"/>
      <c r="H81" s="2"/>
      <c r="I81" s="2"/>
      <c r="J81" s="2"/>
      <c r="S81" s="12"/>
      <c r="T81" s="2"/>
      <c r="U81" s="2"/>
      <c r="V81" s="2"/>
      <c r="W81" s="2"/>
      <c r="X81" s="2"/>
      <c r="Y81" s="2"/>
      <c r="Z81" s="2"/>
      <c r="AA81" s="2"/>
      <c r="AB81" s="2"/>
      <c r="AC81" s="2"/>
      <c r="AD81" s="2"/>
    </row>
    <row r="82" spans="2:30" x14ac:dyDescent="0.35">
      <c r="B82" s="2"/>
      <c r="C82" s="2"/>
      <c r="D82" s="2"/>
      <c r="E82" s="2"/>
      <c r="F82" s="2"/>
      <c r="G82" s="2"/>
      <c r="H82" s="2"/>
      <c r="I82" s="2"/>
      <c r="J82" s="2"/>
      <c r="T82" s="2"/>
      <c r="U82" s="2"/>
      <c r="V82" s="2"/>
      <c r="W82" s="2"/>
      <c r="X82" s="2"/>
      <c r="Y82" s="2"/>
      <c r="Z82" s="2"/>
      <c r="AA82" s="2"/>
      <c r="AB82" s="2"/>
      <c r="AC82" s="2"/>
      <c r="AD82" s="2"/>
    </row>
    <row r="83" spans="2:30" x14ac:dyDescent="0.35">
      <c r="B83" s="2"/>
      <c r="C83" s="2"/>
      <c r="D83" s="2"/>
      <c r="E83" s="2"/>
      <c r="F83" s="2"/>
      <c r="G83" s="2"/>
      <c r="H83" s="2"/>
      <c r="I83" s="2"/>
      <c r="J83" s="2"/>
    </row>
    <row r="84" spans="2:30" x14ac:dyDescent="0.35">
      <c r="B84" s="2"/>
      <c r="C84" s="2"/>
      <c r="D84" s="2"/>
      <c r="E84" s="2"/>
      <c r="F84" s="2"/>
      <c r="G84" s="2"/>
      <c r="H84" s="2"/>
      <c r="I84" s="2"/>
      <c r="J84" s="2"/>
    </row>
    <row r="85" spans="2:30" x14ac:dyDescent="0.35">
      <c r="B85" s="2"/>
      <c r="C85" s="2"/>
      <c r="D85" s="2"/>
      <c r="E85" s="2"/>
      <c r="F85" s="2"/>
      <c r="G85" s="2"/>
      <c r="H85" s="2"/>
      <c r="I85" s="2"/>
      <c r="J85" s="2"/>
    </row>
    <row r="86" spans="2:30" x14ac:dyDescent="0.35">
      <c r="B86" s="2"/>
      <c r="C86" s="2"/>
      <c r="D86" s="2"/>
      <c r="E86" s="2"/>
      <c r="F86" s="2"/>
      <c r="G86" s="2"/>
      <c r="H86" s="2"/>
      <c r="I86" s="2"/>
      <c r="J86" s="2"/>
    </row>
    <row r="87" spans="2:30" x14ac:dyDescent="0.35">
      <c r="B87" s="2"/>
      <c r="C87" s="2"/>
      <c r="D87" s="2"/>
      <c r="E87" s="2"/>
      <c r="F87" s="2"/>
      <c r="G87" s="2"/>
      <c r="H87" s="2"/>
      <c r="I87" s="2"/>
      <c r="J87" s="2"/>
    </row>
    <row r="88" spans="2:30" x14ac:dyDescent="0.35">
      <c r="B88" s="2"/>
      <c r="C88" s="2"/>
      <c r="D88" s="2"/>
      <c r="E88" s="2"/>
      <c r="F88" s="2"/>
      <c r="G88" s="2"/>
      <c r="H88" s="2"/>
      <c r="I88" s="2"/>
      <c r="J88" s="2"/>
    </row>
    <row r="89" spans="2:30" x14ac:dyDescent="0.35">
      <c r="B89" s="2"/>
      <c r="C89" s="2"/>
      <c r="D89" s="2"/>
      <c r="E89" s="2"/>
      <c r="F89" s="2"/>
      <c r="G89" s="2"/>
      <c r="H89" s="2"/>
      <c r="I89" s="2"/>
      <c r="J89" s="2"/>
    </row>
    <row r="90" spans="2:30" x14ac:dyDescent="0.35">
      <c r="B90" s="2"/>
      <c r="C90" s="2"/>
      <c r="D90" s="2"/>
      <c r="E90" s="2"/>
      <c r="F90" s="2"/>
      <c r="G90" s="2"/>
      <c r="H90" s="2"/>
      <c r="I90" s="2"/>
      <c r="J90" s="2"/>
    </row>
    <row r="91" spans="2:30" x14ac:dyDescent="0.35">
      <c r="B91" s="2"/>
      <c r="C91" s="2"/>
      <c r="D91" s="2"/>
      <c r="E91" s="2"/>
      <c r="F91" s="2"/>
      <c r="G91" s="2"/>
      <c r="H91" s="2"/>
      <c r="I91" s="2"/>
      <c r="J91" s="2"/>
      <c r="K91" s="2"/>
      <c r="L91" s="2"/>
      <c r="M91" s="2"/>
      <c r="N91" s="2"/>
      <c r="O91" s="2"/>
    </row>
    <row r="92" spans="2:30" x14ac:dyDescent="0.35">
      <c r="B92" s="2"/>
      <c r="C92" s="2"/>
      <c r="D92" s="2"/>
      <c r="E92" s="2"/>
      <c r="F92" s="2"/>
      <c r="G92" s="2"/>
      <c r="H92" s="2"/>
      <c r="I92" s="2"/>
      <c r="J92" s="2"/>
      <c r="K92" s="2"/>
      <c r="L92" s="2"/>
      <c r="M92" s="2"/>
      <c r="N92" s="2"/>
      <c r="O92" s="2"/>
    </row>
    <row r="93" spans="2:30" x14ac:dyDescent="0.35">
      <c r="B93" s="2"/>
      <c r="C93" s="2"/>
      <c r="D93" s="2"/>
      <c r="E93" s="2"/>
      <c r="F93" s="2"/>
      <c r="G93" s="2"/>
      <c r="H93" s="2"/>
      <c r="I93" s="2"/>
      <c r="J93" s="2"/>
      <c r="K93" s="2"/>
      <c r="L93" s="2"/>
      <c r="M93" s="2"/>
      <c r="N93" s="2"/>
      <c r="O93" s="2"/>
    </row>
    <row r="94" spans="2:30" x14ac:dyDescent="0.35">
      <c r="B94" s="2"/>
      <c r="C94" s="2"/>
      <c r="D94" s="2"/>
      <c r="E94" s="2"/>
      <c r="F94" s="2"/>
      <c r="G94" s="2"/>
      <c r="H94" s="2"/>
      <c r="I94" s="2"/>
      <c r="J94" s="2"/>
      <c r="K94" s="2"/>
      <c r="L94" s="2"/>
      <c r="M94" s="2"/>
      <c r="N94" s="2"/>
      <c r="O94" s="2"/>
    </row>
    <row r="95" spans="2:30" x14ac:dyDescent="0.35">
      <c r="B95" s="2"/>
      <c r="C95" s="2"/>
      <c r="D95" s="2"/>
      <c r="E95" s="2"/>
      <c r="F95" s="2"/>
      <c r="G95" s="2"/>
      <c r="H95" s="2"/>
      <c r="I95" s="2"/>
      <c r="J95" s="2"/>
      <c r="K95" s="2"/>
      <c r="L95" s="2"/>
      <c r="M95" s="2"/>
      <c r="N95" s="2"/>
      <c r="O95" s="2"/>
    </row>
    <row r="96" spans="2:30" x14ac:dyDescent="0.35">
      <c r="B96" s="2"/>
      <c r="C96" s="2"/>
      <c r="D96" s="2"/>
      <c r="E96" s="2"/>
      <c r="F96" s="2"/>
      <c r="G96" s="2"/>
      <c r="H96" s="2"/>
      <c r="I96" s="2"/>
      <c r="J96" s="2"/>
      <c r="K96" s="2"/>
      <c r="L96" s="2"/>
      <c r="M96" s="2"/>
      <c r="N96" s="2"/>
      <c r="O96" s="2"/>
    </row>
    <row r="97" spans="2:15" x14ac:dyDescent="0.35">
      <c r="B97" s="2"/>
      <c r="C97" s="2"/>
      <c r="D97" s="2"/>
      <c r="E97" s="2"/>
      <c r="F97" s="2"/>
      <c r="G97" s="2"/>
      <c r="H97" s="2"/>
      <c r="I97" s="2"/>
      <c r="J97" s="2"/>
      <c r="K97" s="2"/>
      <c r="L97" s="2"/>
      <c r="M97" s="2"/>
      <c r="N97" s="2"/>
      <c r="O97" s="2"/>
    </row>
  </sheetData>
  <sheetProtection algorithmName="SHA-512" hashValue="znxJMGAv2JQoKurHZSEkz8hG6Nf3RayHTgIRajK/VAtDnBqeG1bbb09je0Pry/s7MO+iN0WFTcZl0CDndkes2A==" saltValue="56mFEdxYSZWLGwAJcAnZ0A==" spinCount="100000" sheet="1" objects="1" scenarios="1" selectLockedCells="1"/>
  <mergeCells count="30">
    <mergeCell ref="B3:I4"/>
    <mergeCell ref="D44:E44"/>
    <mergeCell ref="D46:E46"/>
    <mergeCell ref="D45:E45"/>
    <mergeCell ref="B25:C25"/>
    <mergeCell ref="B18:C18"/>
    <mergeCell ref="E23:F23"/>
    <mergeCell ref="H11:I11"/>
    <mergeCell ref="D40:E40"/>
    <mergeCell ref="D41:E41"/>
    <mergeCell ref="D42:E42"/>
    <mergeCell ref="H9:I9"/>
    <mergeCell ref="H33:I35"/>
    <mergeCell ref="H23:I23"/>
    <mergeCell ref="H30:I30"/>
    <mergeCell ref="B5:E5"/>
    <mergeCell ref="F5:I5"/>
    <mergeCell ref="B6:E7"/>
    <mergeCell ref="F6:I7"/>
    <mergeCell ref="H8:I8"/>
    <mergeCell ref="B8:C8"/>
    <mergeCell ref="D47:F48"/>
    <mergeCell ref="B30:C30"/>
    <mergeCell ref="E8:F8"/>
    <mergeCell ref="E9:F9"/>
    <mergeCell ref="B9:C9"/>
    <mergeCell ref="B38:C38"/>
    <mergeCell ref="E11:F11"/>
    <mergeCell ref="B11:C11"/>
    <mergeCell ref="D43:E43"/>
  </mergeCells>
  <conditionalFormatting sqref="B40:B46">
    <cfRule type="cellIs" dxfId="10" priority="12" operator="equal">
      <formula>"Select One"</formula>
    </cfRule>
  </conditionalFormatting>
  <conditionalFormatting sqref="C40:C46">
    <cfRule type="cellIs" dxfId="9" priority="11" operator="equal">
      <formula>0</formula>
    </cfRule>
  </conditionalFormatting>
  <conditionalFormatting sqref="D40:F46">
    <cfRule type="cellIs" dxfId="8" priority="10" operator="equal">
      <formula>"YES"</formula>
    </cfRule>
  </conditionalFormatting>
  <conditionalFormatting sqref="F20:F21">
    <cfRule type="containsText" dxfId="7" priority="14" operator="containsText" text="YES">
      <formula>NOT(ISERROR(SEARCH("YES",F20)))</formula>
    </cfRule>
  </conditionalFormatting>
  <conditionalFormatting sqref="I19">
    <cfRule type="cellIs" dxfId="6" priority="9" operator="equal">
      <formula>"Yes"</formula>
    </cfRule>
  </conditionalFormatting>
  <conditionalFormatting sqref="I31">
    <cfRule type="colorScale" priority="5">
      <colorScale>
        <cfvo type="num" val="0"/>
        <cfvo type="num" val="0.5"/>
        <cfvo type="num" val="1"/>
        <color rgb="FFFFC7CE"/>
        <color rgb="FFFFEB9C"/>
        <color rgb="FFC6EFCE"/>
      </colorScale>
    </cfRule>
  </conditionalFormatting>
  <conditionalFormatting sqref="I32">
    <cfRule type="containsText" dxfId="5" priority="1" operator="containsText" text="At Limit">
      <formula>NOT(ISERROR(SEARCH("At Limit",I32)))</formula>
    </cfRule>
    <cfRule type="cellIs" dxfId="4" priority="2" operator="equal">
      <formula>"On Track"</formula>
    </cfRule>
    <cfRule type="cellIs" dxfId="3" priority="3" operator="equal">
      <formula>"Behind Target"</formula>
    </cfRule>
    <cfRule type="containsText" dxfId="2" priority="4" operator="containsText" text="YES">
      <formula>NOT(ISERROR(SEARCH("YES",I32)))</formula>
    </cfRule>
  </conditionalFormatting>
  <conditionalFormatting sqref="Q58">
    <cfRule type="cellIs" dxfId="1" priority="6" stopIfTrue="1" operator="equal">
      <formula>"⚠ Over 90% cap"</formula>
    </cfRule>
    <cfRule type="cellIs" dxfId="0" priority="7" operator="equal">
      <formula>"OK"</formula>
    </cfRule>
  </conditionalFormatting>
  <conditionalFormatting sqref="U63">
    <cfRule type="colorScale" priority="8">
      <colorScale>
        <cfvo type="num" val="0"/>
        <cfvo type="num" val="0.5"/>
        <cfvo type="num" val="1"/>
        <color rgb="FFFFC7CE"/>
        <color rgb="FFFFEB9C"/>
        <color rgb="FFC6EFCE"/>
      </colorScale>
    </cfRule>
  </conditionalFormatting>
  <dataValidations count="4">
    <dataValidation type="list" sqref="C15" xr:uid="{00000000-0002-0000-0000-000000000000}">
      <formula1>"Select One,Bi-Weekly,Semi-Monthly"</formula1>
    </dataValidation>
    <dataValidation sqref="F25" xr:uid="{B3957790-EF2C-4A52-B5D5-E500705D2B25}"/>
    <dataValidation type="list" allowBlank="1" sqref="Q45" xr:uid="{ED33A878-9F0F-41AC-908D-EAC8F494A063}">
      <formula1>"YES,NO"</formula1>
    </dataValidation>
    <dataValidation type="list" allowBlank="1" showInputMessage="1" showErrorMessage="1" sqref="B40:B46" xr:uid="{43D813E1-E876-4EC2-97D7-4AE9FCBF6C4E}">
      <formula1>$V$3:$V$31</formula1>
    </dataValidation>
  </dataValidations>
  <pageMargins left="0.75" right="0.75" top="1" bottom="1" header="0.5" footer="0.5"/>
  <pageSetup orientation="landscape" horizontalDpi="360" verticalDpi="360" r:id="rId1"/>
  <drawing r:id="rId2"/>
  <tableParts count="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0C672-F43F-4576-8FA2-ACC336ED67EC}">
  <dimension ref="A1:I12"/>
  <sheetViews>
    <sheetView workbookViewId="0"/>
    <sheetView workbookViewId="1"/>
  </sheetViews>
  <sheetFormatPr defaultRowHeight="14.5" x14ac:dyDescent="0.35"/>
  <cols>
    <col min="2" max="2" width="16.90625" style="2" customWidth="1"/>
    <col min="3" max="3" width="15.453125" style="2" customWidth="1"/>
    <col min="4" max="4" width="16.6328125" style="2" customWidth="1"/>
    <col min="5" max="5" width="17.7265625" style="2" customWidth="1"/>
    <col min="6" max="6" width="18.90625" style="2" customWidth="1"/>
    <col min="7" max="7" width="15.7265625" style="2" customWidth="1"/>
    <col min="8" max="8" width="18" style="2" customWidth="1"/>
    <col min="9" max="9" width="8.7265625" style="120"/>
  </cols>
  <sheetData>
    <row r="1" spans="1:8" ht="15" thickBot="1" x14ac:dyDescent="0.4"/>
    <row r="2" spans="1:8" ht="25" x14ac:dyDescent="0.5">
      <c r="A2" s="120"/>
      <c r="B2" s="200" t="s">
        <v>117</v>
      </c>
      <c r="C2" s="201"/>
      <c r="D2" s="201"/>
      <c r="E2" s="201"/>
      <c r="F2" s="201"/>
      <c r="G2" s="201"/>
      <c r="H2" s="202"/>
    </row>
    <row r="3" spans="1:8" ht="4" customHeight="1" x14ac:dyDescent="0.35">
      <c r="A3" s="120"/>
      <c r="B3" s="107"/>
      <c r="H3" s="108"/>
    </row>
    <row r="4" spans="1:8" x14ac:dyDescent="0.35">
      <c r="A4" s="120"/>
      <c r="B4" s="107"/>
      <c r="C4" s="109" t="s">
        <v>103</v>
      </c>
      <c r="D4" s="109" t="s">
        <v>104</v>
      </c>
      <c r="F4" s="109" t="s">
        <v>103</v>
      </c>
      <c r="G4" s="109" t="s">
        <v>103</v>
      </c>
      <c r="H4" s="108"/>
    </row>
    <row r="5" spans="1:8" ht="68.5" thickBot="1" x14ac:dyDescent="0.4">
      <c r="A5" s="120"/>
      <c r="B5" s="110" t="s">
        <v>105</v>
      </c>
      <c r="C5" s="101" t="s">
        <v>106</v>
      </c>
      <c r="D5" s="101" t="s">
        <v>107</v>
      </c>
      <c r="E5" s="101" t="s">
        <v>108</v>
      </c>
      <c r="F5" s="101" t="s">
        <v>109</v>
      </c>
      <c r="G5" s="101" t="s">
        <v>110</v>
      </c>
      <c r="H5" s="111" t="s">
        <v>111</v>
      </c>
    </row>
    <row r="6" spans="1:8" x14ac:dyDescent="0.35">
      <c r="A6" s="120"/>
      <c r="B6" s="112" t="s">
        <v>112</v>
      </c>
      <c r="C6" s="102">
        <v>24500</v>
      </c>
      <c r="D6" s="102">
        <v>0</v>
      </c>
      <c r="E6" s="102">
        <f>SUM(C6:D6)</f>
        <v>24500</v>
      </c>
      <c r="F6" s="102">
        <v>2100</v>
      </c>
      <c r="G6" s="102">
        <f>H6-F6-C6</f>
        <v>45400</v>
      </c>
      <c r="H6" s="113">
        <v>72000</v>
      </c>
    </row>
    <row r="7" spans="1:8" ht="29" x14ac:dyDescent="0.35">
      <c r="A7" s="120"/>
      <c r="B7" s="114" t="s">
        <v>113</v>
      </c>
      <c r="C7" s="103">
        <v>24500</v>
      </c>
      <c r="D7" s="103">
        <v>8000</v>
      </c>
      <c r="E7" s="103">
        <f>SUM(C7:D7)</f>
        <v>32500</v>
      </c>
      <c r="F7" s="103">
        <v>2100</v>
      </c>
      <c r="G7" s="104">
        <f>H7-F7-C7</f>
        <v>45400</v>
      </c>
      <c r="H7" s="115">
        <v>72000</v>
      </c>
    </row>
    <row r="8" spans="1:8" ht="15" thickBot="1" x14ac:dyDescent="0.4">
      <c r="A8" s="120"/>
      <c r="B8" s="116" t="s">
        <v>114</v>
      </c>
      <c r="C8" s="117">
        <v>24500</v>
      </c>
      <c r="D8" s="117">
        <v>11250</v>
      </c>
      <c r="E8" s="117">
        <f>SUM(C8:D8)</f>
        <v>35750</v>
      </c>
      <c r="F8" s="117">
        <v>2100</v>
      </c>
      <c r="G8" s="118">
        <f>H8-F8-C8</f>
        <v>45400</v>
      </c>
      <c r="H8" s="119">
        <v>72000</v>
      </c>
    </row>
    <row r="9" spans="1:8" ht="36.5" x14ac:dyDescent="0.35">
      <c r="A9" s="120"/>
      <c r="D9" s="105" t="s">
        <v>115</v>
      </c>
      <c r="G9" s="106" t="s">
        <v>116</v>
      </c>
    </row>
    <row r="10" spans="1:8" x14ac:dyDescent="0.35">
      <c r="A10" s="120"/>
    </row>
    <row r="11" spans="1:8" x14ac:dyDescent="0.35">
      <c r="A11" s="120"/>
    </row>
    <row r="12" spans="1:8" x14ac:dyDescent="0.35">
      <c r="A12" s="120"/>
    </row>
  </sheetData>
  <mergeCells count="1">
    <mergeCell ref="B2:H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1"/>
  <sheetViews>
    <sheetView workbookViewId="0"/>
    <sheetView workbookViewId="1"/>
  </sheetViews>
  <sheetFormatPr defaultRowHeight="14.5" x14ac:dyDescent="0.35"/>
  <cols>
    <col min="1" max="1" width="110" customWidth="1"/>
  </cols>
  <sheetData>
    <row r="1" spans="1:1" ht="116" x14ac:dyDescent="0.35">
      <c r="A1" s="1" t="s">
        <v>4</v>
      </c>
    </row>
    <row r="4" spans="1:1" x14ac:dyDescent="0.35">
      <c r="A4" s="5" t="s">
        <v>67</v>
      </c>
    </row>
    <row r="5" spans="1:1" x14ac:dyDescent="0.35">
      <c r="A5" s="6"/>
    </row>
    <row r="6" spans="1:1" x14ac:dyDescent="0.35">
      <c r="A6" s="6" t="s">
        <v>68</v>
      </c>
    </row>
    <row r="7" spans="1:1" x14ac:dyDescent="0.35">
      <c r="A7" s="6" t="s">
        <v>69</v>
      </c>
    </row>
    <row r="8" spans="1:1" ht="39" x14ac:dyDescent="0.35">
      <c r="A8" s="7" t="s">
        <v>75</v>
      </c>
    </row>
    <row r="9" spans="1:1" x14ac:dyDescent="0.35">
      <c r="A9" s="5"/>
    </row>
    <row r="10" spans="1:1" x14ac:dyDescent="0.35">
      <c r="A10" s="5" t="s">
        <v>66</v>
      </c>
    </row>
    <row r="11" spans="1:1" x14ac:dyDescent="0.35">
      <c r="A11" s="6"/>
    </row>
    <row r="12" spans="1:1" x14ac:dyDescent="0.35">
      <c r="A12" s="6" t="s">
        <v>70</v>
      </c>
    </row>
    <row r="13" spans="1:1" x14ac:dyDescent="0.35">
      <c r="A13" s="6" t="s">
        <v>71</v>
      </c>
    </row>
    <row r="14" spans="1:1" x14ac:dyDescent="0.35">
      <c r="A14" s="6" t="s">
        <v>72</v>
      </c>
    </row>
    <row r="15" spans="1:1" x14ac:dyDescent="0.35">
      <c r="A15" s="6" t="s">
        <v>73</v>
      </c>
    </row>
    <row r="16" spans="1:1" x14ac:dyDescent="0.35">
      <c r="A16" s="6" t="s">
        <v>74</v>
      </c>
    </row>
    <row r="19" spans="1:2" ht="32" x14ac:dyDescent="0.35">
      <c r="A19" s="7" t="s">
        <v>86</v>
      </c>
    </row>
    <row r="21" spans="1:2" x14ac:dyDescent="0.35">
      <c r="A21" s="203" t="s">
        <v>89</v>
      </c>
      <c r="B21" s="203"/>
    </row>
  </sheetData>
  <mergeCells count="1">
    <mergeCell ref="A21:B21"/>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28</vt:i4>
      </vt:variant>
    </vt:vector>
  </HeadingPairs>
  <TitlesOfParts>
    <vt:vector size="31" baseType="lpstr">
      <vt:lpstr>Dashboard</vt:lpstr>
      <vt:lpstr>Limits</vt:lpstr>
      <vt:lpstr>Read Me</vt:lpstr>
      <vt:lpstr>After_Tax_YTD</vt:lpstr>
      <vt:lpstr>Age_AsOf_Date</vt:lpstr>
      <vt:lpstr>AgeAsOf</vt:lpstr>
      <vt:lpstr>C_415_Limit</vt:lpstr>
      <vt:lpstr>C_415_YTD_Total</vt:lpstr>
      <vt:lpstr>CompensationList</vt:lpstr>
      <vt:lpstr>Current_AfterTax_Pct</vt:lpstr>
      <vt:lpstr>Current_AT_415C_YTD</vt:lpstr>
      <vt:lpstr>Current_PreTax_Pct</vt:lpstr>
      <vt:lpstr>Current_Roth_Pct</vt:lpstr>
      <vt:lpstr>Current_Roth_YTD</vt:lpstr>
      <vt:lpstr>Eligible_Comp_Per_Pay</vt:lpstr>
      <vt:lpstr>Eligible_Comp_Per_Pay_Bkdwn</vt:lpstr>
      <vt:lpstr>ER_Match_YTD</vt:lpstr>
      <vt:lpstr>Gross_Per_Pay</vt:lpstr>
      <vt:lpstr>HighEarner_RothCatchup_Flag</vt:lpstr>
      <vt:lpstr>K401_PreTax</vt:lpstr>
      <vt:lpstr>K401_YTD</vt:lpstr>
      <vt:lpstr>Match_AnnualCap</vt:lpstr>
      <vt:lpstr>Match_FullRatePct</vt:lpstr>
      <vt:lpstr>Match_MaxPct</vt:lpstr>
      <vt:lpstr>Match_YTD</vt:lpstr>
      <vt:lpstr>PayDateList</vt:lpstr>
      <vt:lpstr>Recommended_PerPay_PreTax</vt:lpstr>
      <vt:lpstr>Recommended_PerPay_Roth</vt:lpstr>
      <vt:lpstr>Remaining_Pay_Periods</vt:lpstr>
      <vt:lpstr>Roth_401_k__YTD</vt:lpstr>
      <vt:lpstr>W2_Box3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Samantha Horst</cp:lastModifiedBy>
  <dcterms:created xsi:type="dcterms:W3CDTF">2025-12-13T03:15:48Z</dcterms:created>
  <dcterms:modified xsi:type="dcterms:W3CDTF">2026-01-08T21:30:21Z</dcterms:modified>
</cp:coreProperties>
</file>