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sbartnik\Documents\"/>
    </mc:Choice>
  </mc:AlternateContent>
  <xr:revisionPtr revIDLastSave="0" documentId="13_ncr:1_{3D7D86FC-0A74-4590-9962-BA758F63EEE4}" xr6:coauthVersionLast="47" xr6:coauthVersionMax="47" xr10:uidLastSave="{00000000-0000-0000-0000-000000000000}"/>
  <workbookProtection workbookAlgorithmName="SHA-512" workbookHashValue="6mwLAAO44q2v2a8iAmA60qgCUhWJuXZj/4sj4hG1FW2q2ykaUDsxbtIFp/Bw86Xxa27E+hTcVeQzdvHuXL16sQ==" workbookSaltValue="ymKxc7OBccgbc7jGJXcJ4Q==" workbookSpinCount="100000" lockStructure="1"/>
  <bookViews>
    <workbookView xWindow="-28920" yWindow="675" windowWidth="29040" windowHeight="15720" xr2:uid="{00000000-000D-0000-FFFF-FFFF00000000}"/>
  </bookViews>
  <sheets>
    <sheet name="HSA Calculator" sheetId="2" r:id="rId1"/>
    <sheet name="IRS Rules" sheetId="5" state="hidden" r:id="rId2"/>
    <sheet name="Tables" sheetId="1" state="hidden" r:id="rId3"/>
    <sheet name="Semi-Monthly Schedule" sheetId="3" state="hidden" r:id="rId4"/>
    <sheet name="Bi-Weekly Schedule" sheetId="4" state="hidden" r:id="rId5"/>
  </sheets>
  <definedNames>
    <definedName name="_xlnm._FilterDatabase" localSheetId="0" hidden="1">'HSA Calculator'!$A$4:$L$13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 i="2" l="1"/>
  <c r="H6" i="2" l="1"/>
  <c r="K18" i="2" s="1"/>
  <c r="J18" i="2"/>
  <c r="C4" i="2"/>
  <c r="I10" i="2"/>
  <c r="I12" i="2"/>
  <c r="I11" i="2"/>
  <c r="I9" i="2"/>
  <c r="H12" i="2"/>
  <c r="H11" i="2"/>
  <c r="H10" i="2"/>
  <c r="H9" i="2"/>
  <c r="AA4" i="4"/>
  <c r="AA5" i="4"/>
  <c r="AA6" i="4"/>
  <c r="AA7" i="4"/>
  <c r="AA8" i="4"/>
  <c r="AA9" i="4"/>
  <c r="AA10" i="4"/>
  <c r="AA11" i="4"/>
  <c r="AA12" i="4"/>
  <c r="AA13" i="4"/>
  <c r="AA14" i="4"/>
  <c r="AA15" i="4"/>
  <c r="AA16" i="4"/>
  <c r="AA17" i="4"/>
  <c r="AA18" i="4"/>
  <c r="AA19" i="4"/>
  <c r="AA20" i="4"/>
  <c r="AA21" i="4"/>
  <c r="AA22" i="4"/>
  <c r="AA23" i="4"/>
  <c r="AA24" i="4"/>
  <c r="AA25" i="4"/>
  <c r="AA26" i="4"/>
  <c r="AA27" i="4"/>
  <c r="AA28" i="4"/>
  <c r="AA3" i="4"/>
  <c r="AA4" i="3"/>
  <c r="AA5" i="3"/>
  <c r="AA6" i="3"/>
  <c r="AA7" i="3"/>
  <c r="AA8" i="3"/>
  <c r="AA9" i="3"/>
  <c r="AA10" i="3"/>
  <c r="AA11" i="3"/>
  <c r="AA12" i="3"/>
  <c r="AA13" i="3"/>
  <c r="AA14" i="3"/>
  <c r="AA15" i="3"/>
  <c r="AA16" i="3"/>
  <c r="AA17" i="3"/>
  <c r="AA18" i="3"/>
  <c r="AA19" i="3"/>
  <c r="AA20" i="3"/>
  <c r="AA21" i="3"/>
  <c r="AA22" i="3"/>
  <c r="AA23" i="3"/>
  <c r="AA24" i="3"/>
  <c r="AA25" i="3"/>
  <c r="AA26" i="3"/>
  <c r="AA3" i="3"/>
  <c r="A30" i="3"/>
  <c r="Z3" i="3"/>
  <c r="Z26" i="3"/>
  <c r="Z25" i="3"/>
  <c r="Z24" i="3"/>
  <c r="Z23" i="3"/>
  <c r="Z22" i="3"/>
  <c r="Z21" i="3"/>
  <c r="Z20" i="3"/>
  <c r="Z19" i="3"/>
  <c r="Z18" i="3"/>
  <c r="Z17" i="3"/>
  <c r="Z16" i="3"/>
  <c r="Z15" i="3"/>
  <c r="Z14" i="3"/>
  <c r="Z13" i="3"/>
  <c r="Z12" i="3"/>
  <c r="Z11" i="3"/>
  <c r="Z10" i="3"/>
  <c r="Z9" i="3"/>
  <c r="Z8" i="3"/>
  <c r="Z7" i="3"/>
  <c r="Z6" i="3"/>
  <c r="Z5" i="3"/>
  <c r="Z4" i="3"/>
  <c r="Z28" i="4"/>
  <c r="Z27" i="4"/>
  <c r="Z26" i="4"/>
  <c r="Z25" i="4"/>
  <c r="Z24" i="4"/>
  <c r="Z23" i="4"/>
  <c r="Z22" i="4"/>
  <c r="Z21" i="4"/>
  <c r="Z20" i="4"/>
  <c r="Z19" i="4"/>
  <c r="Z18" i="4"/>
  <c r="Z17" i="4"/>
  <c r="Z16" i="4"/>
  <c r="Z15" i="4"/>
  <c r="Z14" i="4"/>
  <c r="Z13" i="4"/>
  <c r="Z12" i="4"/>
  <c r="Z11" i="4"/>
  <c r="Z10" i="4"/>
  <c r="Z9" i="4"/>
  <c r="Z8" i="4"/>
  <c r="Z7" i="4"/>
  <c r="Z6" i="4"/>
  <c r="Z5" i="4"/>
  <c r="Z4" i="4"/>
  <c r="Z3" i="4"/>
  <c r="P56" i="1" l="1"/>
  <c r="Q56" i="1"/>
  <c r="S56" i="1"/>
  <c r="T56" i="1"/>
  <c r="V56" i="1"/>
  <c r="W56" i="1"/>
  <c r="Z56" i="1"/>
  <c r="F12" i="2" a="1"/>
  <c r="F12" i="2" s="1"/>
  <c r="F11" i="2" a="1"/>
  <c r="F11" i="2" s="1"/>
  <c r="J12" i="2" l="1"/>
  <c r="F9" i="2" l="1" a="1"/>
  <c r="F9" i="2" s="1"/>
  <c r="F10" i="2" a="1"/>
  <c r="F10" i="2" s="1"/>
  <c r="L28" i="4"/>
  <c r="J28" i="4" s="1"/>
  <c r="B28" i="4"/>
  <c r="B27" i="4"/>
  <c r="L26" i="4"/>
  <c r="K26" i="4"/>
  <c r="J26" i="4" s="1"/>
  <c r="B26" i="4"/>
  <c r="B25" i="4"/>
  <c r="L24" i="4"/>
  <c r="K24" i="4"/>
  <c r="B24" i="4"/>
  <c r="B23" i="4"/>
  <c r="B22" i="4"/>
  <c r="L21" i="4"/>
  <c r="K21" i="4"/>
  <c r="B21" i="4"/>
  <c r="B20" i="4"/>
  <c r="L19" i="4"/>
  <c r="K19" i="4"/>
  <c r="B19" i="4"/>
  <c r="B18" i="4"/>
  <c r="L17" i="4"/>
  <c r="J17" i="4" s="1"/>
  <c r="K17" i="4"/>
  <c r="B17" i="4"/>
  <c r="B16" i="4"/>
  <c r="L15" i="4"/>
  <c r="K15" i="4"/>
  <c r="J15" i="4"/>
  <c r="B15" i="4"/>
  <c r="B14" i="4"/>
  <c r="L13" i="4"/>
  <c r="K13" i="4"/>
  <c r="J13" i="4" s="1"/>
  <c r="B13" i="4"/>
  <c r="B12" i="4"/>
  <c r="B11" i="4"/>
  <c r="L10" i="4"/>
  <c r="K10" i="4"/>
  <c r="J10" i="4" s="1"/>
  <c r="B10" i="4"/>
  <c r="B9" i="4"/>
  <c r="L8" i="4"/>
  <c r="K8" i="4"/>
  <c r="B8" i="4"/>
  <c r="B7" i="4"/>
  <c r="L6" i="4"/>
  <c r="K6" i="4"/>
  <c r="J6" i="4" s="1"/>
  <c r="B6" i="4"/>
  <c r="B5" i="4"/>
  <c r="L4" i="4"/>
  <c r="K4" i="4"/>
  <c r="B4" i="4"/>
  <c r="B3" i="4"/>
  <c r="J9" i="2" l="1"/>
  <c r="J19" i="4"/>
  <c r="J24" i="4"/>
  <c r="J21" i="4"/>
  <c r="J8" i="4"/>
  <c r="J10" i="2"/>
  <c r="J4" i="4"/>
  <c r="J11" i="2"/>
  <c r="Z55" i="1"/>
  <c r="W55" i="1"/>
  <c r="T55" i="1"/>
  <c r="Q55" i="1"/>
  <c r="Z54" i="1"/>
  <c r="W54" i="1"/>
  <c r="T54" i="1"/>
  <c r="Q54" i="1"/>
  <c r="Z53" i="1"/>
  <c r="W53" i="1"/>
  <c r="T53" i="1"/>
  <c r="Q53" i="1"/>
  <c r="Z52" i="1"/>
  <c r="W52" i="1"/>
  <c r="T52" i="1"/>
  <c r="Q52" i="1"/>
  <c r="Z51" i="1"/>
  <c r="W51" i="1"/>
  <c r="T51" i="1"/>
  <c r="Q51" i="1"/>
  <c r="Z50" i="1"/>
  <c r="W50" i="1"/>
  <c r="T50" i="1"/>
  <c r="Q50" i="1"/>
  <c r="L51" i="1"/>
  <c r="Z49" i="1"/>
  <c r="W49" i="1"/>
  <c r="T49" i="1"/>
  <c r="Q49" i="1"/>
  <c r="Z48" i="1"/>
  <c r="W48" i="1"/>
  <c r="T48" i="1"/>
  <c r="Q48" i="1"/>
  <c r="Z47" i="1"/>
  <c r="W47" i="1"/>
  <c r="T47" i="1"/>
  <c r="Q47" i="1"/>
  <c r="Z46" i="1"/>
  <c r="W46" i="1"/>
  <c r="T46" i="1"/>
  <c r="Q46" i="1"/>
  <c r="Z45" i="1"/>
  <c r="W45" i="1"/>
  <c r="T45" i="1"/>
  <c r="Q45" i="1"/>
  <c r="Z44" i="1"/>
  <c r="W44" i="1"/>
  <c r="T44" i="1"/>
  <c r="Q44" i="1"/>
  <c r="Z43" i="1"/>
  <c r="W43" i="1"/>
  <c r="T43" i="1"/>
  <c r="Q43" i="1"/>
  <c r="N46" i="1"/>
  <c r="Z42" i="1"/>
  <c r="W42" i="1"/>
  <c r="T42" i="1"/>
  <c r="Q42" i="1"/>
  <c r="Z41" i="1"/>
  <c r="W41" i="1"/>
  <c r="T41" i="1"/>
  <c r="Q41" i="1"/>
  <c r="L42" i="1"/>
  <c r="Z40" i="1"/>
  <c r="W40" i="1"/>
  <c r="T40" i="1"/>
  <c r="Q40" i="1"/>
  <c r="Z39" i="1"/>
  <c r="W39" i="1"/>
  <c r="T39" i="1"/>
  <c r="Q39" i="1"/>
  <c r="L40" i="1"/>
  <c r="Z38" i="1"/>
  <c r="W38" i="1"/>
  <c r="T38" i="1"/>
  <c r="Q38" i="1"/>
  <c r="Z37" i="1"/>
  <c r="W37" i="1"/>
  <c r="T37" i="1"/>
  <c r="Q37" i="1"/>
  <c r="Z36" i="1"/>
  <c r="W36" i="1"/>
  <c r="T36" i="1"/>
  <c r="Q36" i="1"/>
  <c r="Z35" i="1"/>
  <c r="W35" i="1"/>
  <c r="T35" i="1"/>
  <c r="Q35" i="1"/>
  <c r="Z34" i="1"/>
  <c r="W34" i="1"/>
  <c r="T34" i="1"/>
  <c r="Q34" i="1"/>
  <c r="Z33" i="1"/>
  <c r="W33" i="1"/>
  <c r="T33" i="1"/>
  <c r="Q33" i="1"/>
  <c r="Z32" i="1"/>
  <c r="W32" i="1"/>
  <c r="T32" i="1"/>
  <c r="Q32" i="1"/>
  <c r="L33" i="1"/>
  <c r="Z31" i="1"/>
  <c r="W31" i="1"/>
  <c r="T31" i="1"/>
  <c r="Q31" i="1"/>
  <c r="Z30" i="1"/>
  <c r="W30" i="1"/>
  <c r="T30" i="1"/>
  <c r="Q30" i="1"/>
  <c r="L31" i="1"/>
  <c r="Z29" i="1"/>
  <c r="W29" i="1"/>
  <c r="T29" i="1"/>
  <c r="Q29" i="1"/>
  <c r="Z28" i="1"/>
  <c r="W28" i="1"/>
  <c r="T28" i="1"/>
  <c r="Q28" i="1"/>
  <c r="Z27" i="1"/>
  <c r="W27" i="1"/>
  <c r="T27" i="1"/>
  <c r="Q27" i="1"/>
  <c r="Z26" i="1"/>
  <c r="W26" i="1"/>
  <c r="T26" i="1"/>
  <c r="Q26" i="1"/>
  <c r="Z25" i="1"/>
  <c r="W25" i="1"/>
  <c r="T25" i="1"/>
  <c r="Q25" i="1"/>
  <c r="Z24" i="1"/>
  <c r="W24" i="1"/>
  <c r="T24" i="1"/>
  <c r="Q24" i="1"/>
  <c r="Z23" i="1"/>
  <c r="W23" i="1"/>
  <c r="T23" i="1"/>
  <c r="Q23" i="1"/>
  <c r="N24" i="1"/>
  <c r="Z22" i="1"/>
  <c r="W22" i="1"/>
  <c r="T22" i="1"/>
  <c r="Q22" i="1"/>
  <c r="Z21" i="1"/>
  <c r="W21" i="1"/>
  <c r="T21" i="1"/>
  <c r="Q21" i="1"/>
  <c r="L22" i="1"/>
  <c r="Z20" i="1"/>
  <c r="W20" i="1"/>
  <c r="T20" i="1"/>
  <c r="Q20" i="1"/>
  <c r="Z19" i="1"/>
  <c r="W19" i="1"/>
  <c r="T19" i="1"/>
  <c r="Q19" i="1"/>
  <c r="Z18" i="1"/>
  <c r="W18" i="1"/>
  <c r="T18" i="1"/>
  <c r="Q18" i="1"/>
  <c r="Z17" i="1"/>
  <c r="W17" i="1"/>
  <c r="T17" i="1"/>
  <c r="Q17" i="1"/>
  <c r="Z16" i="1"/>
  <c r="W16" i="1"/>
  <c r="T16" i="1"/>
  <c r="Q16" i="1"/>
  <c r="Z15" i="1"/>
  <c r="W15" i="1"/>
  <c r="T15" i="1"/>
  <c r="Q15" i="1"/>
  <c r="Z14" i="1"/>
  <c r="W14" i="1"/>
  <c r="T14" i="1"/>
  <c r="Q14" i="1"/>
  <c r="Z13" i="1"/>
  <c r="W13" i="1"/>
  <c r="T13" i="1"/>
  <c r="Q13" i="1"/>
  <c r="Z12" i="1"/>
  <c r="W12" i="1"/>
  <c r="T12" i="1"/>
  <c r="Q12" i="1"/>
  <c r="N13" i="1"/>
  <c r="Z11" i="1"/>
  <c r="W11" i="1"/>
  <c r="T11" i="1"/>
  <c r="Q11" i="1"/>
  <c r="Z10" i="1"/>
  <c r="W10" i="1"/>
  <c r="T10" i="1"/>
  <c r="Q10" i="1"/>
  <c r="Z9" i="1"/>
  <c r="W9" i="1"/>
  <c r="T9" i="1"/>
  <c r="Q9" i="1"/>
  <c r="Z8" i="1"/>
  <c r="W8" i="1"/>
  <c r="T8" i="1"/>
  <c r="Q8" i="1"/>
  <c r="Z7" i="1"/>
  <c r="W7" i="1"/>
  <c r="T7" i="1"/>
  <c r="Q7" i="1"/>
  <c r="Z6" i="1"/>
  <c r="W6" i="1"/>
  <c r="T6" i="1"/>
  <c r="Q6" i="1"/>
  <c r="Z5" i="1"/>
  <c r="W5" i="1"/>
  <c r="T5" i="1"/>
  <c r="Q5" i="1"/>
  <c r="N6" i="1"/>
  <c r="L6" i="1"/>
  <c r="Z4" i="1"/>
  <c r="W4" i="1"/>
  <c r="T4" i="1"/>
  <c r="Q4" i="1"/>
  <c r="Z3" i="1"/>
  <c r="W3" i="1"/>
  <c r="T3" i="1"/>
  <c r="Q3" i="1"/>
  <c r="Z2" i="1"/>
  <c r="W2" i="1"/>
  <c r="T2" i="1"/>
  <c r="Q2" i="1"/>
  <c r="G10" i="2" l="1" a="1"/>
  <c r="G10" i="2" s="1"/>
  <c r="N10" i="2" s="1"/>
  <c r="G9" i="2" a="1"/>
  <c r="G9" i="2" s="1"/>
  <c r="K9" i="2" s="1"/>
  <c r="K13" i="2" s="1"/>
  <c r="I5" i="2" s="1"/>
  <c r="G11" i="2" a="1"/>
  <c r="G11" i="2" s="1"/>
  <c r="N11" i="2" s="1"/>
  <c r="O11" i="2" s="1"/>
  <c r="G12" i="2" a="1"/>
  <c r="G12" i="2" s="1"/>
  <c r="L12" i="2" s="1"/>
  <c r="K12" i="2" s="1"/>
  <c r="J13" i="2"/>
  <c r="H14" i="2"/>
  <c r="N4" i="1"/>
  <c r="L13" i="1"/>
  <c r="N15" i="1"/>
  <c r="N22" i="1"/>
  <c r="L28" i="1"/>
  <c r="L27" i="1"/>
  <c r="L26" i="1"/>
  <c r="N40" i="1"/>
  <c r="N42" i="1"/>
  <c r="N28" i="1"/>
  <c r="N27" i="1"/>
  <c r="N26" i="1"/>
  <c r="N31" i="1"/>
  <c r="L37" i="1"/>
  <c r="L36" i="1"/>
  <c r="L35" i="1"/>
  <c r="N49" i="1"/>
  <c r="L55" i="1"/>
  <c r="L54" i="1"/>
  <c r="L53" i="1"/>
  <c r="L10" i="1"/>
  <c r="L24" i="1"/>
  <c r="N37" i="1"/>
  <c r="N36" i="1"/>
  <c r="N35" i="1"/>
  <c r="L46" i="1"/>
  <c r="L45" i="1"/>
  <c r="L44" i="1"/>
  <c r="N55" i="1"/>
  <c r="N54" i="1"/>
  <c r="N53" i="1"/>
  <c r="L19" i="1"/>
  <c r="L18" i="1"/>
  <c r="L17" i="1"/>
  <c r="L4" i="1"/>
  <c r="N10" i="1"/>
  <c r="N9" i="1"/>
  <c r="N8" i="1"/>
  <c r="L15" i="1"/>
  <c r="N19" i="1"/>
  <c r="N18" i="1"/>
  <c r="N17" i="1"/>
  <c r="N33" i="1"/>
  <c r="L49" i="1"/>
  <c r="N51" i="1"/>
  <c r="L8" i="1"/>
  <c r="L9" i="1"/>
  <c r="N44" i="1"/>
  <c r="N45" i="1"/>
  <c r="J17" i="2" l="1"/>
  <c r="J19" i="2" s="1"/>
  <c r="N9" i="2"/>
  <c r="L9" i="2"/>
  <c r="O10" i="2"/>
  <c r="L10" i="2"/>
  <c r="K10" i="2" s="1"/>
  <c r="L11" i="2"/>
  <c r="K11" i="2" s="1"/>
  <c r="N13" i="2" l="1"/>
  <c r="O9" i="2"/>
  <c r="O13" i="2" s="1"/>
  <c r="L16" i="2" l="1"/>
  <c r="K19" i="2"/>
  <c r="L13" i="2"/>
  <c r="I1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<sst xmlns="http://schemas.openxmlformats.org/spreadsheetml/2006/main" count="492" uniqueCount="142">
  <si>
    <t>HSA IRS Limits</t>
  </si>
  <si>
    <t>2026</t>
  </si>
  <si>
    <t>BENEFIT PLAN</t>
  </si>
  <si>
    <t>PLAN COVERAGE</t>
  </si>
  <si>
    <t>ER HSA Match</t>
  </si>
  <si>
    <t>Total Contribution Annual Limit</t>
  </si>
  <si>
    <t>Catchup
(Age 55+)</t>
  </si>
  <si>
    <t>EE COST PRE-TAX</t>
  </si>
  <si>
    <t>EE COST POST TAX - Domestic Partner</t>
  </si>
  <si>
    <t>ER COST PRE-TAX</t>
  </si>
  <si>
    <t>ER COST POST TAX - Domestic Partner</t>
  </si>
  <si>
    <t>Q1</t>
  </si>
  <si>
    <t>Days in Q1</t>
  </si>
  <si>
    <t>Q1 per Day Rate</t>
  </si>
  <si>
    <t>Q2</t>
  </si>
  <si>
    <t>Days in Q2</t>
  </si>
  <si>
    <t>Q2 per Day Rate</t>
  </si>
  <si>
    <t>Q3</t>
  </si>
  <si>
    <t>Days in Q3</t>
  </si>
  <si>
    <t>Q3 per Day Rate</t>
  </si>
  <si>
    <t>Q4</t>
  </si>
  <si>
    <t>Days in Q4</t>
  </si>
  <si>
    <t>Q4 per Day Rate</t>
  </si>
  <si>
    <t>Employee Only</t>
  </si>
  <si>
    <t>Medical - Cigna CDHP</t>
  </si>
  <si>
    <t>EE +</t>
  </si>
  <si>
    <t>Employee + Spouse</t>
  </si>
  <si>
    <t>Catchup</t>
  </si>
  <si>
    <t>Employee + Domestic Partner</t>
  </si>
  <si>
    <t>For HSAs, the catch-up contribution is age-based: if you’re 55 or older by the end of the tax year, your annual HSA limit increases by $1,000 (on top of the standard self-only or family limit).</t>
  </si>
  <si>
    <t>Employee + Child(ren)</t>
  </si>
  <si>
    <t>Employee + DP Child(ren)</t>
  </si>
  <si>
    <t>Employee + Spouse + Child(ren)</t>
  </si>
  <si>
    <t>Note: for someone who changes from Family to Self Only or Self Only to Family, it becomes a pro-rated limit based on number of months on each tier.</t>
  </si>
  <si>
    <t>Employee + DP + Child(ren)</t>
  </si>
  <si>
    <t>Employee + DP + DP Child(ren)</t>
  </si>
  <si>
    <t>Employee + DP + Child(ren) + DP Child(ren)</t>
  </si>
  <si>
    <t>Medical - Cigna PPO</t>
  </si>
  <si>
    <t>Proratia switching plans</t>
  </si>
  <si>
    <t>Start</t>
  </si>
  <si>
    <t>End</t>
  </si>
  <si>
    <t>EE Only</t>
  </si>
  <si>
    <t>Family</t>
  </si>
  <si>
    <t>Medical - Kaiser CDHP</t>
  </si>
  <si>
    <t>Medical - Kaiser HMO</t>
  </si>
  <si>
    <t>Dental - Cigna DPPO</t>
  </si>
  <si>
    <t>Vision - VSP VIS</t>
  </si>
  <si>
    <t>Coverage Period</t>
  </si>
  <si>
    <t>Start Date</t>
  </si>
  <si>
    <t>End Date</t>
  </si>
  <si>
    <t>Days</t>
  </si>
  <si>
    <t>Total Contribution Limit</t>
  </si>
  <si>
    <t>Months</t>
  </si>
  <si>
    <t>Benefits Plan</t>
  </si>
  <si>
    <t>Plan Coverage</t>
  </si>
  <si>
    <t>Select One</t>
  </si>
  <si>
    <t>Age on 12/31</t>
  </si>
  <si>
    <t>HR &amp; Comp Submission
Cut-Off Date</t>
  </si>
  <si>
    <r>
      <t xml:space="preserve">Transmit Payroll to ADP </t>
    </r>
    <r>
      <rPr>
        <i/>
        <sz val="9"/>
        <color theme="0"/>
        <rFont val="Aptos Narrow"/>
        <family val="2"/>
      </rPr>
      <t>by 10:00 am Pacific</t>
    </r>
    <r>
      <rPr>
        <b/>
        <sz val="11"/>
        <color theme="0"/>
        <rFont val="Aptos Narrow"/>
        <family val="2"/>
      </rPr>
      <t xml:space="preserve">
Treasury Funding Date</t>
    </r>
  </si>
  <si>
    <t>Pay Date</t>
  </si>
  <si>
    <t>Pay Period Start Date</t>
  </si>
  <si>
    <t>Pay Period End Date</t>
  </si>
  <si>
    <t>ADP Week Number</t>
  </si>
  <si>
    <t>Pay Number</t>
  </si>
  <si>
    <t>Proofpoint, ADP and / or Federal Reserve Holidays</t>
  </si>
  <si>
    <t>Quarters</t>
  </si>
  <si>
    <r>
      <rPr>
        <b/>
        <sz val="10"/>
        <color theme="1"/>
        <rFont val="Aptos Narrow"/>
        <family val="2"/>
      </rPr>
      <t xml:space="preserve">New Years Day </t>
    </r>
    <r>
      <rPr>
        <sz val="10"/>
        <color theme="1"/>
        <rFont val="Aptos Narrow"/>
        <family val="2"/>
      </rPr>
      <t xml:space="preserve">- Thursday, January 1, 2026 - </t>
    </r>
    <r>
      <rPr>
        <b/>
        <sz val="10"/>
        <color theme="1"/>
        <rFont val="Aptos Narrow"/>
        <family val="2"/>
      </rPr>
      <t>Proofpoint</t>
    </r>
    <r>
      <rPr>
        <sz val="10"/>
        <color theme="1"/>
        <rFont val="Aptos Narrow"/>
        <family val="2"/>
      </rPr>
      <t xml:space="preserve"> &amp; ADP and Federal Reserve are closed</t>
    </r>
  </si>
  <si>
    <r>
      <rPr>
        <b/>
        <sz val="10"/>
        <color theme="1"/>
        <rFont val="Aptos Narrow"/>
        <family val="2"/>
      </rPr>
      <t>Martin Luther King Day</t>
    </r>
    <r>
      <rPr>
        <sz val="10"/>
        <color theme="1"/>
        <rFont val="Aptos Narrow"/>
        <family val="2"/>
      </rPr>
      <t xml:space="preserve"> - Monday, January 19, 2026 - </t>
    </r>
    <r>
      <rPr>
        <b/>
        <sz val="10"/>
        <color theme="1"/>
        <rFont val="Aptos Narrow"/>
        <family val="2"/>
      </rPr>
      <t>Proofpoint</t>
    </r>
    <r>
      <rPr>
        <sz val="10"/>
        <color theme="1"/>
        <rFont val="Aptos Narrow"/>
        <family val="2"/>
      </rPr>
      <t xml:space="preserve"> &amp; Federal Reserve is closed. </t>
    </r>
    <r>
      <rPr>
        <i/>
        <sz val="9"/>
        <color theme="1"/>
        <rFont val="Aptos Narrow"/>
        <family val="2"/>
      </rPr>
      <t>Most banks closed</t>
    </r>
  </si>
  <si>
    <r>
      <rPr>
        <b/>
        <sz val="10"/>
        <color theme="1"/>
        <rFont val="Aptos Narrow"/>
        <family val="2"/>
      </rPr>
      <t>Presidents Day</t>
    </r>
    <r>
      <rPr>
        <sz val="10"/>
        <color theme="1"/>
        <rFont val="Aptos Narrow"/>
        <family val="2"/>
      </rPr>
      <t xml:space="preserve"> - Monday, February 16, 2026 - </t>
    </r>
    <r>
      <rPr>
        <b/>
        <sz val="10"/>
        <color theme="1"/>
        <rFont val="Aptos Narrow"/>
        <family val="2"/>
      </rPr>
      <t>Proofpoint</t>
    </r>
    <r>
      <rPr>
        <sz val="10"/>
        <color theme="1"/>
        <rFont val="Aptos Narrow"/>
        <family val="2"/>
      </rPr>
      <t xml:space="preserve"> &amp; Federal Reserve is closed. </t>
    </r>
    <r>
      <rPr>
        <i/>
        <sz val="9"/>
        <color theme="1"/>
        <rFont val="Aptos Narrow"/>
        <family val="2"/>
      </rPr>
      <t>Most banks closed</t>
    </r>
  </si>
  <si>
    <t>EOQ 1</t>
  </si>
  <si>
    <r>
      <rPr>
        <b/>
        <sz val="10"/>
        <color theme="1"/>
        <rFont val="Aptos Narrow"/>
        <family val="2"/>
      </rPr>
      <t xml:space="preserve">Memorial Day </t>
    </r>
    <r>
      <rPr>
        <sz val="10"/>
        <color theme="1"/>
        <rFont val="Aptos Narrow"/>
        <family val="2"/>
      </rPr>
      <t xml:space="preserve">- Monday, May 25, 2026 - </t>
    </r>
    <r>
      <rPr>
        <b/>
        <sz val="10"/>
        <color theme="1"/>
        <rFont val="Aptos Narrow"/>
        <family val="2"/>
      </rPr>
      <t>Proofpoint</t>
    </r>
    <r>
      <rPr>
        <sz val="10"/>
        <color theme="1"/>
        <rFont val="Aptos Narrow"/>
        <family val="2"/>
      </rPr>
      <t>, ADP and Federal Reserve are closed</t>
    </r>
  </si>
  <si>
    <r>
      <rPr>
        <b/>
        <sz val="10"/>
        <color theme="1"/>
        <rFont val="Aptos Narrow"/>
        <family val="2"/>
      </rPr>
      <t>Juneteenth -</t>
    </r>
    <r>
      <rPr>
        <sz val="10"/>
        <color theme="1"/>
        <rFont val="Aptos Narrow"/>
        <family val="2"/>
      </rPr>
      <t xml:space="preserve"> Friday, June 19, 2026 - </t>
    </r>
    <r>
      <rPr>
        <b/>
        <sz val="10"/>
        <color theme="1"/>
        <rFont val="Aptos Narrow"/>
        <family val="2"/>
      </rPr>
      <t>Proofpoint</t>
    </r>
    <r>
      <rPr>
        <sz val="10"/>
        <color theme="1"/>
        <rFont val="Aptos Narrow"/>
        <family val="2"/>
      </rPr>
      <t>, ADP and Federal Reserve are closed</t>
    </r>
  </si>
  <si>
    <t>EOQ 2</t>
  </si>
  <si>
    <r>
      <rPr>
        <b/>
        <sz val="10"/>
        <color theme="1"/>
        <rFont val="Aptos Narrow"/>
        <family val="2"/>
      </rPr>
      <t>4th of July</t>
    </r>
    <r>
      <rPr>
        <sz val="10"/>
        <color theme="1"/>
        <rFont val="Aptos Narrow"/>
        <family val="2"/>
      </rPr>
      <t xml:space="preserve"> - Friday, July 3, 2026 - </t>
    </r>
    <r>
      <rPr>
        <b/>
        <sz val="10"/>
        <color theme="1"/>
        <rFont val="Aptos Narrow"/>
        <family val="2"/>
      </rPr>
      <t>Proofpoint</t>
    </r>
    <r>
      <rPr>
        <sz val="10"/>
        <color theme="1"/>
        <rFont val="Aptos Narrow"/>
        <family val="2"/>
      </rPr>
      <t xml:space="preserve"> &amp; ADP is closed. Federal Reserve is open. </t>
    </r>
    <r>
      <rPr>
        <i/>
        <sz val="9"/>
        <color theme="1"/>
        <rFont val="Aptos Narrow"/>
        <family val="2"/>
      </rPr>
      <t>Most banks open</t>
    </r>
  </si>
  <si>
    <r>
      <rPr>
        <b/>
        <sz val="10"/>
        <color theme="1"/>
        <rFont val="Aptos Narrow"/>
        <family val="2"/>
      </rPr>
      <t xml:space="preserve">Labor Day </t>
    </r>
    <r>
      <rPr>
        <sz val="10"/>
        <color theme="1"/>
        <rFont val="Aptos Narrow"/>
        <family val="2"/>
      </rPr>
      <t xml:space="preserve">- Monday, September 7, 2026 - </t>
    </r>
    <r>
      <rPr>
        <b/>
        <sz val="10"/>
        <color theme="1"/>
        <rFont val="Aptos Narrow"/>
        <family val="2"/>
      </rPr>
      <t>Proofpoint</t>
    </r>
    <r>
      <rPr>
        <sz val="10"/>
        <color theme="1"/>
        <rFont val="Aptos Narrow"/>
        <family val="2"/>
      </rPr>
      <t>, ADP and Federal Reserve are closed</t>
    </r>
  </si>
  <si>
    <t>EOQ 3</t>
  </si>
  <si>
    <r>
      <t xml:space="preserve">Monday, October 12, 2026 - Federal Reserve is closed. </t>
    </r>
    <r>
      <rPr>
        <i/>
        <sz val="9"/>
        <color theme="1"/>
        <rFont val="Aptos Narrow"/>
        <family val="2"/>
      </rPr>
      <t>Most banks closed</t>
    </r>
  </si>
  <si>
    <r>
      <t xml:space="preserve">Wednesday, November 11, 2026 - Federal Reserve is closed. </t>
    </r>
    <r>
      <rPr>
        <i/>
        <sz val="9"/>
        <color theme="1"/>
        <rFont val="Aptos Narrow"/>
        <family val="2"/>
      </rPr>
      <t>Most banks closed</t>
    </r>
  </si>
  <si>
    <r>
      <rPr>
        <b/>
        <sz val="10"/>
        <color theme="1"/>
        <rFont val="Aptos Narrow"/>
        <family val="2"/>
      </rPr>
      <t>Thanksgiving</t>
    </r>
    <r>
      <rPr>
        <sz val="10"/>
        <color theme="1"/>
        <rFont val="Aptos Narrow"/>
        <family val="2"/>
      </rPr>
      <t xml:space="preserve"> - Thursday, November 26, 2026 - </t>
    </r>
    <r>
      <rPr>
        <b/>
        <sz val="10"/>
        <color theme="1"/>
        <rFont val="Aptos Narrow"/>
        <family val="2"/>
      </rPr>
      <t>Proofpoint</t>
    </r>
    <r>
      <rPr>
        <sz val="10"/>
        <color theme="1"/>
        <rFont val="Aptos Narrow"/>
        <family val="2"/>
      </rPr>
      <t xml:space="preserve"> &amp; ADP and Federal Reserve are closed
</t>
    </r>
    <r>
      <rPr>
        <b/>
        <sz val="10"/>
        <color theme="1"/>
        <rFont val="Aptos Narrow"/>
        <family val="2"/>
      </rPr>
      <t xml:space="preserve">Day After Thanksgiving </t>
    </r>
    <r>
      <rPr>
        <sz val="10"/>
        <color theme="1"/>
        <rFont val="Aptos Narrow"/>
        <family val="2"/>
      </rPr>
      <t xml:space="preserve">- Friday, November 27, 2026 - </t>
    </r>
    <r>
      <rPr>
        <b/>
        <sz val="10"/>
        <color theme="1"/>
        <rFont val="Aptos Narrow"/>
        <family val="2"/>
      </rPr>
      <t>Proofpoint</t>
    </r>
    <r>
      <rPr>
        <sz val="10"/>
        <color theme="1"/>
        <rFont val="Aptos Narrow"/>
        <family val="2"/>
      </rPr>
      <t xml:space="preserve"> is closed.</t>
    </r>
  </si>
  <si>
    <r>
      <rPr>
        <b/>
        <sz val="10"/>
        <color theme="1"/>
        <rFont val="Aptos Narrow"/>
        <family val="2"/>
      </rPr>
      <t xml:space="preserve">Christmas Day </t>
    </r>
    <r>
      <rPr>
        <sz val="10"/>
        <color theme="1"/>
        <rFont val="Aptos Narrow"/>
        <family val="2"/>
      </rPr>
      <t xml:space="preserve">- Friday, December 25, 2026 - </t>
    </r>
    <r>
      <rPr>
        <b/>
        <sz val="10"/>
        <color theme="1"/>
        <rFont val="Aptos Narrow"/>
        <family val="2"/>
      </rPr>
      <t>Proofpoint</t>
    </r>
    <r>
      <rPr>
        <sz val="10"/>
        <color theme="1"/>
        <rFont val="Aptos Narrow"/>
        <family val="2"/>
      </rPr>
      <t>, ADP and Federal Reserve are closed</t>
    </r>
  </si>
  <si>
    <t>EOQ 4</t>
  </si>
  <si>
    <t>Wage Accrual Periods</t>
  </si>
  <si>
    <t>Time Card Approval Deadline by 9:00am Pacific Time</t>
  </si>
  <si>
    <r>
      <t xml:space="preserve">Transmit Payroll to ADP </t>
    </r>
    <r>
      <rPr>
        <i/>
        <sz val="9"/>
        <color theme="0"/>
        <rFont val="Aptos Narrow"/>
        <family val="2"/>
      </rPr>
      <t>by 10:00 am Pacific</t>
    </r>
    <r>
      <rPr>
        <b/>
        <sz val="11"/>
        <color theme="0"/>
        <rFont val="Aptos Narrow"/>
        <family val="2"/>
      </rPr>
      <t xml:space="preserve">
Funding Date</t>
    </r>
  </si>
  <si>
    <t>Accrued Days</t>
  </si>
  <si>
    <t>Accrual Start Date</t>
  </si>
  <si>
    <t>Accrual End Date</t>
  </si>
  <si>
    <t>Cross Checking</t>
  </si>
  <si>
    <t>Annual per month</t>
  </si>
  <si>
    <t>per month * months</t>
  </si>
  <si>
    <t>HSA Annual Limit(s)</t>
  </si>
  <si>
    <t>ER Contribution per Plan Annual</t>
  </si>
  <si>
    <t>IRS Publication</t>
  </si>
  <si>
    <t>Count months by coverage on the 1st; mid-month switches don’t split a month.</t>
  </si>
  <si>
    <t xml:space="preserve">Include employer HSA funding toward the limit (W-2, Box 12 code W). </t>
  </si>
  <si>
    <r>
      <t>Catch-up (55+)</t>
    </r>
    <r>
      <rPr>
        <sz val="10"/>
        <color theme="1"/>
        <rFont val="Aptos Narrow"/>
        <family val="2"/>
        <scheme val="minor"/>
      </rPr>
      <t xml:space="preserve"> is a flat </t>
    </r>
    <r>
      <rPr>
        <b/>
        <sz val="10"/>
        <color theme="1"/>
        <rFont val="Aptos Narrow"/>
        <family val="2"/>
        <scheme val="minor"/>
      </rPr>
      <t>$1,000</t>
    </r>
    <r>
      <rPr>
        <sz val="10"/>
        <color theme="1"/>
        <rFont val="Aptos Narrow"/>
        <family val="2"/>
        <scheme val="minor"/>
      </rPr>
      <t xml:space="preserve"> if age 55 by year-end (not prorated by eligible months), but you still must be HSA-eligible for the months you contribute.</t>
    </r>
  </si>
  <si>
    <t>If contributions were made to your HSA based on you being an eligible individual for the entire year under the last-month rule, you must remain an eligible individual during the testing period.</t>
  </si>
  <si>
    <t>If you fail to remain an eligible individual during the testing period, for reasons other than death or becoming disabled, you will have to include in income the total contributions made to your HSA that wouldn’t have been made except for the last-month rule.</t>
  </si>
  <si>
    <t>This amount is also subject to a 10% additional tax. The income and additional tax are calculated on Form 8889, Part III.</t>
  </si>
  <si>
    <t xml:space="preserve">You must include this amount in your income in the year in which you fail to be an eligible individual. </t>
  </si>
  <si>
    <t>Testing period:</t>
  </si>
  <si>
    <t>Employer contributions:</t>
  </si>
  <si>
    <t>Last-month Rule:</t>
  </si>
  <si>
    <t>Under the last-month rule, if you are an eligible individual on the first day of the last month of your tax year (December 1 for most taxpayers), you are considered an eligible individual for the entire year.</t>
  </si>
  <si>
    <t>You are treated as having the same HDHP coverage for the entire year as you had on the first day of the last month if you didn’t otherwise have coverage.</t>
  </si>
  <si>
    <t xml:space="preserve">You must reduce the amount you, or any other person, can contribute to your HSA by the amount of any contributions made by your employer that are excludable from your income.
</t>
  </si>
  <si>
    <t>** This includes amounts contributed to your account by your employer through a cafeteria plan.</t>
  </si>
  <si>
    <t xml:space="preserve">Monthly proration: </t>
  </si>
  <si>
    <t>Your annual limit equals the sum of 1/12th limits for each month, using the coverage type on the 1st day of that month (self-only vs family).</t>
  </si>
  <si>
    <t>The HSA Contirbution Rules (IRS)</t>
  </si>
  <si>
    <r>
      <t xml:space="preserve">For the last-month rule, the </t>
    </r>
    <r>
      <rPr>
        <b/>
        <sz val="10"/>
        <color theme="1"/>
        <rFont val="Aptos Narrow"/>
        <family val="2"/>
        <scheme val="minor"/>
      </rPr>
      <t xml:space="preserve">testing period begins with the last month of your tax year and ends on the last day of the 12th month following that month </t>
    </r>
    <r>
      <rPr>
        <i/>
        <sz val="10"/>
        <color theme="1"/>
        <rFont val="Aptos Narrow"/>
        <family val="2"/>
        <scheme val="minor"/>
      </rPr>
      <t>(for example, December 1, 2024, through December 31, 2025).</t>
    </r>
  </si>
  <si>
    <t>The income and additional tax are calculated on Form 8889, Part III.</t>
  </si>
  <si>
    <t>ER Pro-Rated Contribution</t>
  </si>
  <si>
    <t>EE GOAL LIMIT</t>
  </si>
  <si>
    <t>Total HSA IRS Qualified Time</t>
  </si>
  <si>
    <t>How much do you want to contribute to HSA?</t>
  </si>
  <si>
    <t>If yes</t>
  </si>
  <si>
    <t>Remaining Pay Periods</t>
  </si>
  <si>
    <t>2025 SEMI-MONTHLY PAY PERIODS &amp; FUNDING DATES</t>
  </si>
  <si>
    <t>2025 BI-WEEKLY PAY PERIODS &amp; FUNDING DATES</t>
  </si>
  <si>
    <t>Coverage Period 1</t>
  </si>
  <si>
    <t>Did you have OUTSIDE contributions to your HSA account this current plan year only?</t>
  </si>
  <si>
    <t>Sample of how calculation works:</t>
  </si>
  <si>
    <t>Payroll/Admin tips:</t>
  </si>
  <si>
    <t>ADD Testing</t>
  </si>
  <si>
    <t>Disclaimer</t>
  </si>
  <si>
    <t>Formula Helper</t>
  </si>
  <si>
    <r>
      <t xml:space="preserve">This Health Savings Calculator is provided for informational and estimation purposes only. The results generated are based on the data entered and may not reflect your actual tax or financial situation. This tool is </t>
    </r>
    <r>
      <rPr>
        <b/>
        <i/>
        <sz val="9"/>
        <color theme="1"/>
        <rFont val="Aptos Narrow"/>
        <family val="2"/>
        <scheme val="minor"/>
      </rPr>
      <t>not intended to provide legal, tax, investment, or financial advice</t>
    </r>
    <r>
      <rPr>
        <i/>
        <sz val="9"/>
        <color theme="1"/>
        <rFont val="Aptos Narrow"/>
        <family val="2"/>
        <scheme val="minor"/>
      </rPr>
      <t>, and should not be relied upon as such. Employees are encouraged to consult with a qualified tax advisor, financial planner, or benefits professional before making any decisions regarding Health Savings Account (HSA) elections or related benefits.</t>
    </r>
  </si>
  <si>
    <t>Select if making mid-year change</t>
  </si>
  <si>
    <t>Enter Employees' Date of Birth</t>
  </si>
  <si>
    <t xml:space="preserve"> Enter how Paid - Hourly or Salary?</t>
  </si>
  <si>
    <t>Column1</t>
  </si>
  <si>
    <t>Per pay check</t>
  </si>
  <si>
    <t>2026 HSA Open Enrollment Calculator</t>
  </si>
  <si>
    <t>Per Check</t>
  </si>
  <si>
    <t>EE Annual</t>
  </si>
  <si>
    <t>Remaining Allowable Contribution:</t>
  </si>
  <si>
    <t>Max HSA Limit:</t>
  </si>
  <si>
    <t>Contribution Deduction elected:</t>
  </si>
  <si>
    <r>
      <t xml:space="preserve">Employee Contribution Allowed
</t>
    </r>
    <r>
      <rPr>
        <i/>
        <sz val="9"/>
        <rFont val="Aptos Narrow"/>
        <family val="2"/>
      </rPr>
      <t>less ER Contribution</t>
    </r>
  </si>
  <si>
    <t>IRS Total Limit(s)</t>
  </si>
  <si>
    <t>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</si>
</sst>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mm/dd/yyyy"/>
    <numFmt numFmtId="165" formatCode="[$-F800]dddd\,\ mmmm\ dd\,\ yyyy"/>
  </numFmts>
  <fonts count="43" x14ac:knownFonts="1">
    <font>
      <sz val="11"/>
      <color theme="1"/>
      <name val="Aptos Narrow"/>
      <family val="2"/>
      <scheme val="minor"/>
    </font>
    <font>
      <sz val="11"/>
      <color theme="1"/>
      <name val="Aptos Narrow"/>
      <family val="2"/>
      <scheme val="minor"/>
    </font>
    <font>
      <sz val="10"/>
      <name val="Aptos Narrow"/>
      <family val="2"/>
    </font>
    <font>
      <i/>
      <sz val="9"/>
      <name val="Aptos Narrow"/>
      <family val="2"/>
    </font>
    <font>
      <b/>
      <sz val="10"/>
      <color theme="0"/>
      <name val="Aptos Narrow"/>
      <family val="2"/>
    </font>
    <font>
      <sz val="10"/>
      <color theme="0"/>
      <name val="Aptos Narrow"/>
      <family val="2"/>
    </font>
    <font>
      <sz val="10"/>
      <color theme="1"/>
      <name val="Arial"/>
      <family val="2"/>
    </font>
    <font>
      <sz val="10"/>
      <color rgb="FF000000"/>
      <name val="Aptos Narrow"/>
      <family val="2"/>
    </font>
    <font>
      <sz val="10"/>
      <color theme="1"/>
      <name val="Aptos Narrow"/>
      <family val="2"/>
    </font>
    <font>
      <sz val="10"/>
      <color indexed="8"/>
      <name val="Aptos Narrow"/>
      <family val="2"/>
    </font>
    <font>
      <b/>
      <sz val="11"/>
      <name val="Aptos Narrow"/>
      <family val="2"/>
    </font>
    <font>
      <b/>
      <sz val="11"/>
      <color theme="1"/>
      <name val="Aptos Narrow"/>
      <family val="2"/>
      <scheme val="minor"/>
    </font>
    <font>
      <b/>
      <sz val="11"/>
      <name val="Aptos Narrow"/>
      <family val="2"/>
    </font>
    <font>
      <u/>
      <sz val="11"/>
      <color theme="10"/>
      <name val="Aptos Narrow"/>
      <family val="2"/>
      <scheme val="minor"/>
    </font>
    <font>
      <sz val="10"/>
      <color theme="1"/>
      <name val="Aptos Narrow"/>
      <family val="2"/>
      <scheme val="minor"/>
    </font>
    <font>
      <i/>
      <sz val="9"/>
      <color theme="1"/>
      <name val="Aptos Narrow"/>
      <family val="2"/>
      <scheme val="minor"/>
    </font>
    <font>
      <b/>
      <sz val="16"/>
      <color theme="0"/>
      <name val="Aptos Narrow"/>
      <family val="2"/>
    </font>
    <font>
      <sz val="11"/>
      <color theme="1"/>
      <name val="Aptos Narrow"/>
      <family val="2"/>
    </font>
    <font>
      <b/>
      <sz val="11"/>
      <color theme="0"/>
      <name val="Aptos Narrow"/>
      <family val="2"/>
    </font>
    <font>
      <i/>
      <sz val="9"/>
      <color theme="0"/>
      <name val="Aptos Narrow"/>
      <family val="2"/>
    </font>
    <font>
      <b/>
      <sz val="11"/>
      <color theme="1"/>
      <name val="Aptos Narrow"/>
      <family val="2"/>
    </font>
    <font>
      <b/>
      <sz val="10"/>
      <color theme="1"/>
      <name val="Aptos Narrow"/>
      <family val="2"/>
    </font>
    <font>
      <i/>
      <sz val="9"/>
      <color theme="1"/>
      <name val="Aptos Narrow"/>
      <family val="2"/>
    </font>
    <font>
      <b/>
      <sz val="12"/>
      <color theme="0"/>
      <name val="Aptos Narrow"/>
      <family val="2"/>
    </font>
    <font>
      <sz val="11"/>
      <color rgb="FFFF0000"/>
      <name val="Aptos Narrow"/>
      <family val="2"/>
    </font>
    <font>
      <sz val="8"/>
      <color theme="1"/>
      <name val="Aptos Narrow"/>
      <family val="2"/>
      <scheme val="minor"/>
    </font>
    <font>
      <b/>
      <sz val="13.5"/>
      <color theme="1"/>
      <name val="Aptos Narrow"/>
      <family val="2"/>
      <scheme val="minor"/>
    </font>
    <font>
      <sz val="11"/>
      <color rgb="FF1B1B1B"/>
      <name val="Aptos Narrow"/>
      <family val="2"/>
      <scheme val="minor"/>
    </font>
    <font>
      <b/>
      <sz val="10"/>
      <color theme="1"/>
      <name val="Aptos Narrow"/>
      <family val="2"/>
      <scheme val="minor"/>
    </font>
    <font>
      <i/>
      <sz val="10"/>
      <color rgb="FFFF0000"/>
      <name val="Aptos Narrow"/>
      <family val="2"/>
      <scheme val="minor"/>
    </font>
    <font>
      <i/>
      <sz val="10"/>
      <color theme="1"/>
      <name val="Aptos Narrow"/>
      <family val="2"/>
      <scheme val="minor"/>
    </font>
    <font>
      <b/>
      <sz val="22"/>
      <color theme="0"/>
      <name val="Aptos Narrow"/>
      <family val="2"/>
      <scheme val="minor"/>
    </font>
    <font>
      <sz val="22"/>
      <color theme="0"/>
      <name val="Aptos Narrow"/>
      <family val="2"/>
      <scheme val="minor"/>
    </font>
    <font>
      <i/>
      <sz val="11"/>
      <color theme="1"/>
      <name val="Aptos Narrow"/>
      <family val="2"/>
      <scheme val="minor"/>
    </font>
    <font>
      <sz val="10"/>
      <color rgb="FF000000"/>
      <name val="Aptos Narrow"/>
      <family val="2"/>
      <scheme val="minor"/>
    </font>
    <font>
      <sz val="10"/>
      <color indexed="8"/>
      <name val="Aptos Narrow"/>
      <family val="2"/>
      <scheme val="minor"/>
    </font>
    <font>
      <b/>
      <i/>
      <sz val="9"/>
      <color theme="1"/>
      <name val="Aptos Narrow"/>
      <family val="2"/>
      <scheme val="minor"/>
    </font>
    <font>
      <i/>
      <sz val="9"/>
      <color theme="0" tint="-0.34998626667073579"/>
      <name val="Aptos Narrow"/>
      <family val="2"/>
      <scheme val="minor"/>
    </font>
    <font>
      <b/>
      <sz val="11"/>
      <color theme="0"/>
      <name val="Aptos Narrow"/>
      <family val="2"/>
      <scheme val="minor"/>
    </font>
    <font>
      <sz val="11"/>
      <color theme="0"/>
      <name val="Aptos Narrow"/>
      <family val="2"/>
      <scheme val="minor"/>
    </font>
    <font>
      <sz val="10"/>
      <color theme="0"/>
      <name val="Aptos Narrow"/>
      <family val="2"/>
      <scheme val="minor"/>
    </font>
    <font>
      <i/>
      <sz val="11"/>
      <color theme="0"/>
      <name val="Aptos Narrow"/>
      <family val="2"/>
      <scheme val="minor"/>
    </font>
    <font>
      <b/>
      <sz val="18"/>
      <color theme="0"/>
      <name val="Aptos Narrow"/>
      <family val="2"/>
      <scheme val="minor"/>
    </font>
  </fonts>
  <fills count="15">
    <fill>
      <patternFill patternType="none"/>
    </fill>
    <fill>
      <patternFill patternType="gray125"/>
    </fill>
    <fill>
      <patternFill patternType="solid">
        <fgColor theme="8" tint="0.79998168889431442"/>
        <bgColor indexed="64"/>
      </patternFill>
    </fill>
    <fill>
      <patternFill patternType="solid">
        <fgColor theme="8"/>
        <bgColor theme="8"/>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rgb="FFFFFF00"/>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79998168889431442"/>
        <bgColor indexed="64"/>
      </patternFill>
    </fill>
    <fill>
      <patternFill patternType="solid">
        <fgColor theme="5" tint="0.79998168889431442"/>
        <bgColor indexed="64"/>
      </patternFill>
    </fill>
  </fills>
  <borders count="19">
    <border>
      <left/>
      <right/>
      <top/>
      <bottom/>
      <diagonal/>
    </border>
    <border>
      <left/>
      <right/>
      <top/>
      <bottom style="medium">
        <color indexed="64"/>
      </bottom>
      <diagonal/>
    </border>
    <border>
      <left/>
      <right/>
      <top/>
      <bottom style="thick">
        <color auto="1"/>
      </bottom>
      <diagonal/>
    </border>
    <border>
      <left/>
      <right style="thin">
        <color theme="0"/>
      </right>
      <top/>
      <bottom style="medium">
        <color indexed="64"/>
      </bottom>
      <diagonal/>
    </border>
    <border>
      <left/>
      <right style="thin">
        <color theme="0"/>
      </right>
      <top style="thin">
        <color theme="0"/>
      </top>
      <bottom style="thin">
        <color theme="0"/>
      </bottom>
      <diagonal/>
    </border>
    <border>
      <left/>
      <right/>
      <top style="thin">
        <color indexed="64"/>
      </top>
      <bottom style="double">
        <color indexed="64"/>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bottom/>
      <diagonal/>
    </border>
    <border>
      <left style="thin">
        <color auto="1"/>
      </left>
      <right style="thin">
        <color auto="1"/>
      </right>
      <top style="thin">
        <color auto="1"/>
      </top>
      <bottom style="thick">
        <color auto="1"/>
      </bottom>
      <diagonal/>
    </border>
    <border>
      <left style="thin">
        <color auto="1"/>
      </left>
      <right style="thin">
        <color indexed="64"/>
      </right>
      <top/>
      <bottom style="thick">
        <color auto="1"/>
      </bottom>
      <diagonal/>
    </border>
    <border>
      <left style="thin">
        <color auto="1"/>
      </left>
      <right style="thin">
        <color auto="1"/>
      </right>
      <top/>
      <bottom style="thin">
        <color auto="1"/>
      </bottom>
      <diagonal/>
    </border>
    <border>
      <left/>
      <right style="thin">
        <color indexed="64"/>
      </right>
      <top/>
      <bottom/>
      <diagonal/>
    </border>
    <border>
      <left/>
      <right style="thin">
        <color indexed="64"/>
      </right>
      <top/>
      <bottom style="thick">
        <color auto="1"/>
      </bottom>
      <diagonal/>
    </border>
    <border>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4">
    <xf numFmtId="0" fontId="0" fillId="0" borderId="0"/>
    <xf numFmtId="43" fontId="1" fillId="0" borderId="0"/>
    <xf numFmtId="0" fontId="6" fillId="0" borderId="0"/>
    <xf numFmtId="0" fontId="13" fillId="0" borderId="0" applyNumberFormat="0" applyFill="0" applyBorder="0" applyAlignment="0" applyProtection="0"/>
  </cellStyleXfs>
  <cellXfs count="153">
    <xf numFmtId="0" fontId="0" fillId="0" borderId="0" xfId="0"/>
    <xf numFmtId="164" fontId="4" fillId="0" borderId="0" xfId="0" applyNumberFormat="1" applyFont="1" applyAlignment="1">
      <alignment horizontal="center"/>
    </xf>
    <xf numFmtId="49" fontId="4" fillId="0" borderId="0" xfId="0" applyNumberFormat="1" applyFont="1" applyAlignment="1">
      <alignment horizontal="center"/>
    </xf>
    <xf numFmtId="0" fontId="4" fillId="0" borderId="1" xfId="0" applyFont="1" applyBorder="1" applyAlignment="1">
      <alignment horizontal="center" wrapText="1"/>
    </xf>
    <xf numFmtId="0" fontId="4" fillId="0" borderId="1" xfId="2" applyFont="1" applyBorder="1" applyAlignment="1">
      <alignment horizontal="center" wrapText="1"/>
    </xf>
    <xf numFmtId="0" fontId="4" fillId="3" borderId="1" xfId="2" applyFont="1" applyFill="1" applyBorder="1" applyAlignment="1">
      <alignment horizontal="center" wrapText="1"/>
    </xf>
    <xf numFmtId="0" fontId="7" fillId="0" borderId="0" xfId="0" applyFont="1" applyAlignment="1">
      <alignment vertical="top" wrapText="1"/>
    </xf>
    <xf numFmtId="0" fontId="8" fillId="0" borderId="0" xfId="2" applyFont="1" applyAlignment="1">
      <alignment vertical="top"/>
    </xf>
    <xf numFmtId="40" fontId="9" fillId="0" borderId="0" xfId="0" applyNumberFormat="1" applyFont="1" applyAlignment="1">
      <alignment vertical="top"/>
    </xf>
    <xf numFmtId="0" fontId="8" fillId="0" borderId="0" xfId="2" applyFont="1" applyAlignment="1">
      <alignment horizontal="center" vertical="top"/>
    </xf>
    <xf numFmtId="0" fontId="7" fillId="0" borderId="2" xfId="0" applyFont="1" applyBorder="1" applyAlignment="1">
      <alignment vertical="top" wrapText="1"/>
    </xf>
    <xf numFmtId="0" fontId="8" fillId="0" borderId="2" xfId="2" applyFont="1" applyBorder="1" applyAlignment="1">
      <alignment vertical="top"/>
    </xf>
    <xf numFmtId="40" fontId="9" fillId="0" borderId="2" xfId="0" applyNumberFormat="1" applyFont="1" applyBorder="1" applyAlignment="1">
      <alignment vertical="top"/>
    </xf>
    <xf numFmtId="0" fontId="8" fillId="0" borderId="2" xfId="2" applyFont="1" applyBorder="1" applyAlignment="1">
      <alignment horizontal="center" vertical="top"/>
    </xf>
    <xf numFmtId="0" fontId="0" fillId="0" borderId="0" xfId="0" applyAlignment="1">
      <alignment vertical="top"/>
    </xf>
    <xf numFmtId="164" fontId="5" fillId="0" borderId="0" xfId="0" applyNumberFormat="1" applyFont="1" applyAlignment="1">
      <alignment horizontal="center" vertical="top"/>
    </xf>
    <xf numFmtId="43" fontId="5" fillId="0" borderId="0" xfId="1" applyFont="1" applyAlignment="1">
      <alignment horizontal="center" vertical="top"/>
    </xf>
    <xf numFmtId="40" fontId="2" fillId="0" borderId="0" xfId="0" applyNumberFormat="1" applyFont="1" applyAlignment="1">
      <alignment vertical="top"/>
    </xf>
    <xf numFmtId="164" fontId="0" fillId="0" borderId="0" xfId="0" applyNumberFormat="1" applyAlignment="1">
      <alignment horizontal="center" vertical="top"/>
    </xf>
    <xf numFmtId="43" fontId="2" fillId="0" borderId="0" xfId="1" applyFont="1" applyAlignment="1">
      <alignment horizontal="center" vertical="top"/>
    </xf>
    <xf numFmtId="164" fontId="0" fillId="0" borderId="0" xfId="0" applyNumberFormat="1" applyAlignment="1">
      <alignment vertical="top"/>
    </xf>
    <xf numFmtId="40" fontId="2" fillId="0" borderId="0" xfId="2" applyNumberFormat="1" applyFont="1" applyAlignment="1">
      <alignment vertical="top"/>
    </xf>
    <xf numFmtId="40" fontId="2" fillId="0" borderId="2" xfId="0" applyNumberFormat="1" applyFont="1" applyBorder="1" applyAlignment="1">
      <alignment vertical="top"/>
    </xf>
    <xf numFmtId="0" fontId="4" fillId="3" borderId="3" xfId="0" applyFont="1" applyFill="1" applyBorder="1" applyAlignment="1">
      <alignment horizontal="center" wrapText="1"/>
    </xf>
    <xf numFmtId="0" fontId="7" fillId="5" borderId="4" xfId="0" applyFont="1" applyFill="1" applyBorder="1" applyAlignment="1">
      <alignment vertical="top" wrapText="1"/>
    </xf>
    <xf numFmtId="0" fontId="7" fillId="4" borderId="4" xfId="0" applyFont="1" applyFill="1" applyBorder="1" applyAlignment="1">
      <alignment vertical="top" wrapText="1"/>
    </xf>
    <xf numFmtId="164" fontId="16" fillId="7" borderId="0" xfId="0" applyNumberFormat="1" applyFont="1" applyFill="1" applyAlignment="1">
      <alignment horizontal="center"/>
    </xf>
    <xf numFmtId="0" fontId="17" fillId="7" borderId="0" xfId="0" applyFont="1" applyFill="1"/>
    <xf numFmtId="0" fontId="17" fillId="0" borderId="0" xfId="0" applyFont="1"/>
    <xf numFmtId="164" fontId="18" fillId="8" borderId="7" xfId="0" applyNumberFormat="1" applyFont="1" applyFill="1" applyBorder="1" applyAlignment="1">
      <alignment horizontal="center" wrapText="1"/>
    </xf>
    <xf numFmtId="165" fontId="18" fillId="8" borderId="7" xfId="0" applyNumberFormat="1" applyFont="1" applyFill="1" applyBorder="1" applyAlignment="1">
      <alignment horizontal="center" wrapText="1"/>
    </xf>
    <xf numFmtId="0" fontId="17" fillId="0" borderId="0" xfId="0" applyFont="1" applyAlignment="1">
      <alignment wrapText="1"/>
    </xf>
    <xf numFmtId="165" fontId="17" fillId="0" borderId="7" xfId="0" applyNumberFormat="1" applyFont="1" applyBorder="1" applyAlignment="1">
      <alignment horizontal="left"/>
    </xf>
    <xf numFmtId="165" fontId="20" fillId="0" borderId="7" xfId="0" applyNumberFormat="1" applyFont="1" applyBorder="1" applyAlignment="1">
      <alignment horizontal="left"/>
    </xf>
    <xf numFmtId="164" fontId="17" fillId="0" borderId="7" xfId="0" applyNumberFormat="1" applyFont="1" applyBorder="1" applyAlignment="1">
      <alignment horizontal="center"/>
    </xf>
    <xf numFmtId="0" fontId="17" fillId="0" borderId="7" xfId="0" applyFont="1" applyBorder="1" applyAlignment="1">
      <alignment horizontal="center"/>
    </xf>
    <xf numFmtId="165" fontId="8" fillId="0" borderId="7" xfId="0" applyNumberFormat="1" applyFont="1" applyBorder="1" applyAlignment="1">
      <alignment horizontal="left"/>
    </xf>
    <xf numFmtId="0" fontId="17" fillId="9" borderId="8" xfId="0" applyFont="1" applyFill="1" applyBorder="1"/>
    <xf numFmtId="165" fontId="17" fillId="0" borderId="9" xfId="0" applyNumberFormat="1" applyFont="1" applyBorder="1" applyAlignment="1">
      <alignment horizontal="left"/>
    </xf>
    <xf numFmtId="165" fontId="20" fillId="0" borderId="9" xfId="0" applyNumberFormat="1" applyFont="1" applyBorder="1" applyAlignment="1">
      <alignment horizontal="left"/>
    </xf>
    <xf numFmtId="164" fontId="17" fillId="0" borderId="9" xfId="0" applyNumberFormat="1" applyFont="1" applyBorder="1" applyAlignment="1">
      <alignment horizontal="center"/>
    </xf>
    <xf numFmtId="0" fontId="17" fillId="0" borderId="9" xfId="0" applyFont="1" applyBorder="1" applyAlignment="1">
      <alignment horizontal="center"/>
    </xf>
    <xf numFmtId="0" fontId="8" fillId="9" borderId="10" xfId="0" applyFont="1" applyFill="1" applyBorder="1" applyAlignment="1">
      <alignment horizontal="center"/>
    </xf>
    <xf numFmtId="165" fontId="17" fillId="0" borderId="11" xfId="0" applyNumberFormat="1" applyFont="1" applyBorder="1" applyAlignment="1">
      <alignment horizontal="left"/>
    </xf>
    <xf numFmtId="165" fontId="20" fillId="0" borderId="11" xfId="0" applyNumberFormat="1" applyFont="1" applyBorder="1" applyAlignment="1">
      <alignment horizontal="left"/>
    </xf>
    <xf numFmtId="164" fontId="17" fillId="0" borderId="11" xfId="0" applyNumberFormat="1" applyFont="1" applyBorder="1" applyAlignment="1">
      <alignment horizontal="center"/>
    </xf>
    <xf numFmtId="0" fontId="17" fillId="0" borderId="11" xfId="0" applyFont="1" applyBorder="1" applyAlignment="1">
      <alignment horizontal="center"/>
    </xf>
    <xf numFmtId="165" fontId="8" fillId="0" borderId="9" xfId="0" applyNumberFormat="1" applyFont="1" applyBorder="1" applyAlignment="1">
      <alignment horizontal="left"/>
    </xf>
    <xf numFmtId="165" fontId="8" fillId="0" borderId="11" xfId="0" applyNumberFormat="1" applyFont="1" applyBorder="1" applyAlignment="1">
      <alignment horizontal="left"/>
    </xf>
    <xf numFmtId="165" fontId="17" fillId="0" borderId="7" xfId="0" applyNumberFormat="1" applyFont="1" applyBorder="1" applyAlignment="1">
      <alignment horizontal="left" vertical="center"/>
    </xf>
    <xf numFmtId="165" fontId="20" fillId="0" borderId="7" xfId="0" applyNumberFormat="1" applyFont="1" applyBorder="1" applyAlignment="1">
      <alignment horizontal="left" vertical="center"/>
    </xf>
    <xf numFmtId="164" fontId="17" fillId="0" borderId="7" xfId="0" applyNumberFormat="1" applyFont="1" applyBorder="1" applyAlignment="1">
      <alignment horizontal="center" vertical="center"/>
    </xf>
    <xf numFmtId="0" fontId="17" fillId="0" borderId="7" xfId="0" applyFont="1" applyBorder="1" applyAlignment="1">
      <alignment horizontal="center" vertical="center"/>
    </xf>
    <xf numFmtId="165" fontId="8" fillId="0" borderId="7" xfId="0" applyNumberFormat="1" applyFont="1" applyBorder="1" applyAlignment="1">
      <alignment horizontal="left" vertical="center" wrapText="1"/>
    </xf>
    <xf numFmtId="164" fontId="17" fillId="0" borderId="0" xfId="0" applyNumberFormat="1" applyFont="1" applyAlignment="1">
      <alignment horizontal="center"/>
    </xf>
    <xf numFmtId="165" fontId="17" fillId="0" borderId="0" xfId="0" applyNumberFormat="1" applyFont="1" applyAlignment="1">
      <alignment horizontal="left"/>
    </xf>
    <xf numFmtId="0" fontId="17" fillId="7" borderId="12" xfId="0" applyFont="1" applyFill="1" applyBorder="1"/>
    <xf numFmtId="0" fontId="17" fillId="9" borderId="12" xfId="0" applyFont="1" applyFill="1" applyBorder="1"/>
    <xf numFmtId="0" fontId="8" fillId="9" borderId="13" xfId="0" applyFont="1" applyFill="1" applyBorder="1" applyAlignment="1">
      <alignment horizontal="center"/>
    </xf>
    <xf numFmtId="165" fontId="24" fillId="0" borderId="7" xfId="0" applyNumberFormat="1" applyFont="1" applyBorder="1" applyAlignment="1">
      <alignment horizontal="left" vertical="center"/>
    </xf>
    <xf numFmtId="165" fontId="24" fillId="0" borderId="9" xfId="0" applyNumberFormat="1" applyFont="1" applyBorder="1" applyAlignment="1">
      <alignment horizontal="left"/>
    </xf>
    <xf numFmtId="0" fontId="26" fillId="0" borderId="0" xfId="0" applyFont="1" applyAlignment="1">
      <alignment vertical="center"/>
    </xf>
    <xf numFmtId="0" fontId="13" fillId="0" borderId="0" xfId="3" applyAlignment="1">
      <alignment horizontal="left" vertical="center" indent="1"/>
    </xf>
    <xf numFmtId="0" fontId="27" fillId="0" borderId="0" xfId="0" applyFont="1" applyAlignment="1">
      <alignment vertical="center"/>
    </xf>
    <xf numFmtId="0" fontId="14" fillId="0" borderId="0" xfId="0" applyFont="1" applyAlignment="1">
      <alignment horizontal="left"/>
    </xf>
    <xf numFmtId="0" fontId="14" fillId="0" borderId="0" xfId="0" applyFont="1" applyAlignment="1">
      <alignment horizontal="left" indent="2"/>
    </xf>
    <xf numFmtId="0" fontId="0" fillId="0" borderId="0" xfId="0" applyAlignment="1">
      <alignment horizontal="left" vertical="top" wrapText="1"/>
    </xf>
    <xf numFmtId="0" fontId="27" fillId="0" borderId="0" xfId="0" applyFont="1" applyAlignment="1">
      <alignment horizontal="left" vertical="center" wrapText="1"/>
    </xf>
    <xf numFmtId="0" fontId="29" fillId="0" borderId="0" xfId="0" applyFont="1" applyAlignment="1">
      <alignment horizontal="left" indent="2"/>
    </xf>
    <xf numFmtId="0" fontId="28" fillId="0" borderId="0" xfId="0" applyFont="1" applyAlignment="1">
      <alignment horizontal="left" vertical="center" indent="2"/>
    </xf>
    <xf numFmtId="0" fontId="31" fillId="12" borderId="0" xfId="0" applyFont="1" applyFill="1" applyAlignment="1">
      <alignment vertical="center"/>
    </xf>
    <xf numFmtId="0" fontId="32" fillId="12" borderId="0" xfId="0" applyFont="1" applyFill="1"/>
    <xf numFmtId="0" fontId="0" fillId="6" borderId="0" xfId="0" applyFill="1"/>
    <xf numFmtId="165" fontId="24" fillId="0" borderId="7" xfId="0" applyNumberFormat="1" applyFont="1" applyBorder="1" applyAlignment="1">
      <alignment horizontal="left"/>
    </xf>
    <xf numFmtId="0" fontId="26" fillId="6" borderId="0" xfId="0" applyFont="1" applyFill="1" applyAlignment="1">
      <alignment vertical="center"/>
    </xf>
    <xf numFmtId="0" fontId="34" fillId="0" borderId="0" xfId="0" applyFont="1" applyAlignment="1">
      <alignment vertical="top" wrapText="1"/>
    </xf>
    <xf numFmtId="40" fontId="35" fillId="0" borderId="0" xfId="0" applyNumberFormat="1" applyFont="1" applyAlignment="1">
      <alignment vertical="top"/>
    </xf>
    <xf numFmtId="0" fontId="14" fillId="0" borderId="0" xfId="0" applyFont="1" applyAlignment="1">
      <alignment vertical="top"/>
    </xf>
    <xf numFmtId="40" fontId="14" fillId="0" borderId="0" xfId="0" applyNumberFormat="1" applyFont="1" applyAlignment="1">
      <alignment vertical="top"/>
    </xf>
    <xf numFmtId="0" fontId="8" fillId="0" borderId="0" xfId="0" applyFont="1"/>
    <xf numFmtId="0" fontId="0" fillId="0" borderId="0" xfId="0" applyAlignment="1">
      <alignment horizontal="center"/>
    </xf>
    <xf numFmtId="1" fontId="0" fillId="0" borderId="0" xfId="0" applyNumberFormat="1"/>
    <xf numFmtId="43" fontId="25" fillId="0" borderId="0" xfId="1" applyFont="1"/>
    <xf numFmtId="164" fontId="11" fillId="0" borderId="0" xfId="0" applyNumberFormat="1" applyFont="1" applyAlignment="1">
      <alignment horizontal="center"/>
    </xf>
    <xf numFmtId="164" fontId="0" fillId="0" borderId="0" xfId="0" applyNumberFormat="1" applyAlignment="1">
      <alignment horizontal="center"/>
    </xf>
    <xf numFmtId="164" fontId="0" fillId="0" borderId="0" xfId="0" applyNumberFormat="1"/>
    <xf numFmtId="164" fontId="33" fillId="0" borderId="0" xfId="0" applyNumberFormat="1" applyFont="1" applyAlignment="1">
      <alignment horizontal="center"/>
    </xf>
    <xf numFmtId="0" fontId="11" fillId="0" borderId="15" xfId="0" applyFont="1" applyBorder="1" applyAlignment="1">
      <alignment horizontal="right"/>
    </xf>
    <xf numFmtId="1" fontId="11" fillId="0" borderId="0" xfId="0" applyNumberFormat="1" applyFont="1" applyAlignment="1">
      <alignment horizontal="right" indent="1"/>
    </xf>
    <xf numFmtId="164" fontId="15" fillId="0" borderId="0" xfId="0" applyNumberFormat="1" applyFont="1" applyAlignment="1">
      <alignment horizontal="left"/>
    </xf>
    <xf numFmtId="0" fontId="11" fillId="0" borderId="17" xfId="0" applyFont="1" applyBorder="1" applyAlignment="1">
      <alignment horizontal="right"/>
    </xf>
    <xf numFmtId="0" fontId="11" fillId="0" borderId="0" xfId="0" applyFont="1" applyAlignment="1">
      <alignment horizontal="right" vertical="top"/>
    </xf>
    <xf numFmtId="43" fontId="1" fillId="0" borderId="0" xfId="1"/>
    <xf numFmtId="1" fontId="15" fillId="0" borderId="0" xfId="0" applyNumberFormat="1" applyFont="1" applyAlignment="1">
      <alignment horizontal="left"/>
    </xf>
    <xf numFmtId="0" fontId="0" fillId="0" borderId="0" xfId="0" applyAlignment="1">
      <alignment horizontal="right" vertical="top"/>
    </xf>
    <xf numFmtId="4" fontId="11" fillId="0" borderId="0" xfId="0" applyNumberFormat="1" applyFont="1"/>
    <xf numFmtId="43" fontId="25" fillId="11" borderId="0" xfId="1" applyFont="1" applyFill="1" applyAlignment="1">
      <alignment horizontal="center"/>
    </xf>
    <xf numFmtId="0" fontId="11" fillId="0" borderId="0" xfId="0" applyFont="1" applyAlignment="1">
      <alignment horizontal="right"/>
    </xf>
    <xf numFmtId="1" fontId="11" fillId="0" borderId="0" xfId="0" applyNumberFormat="1" applyFont="1" applyAlignment="1">
      <alignment horizontal="center"/>
    </xf>
    <xf numFmtId="0" fontId="10" fillId="10" borderId="14" xfId="0" applyFont="1" applyFill="1" applyBorder="1"/>
    <xf numFmtId="164" fontId="10" fillId="10" borderId="14" xfId="0" applyNumberFormat="1" applyFont="1" applyFill="1" applyBorder="1" applyAlignment="1">
      <alignment horizontal="center"/>
    </xf>
    <xf numFmtId="164" fontId="12" fillId="10" borderId="14" xfId="0" applyNumberFormat="1" applyFont="1" applyFill="1" applyBorder="1"/>
    <xf numFmtId="0" fontId="12" fillId="10" borderId="14" xfId="0" applyFont="1" applyFill="1" applyBorder="1"/>
    <xf numFmtId="4" fontId="12" fillId="10" borderId="14" xfId="0" applyNumberFormat="1" applyFont="1" applyFill="1" applyBorder="1" applyAlignment="1">
      <alignment wrapText="1"/>
    </xf>
    <xf numFmtId="0" fontId="10" fillId="10" borderId="14" xfId="0" applyFont="1" applyFill="1" applyBorder="1" applyAlignment="1">
      <alignment horizontal="center"/>
    </xf>
    <xf numFmtId="1" fontId="12" fillId="10" borderId="14" xfId="0" applyNumberFormat="1" applyFont="1" applyFill="1" applyBorder="1" applyAlignment="1">
      <alignment horizontal="center"/>
    </xf>
    <xf numFmtId="1" fontId="12" fillId="10" borderId="14" xfId="0" applyNumberFormat="1" applyFont="1" applyFill="1" applyBorder="1" applyAlignment="1">
      <alignment horizontal="center" wrapText="1"/>
    </xf>
    <xf numFmtId="4" fontId="10" fillId="10" borderId="14" xfId="0" applyNumberFormat="1" applyFont="1" applyFill="1" applyBorder="1" applyAlignment="1">
      <alignment horizontal="center" wrapText="1"/>
    </xf>
    <xf numFmtId="4" fontId="0" fillId="0" borderId="0" xfId="0" applyNumberFormat="1"/>
    <xf numFmtId="1" fontId="0" fillId="0" borderId="0" xfId="0" applyNumberFormat="1" applyAlignment="1">
      <alignment horizontal="center"/>
    </xf>
    <xf numFmtId="43" fontId="0" fillId="0" borderId="0" xfId="0" applyNumberFormat="1"/>
    <xf numFmtId="4" fontId="11" fillId="6" borderId="5" xfId="0" applyNumberFormat="1" applyFont="1" applyFill="1" applyBorder="1"/>
    <xf numFmtId="0" fontId="11" fillId="6" borderId="5" xfId="0" applyFont="1" applyFill="1" applyBorder="1" applyAlignment="1">
      <alignment horizontal="center"/>
    </xf>
    <xf numFmtId="0" fontId="11" fillId="6" borderId="5" xfId="0" applyFont="1" applyFill="1" applyBorder="1" applyAlignment="1">
      <alignment horizontal="right"/>
    </xf>
    <xf numFmtId="4" fontId="11" fillId="13" borderId="5" xfId="0" applyNumberFormat="1" applyFont="1" applyFill="1" applyBorder="1"/>
    <xf numFmtId="4" fontId="37" fillId="0" borderId="0" xfId="0" applyNumberFormat="1" applyFont="1" applyAlignment="1">
      <alignment horizontal="right"/>
    </xf>
    <xf numFmtId="0" fontId="37" fillId="0" borderId="0" xfId="0" applyFont="1" applyAlignment="1">
      <alignment horizontal="center"/>
    </xf>
    <xf numFmtId="1" fontId="37" fillId="0" borderId="0" xfId="0" applyNumberFormat="1" applyFont="1" applyAlignment="1">
      <alignment horizontal="center"/>
    </xf>
    <xf numFmtId="1" fontId="15" fillId="0" borderId="0" xfId="0" applyNumberFormat="1" applyFont="1" applyAlignment="1">
      <alignment horizontal="right"/>
    </xf>
    <xf numFmtId="0" fontId="37" fillId="0" borderId="0" xfId="0" applyFont="1"/>
    <xf numFmtId="0" fontId="11" fillId="13" borderId="0" xfId="0" applyFont="1" applyFill="1" applyAlignment="1">
      <alignment horizontal="center"/>
    </xf>
    <xf numFmtId="0" fontId="11" fillId="0" borderId="0" xfId="0" applyFont="1" applyAlignment="1">
      <alignment horizontal="center"/>
    </xf>
    <xf numFmtId="1" fontId="11" fillId="0" borderId="0" xfId="0" applyNumberFormat="1" applyFont="1"/>
    <xf numFmtId="1" fontId="11" fillId="0" borderId="0" xfId="0" applyNumberFormat="1" applyFont="1" applyAlignment="1">
      <alignment horizontal="right"/>
    </xf>
    <xf numFmtId="0" fontId="33" fillId="0" borderId="0" xfId="0" applyFont="1"/>
    <xf numFmtId="1" fontId="0" fillId="0" borderId="0" xfId="0" applyNumberFormat="1" applyAlignment="1">
      <alignment horizontal="right"/>
    </xf>
    <xf numFmtId="4" fontId="0" fillId="0" borderId="0" xfId="0" applyNumberFormat="1" applyAlignment="1">
      <alignment horizontal="center"/>
    </xf>
    <xf numFmtId="4" fontId="0" fillId="0" borderId="5" xfId="0" applyNumberFormat="1" applyBorder="1"/>
    <xf numFmtId="0" fontId="0" fillId="0" borderId="5" xfId="0" applyBorder="1" applyAlignment="1">
      <alignment horizontal="center"/>
    </xf>
    <xf numFmtId="4" fontId="11" fillId="0" borderId="5" xfId="0" applyNumberFormat="1" applyFont="1" applyBorder="1" applyAlignment="1">
      <alignment horizontal="center"/>
    </xf>
    <xf numFmtId="0" fontId="11" fillId="0" borderId="0" xfId="0" applyFont="1" applyAlignment="1">
      <alignment vertical="center"/>
    </xf>
    <xf numFmtId="164" fontId="0" fillId="14" borderId="16" xfId="0" applyNumberFormat="1" applyFill="1" applyBorder="1" applyAlignment="1" applyProtection="1">
      <alignment horizontal="center"/>
      <protection locked="0"/>
    </xf>
    <xf numFmtId="164" fontId="14" fillId="14" borderId="18" xfId="0" applyNumberFormat="1" applyFont="1" applyFill="1" applyBorder="1" applyAlignment="1" applyProtection="1">
      <alignment horizontal="center"/>
      <protection locked="0"/>
    </xf>
    <xf numFmtId="164" fontId="0" fillId="14" borderId="0" xfId="0" applyNumberFormat="1" applyFill="1" applyAlignment="1" applyProtection="1">
      <alignment horizontal="center"/>
      <protection locked="0"/>
    </xf>
    <xf numFmtId="164" fontId="0" fillId="0" borderId="0" xfId="0" applyNumberFormat="1" applyProtection="1">
      <protection locked="0"/>
    </xf>
    <xf numFmtId="164" fontId="40" fillId="0" borderId="0" xfId="0" applyNumberFormat="1" applyFont="1" applyAlignment="1">
      <alignment horizontal="center" vertical="center"/>
    </xf>
    <xf numFmtId="1" fontId="41" fillId="0" borderId="0" xfId="0" applyNumberFormat="1" applyFont="1" applyAlignment="1">
      <alignment horizontal="right" vertical="center"/>
    </xf>
    <xf numFmtId="4" fontId="39" fillId="0" borderId="0" xfId="0" applyNumberFormat="1" applyFont="1" applyAlignment="1">
      <alignment vertical="center"/>
    </xf>
    <xf numFmtId="0" fontId="39" fillId="0" borderId="0" xfId="0" applyFont="1" applyAlignment="1">
      <alignment horizontal="right"/>
    </xf>
    <xf numFmtId="0" fontId="42" fillId="12" borderId="0" xfId="0" applyFont="1" applyFill="1"/>
    <xf numFmtId="2" fontId="0" fillId="0" borderId="0" xfId="0" applyNumberFormat="1"/>
    <xf numFmtId="2" fontId="0" fillId="0" borderId="0" xfId="0" applyNumberFormat="1" applyAlignment="1">
      <alignment horizontal="center"/>
    </xf>
    <xf numFmtId="1" fontId="11" fillId="0" borderId="5" xfId="0" applyNumberFormat="1" applyFont="1" applyBorder="1" applyAlignment="1">
      <alignment horizontal="right"/>
    </xf>
    <xf numFmtId="4" fontId="0" fillId="14" borderId="0" xfId="0" applyNumberFormat="1" applyFill="1" applyAlignment="1" applyProtection="1">
      <alignment horizontal="right"/>
      <protection locked="0"/>
    </xf>
    <xf numFmtId="43" fontId="25" fillId="11" borderId="0" xfId="1" applyFont="1" applyFill="1" applyAlignment="1">
      <alignment horizontal="center"/>
    </xf>
    <xf numFmtId="0" fontId="38" fillId="0" borderId="0" xfId="0" applyFont="1" applyAlignment="1">
      <alignment horizontal="right" vertical="top" wrapText="1"/>
    </xf>
    <xf numFmtId="0" fontId="15" fillId="0" borderId="0" xfId="0" applyFont="1" applyAlignment="1">
      <alignment horizontal="left" vertical="top" wrapText="1"/>
    </xf>
    <xf numFmtId="164" fontId="3" fillId="2" borderId="0" xfId="0" applyNumberFormat="1" applyFont="1" applyFill="1" applyAlignment="1">
      <alignment horizontal="center" vertical="top" wrapText="1"/>
    </xf>
    <xf numFmtId="164" fontId="3" fillId="2" borderId="0" xfId="0" applyNumberFormat="1" applyFont="1" applyFill="1" applyAlignment="1">
      <alignment horizontal="left" vertical="top" wrapText="1"/>
    </xf>
    <xf numFmtId="0" fontId="0" fillId="0" borderId="0" xfId="0" applyAlignment="1">
      <alignment vertical="top"/>
    </xf>
    <xf numFmtId="164" fontId="16" fillId="7" borderId="6" xfId="0" applyNumberFormat="1" applyFont="1" applyFill="1" applyBorder="1" applyAlignment="1">
      <alignment horizontal="center"/>
    </xf>
    <xf numFmtId="0" fontId="23" fillId="7" borderId="6" xfId="0" applyFont="1" applyFill="1" applyBorder="1" applyAlignment="1">
      <alignment horizontal="center"/>
    </xf>
    <xf numFmtId="1" fontId="14" fillId="0" borderId="0" xfId="0" applyNumberFormat="1" applyFont="1"/>
  </cellXfs>
  <cellStyles count="4">
    <cellStyle name="Comma" xfId="1" builtinId="3"/>
    <cellStyle name="Hyperlink" xfId="3" builtinId="8"/>
    <cellStyle name="Normal" xfId="0" builtinId="0"/>
    <cellStyle name="Normal 4 19" xfId="2" xr:uid="{00000000-0005-0000-0000-000002000000}"/>
  </cellStyles>
  <dxfs count="38">
    <dxf>
      <fill>
        <patternFill>
          <bgColor rgb="FFFFFF00"/>
        </patternFill>
      </fill>
    </dxf>
    <dxf>
      <font>
        <b/>
        <i val="0"/>
      </font>
    </dxf>
    <dxf>
      <font>
        <b val="0"/>
        <i/>
        <color rgb="FFFF0000"/>
      </font>
    </dxf>
    <dxf>
      <fill>
        <patternFill>
          <bgColor theme="5" tint="0.79998168889431442"/>
        </patternFill>
      </fill>
    </dxf>
    <dxf>
      <font>
        <b/>
        <i val="0"/>
      </font>
      <fill>
        <patternFill>
          <bgColor theme="5" tint="0.79998168889431442"/>
        </patternFill>
      </fill>
    </dxf>
    <dxf>
      <font>
        <b val="0"/>
        <i/>
        <color theme="0" tint="-0.34998626667073579"/>
      </font>
      <fill>
        <patternFill patternType="none">
          <bgColor auto="1"/>
        </patternFill>
      </fill>
    </dxf>
    <dxf>
      <font>
        <b val="0"/>
        <i/>
        <color theme="0" tint="-0.34998626667073579"/>
      </font>
    </dxf>
    <dxf>
      <font>
        <b val="0"/>
        <i/>
        <color theme="0" tint="-0.499984740745262"/>
      </font>
      <fill>
        <patternFill>
          <bgColor theme="5" tint="0.79998168889431442"/>
        </patternFill>
      </fill>
    </dxf>
    <dxf>
      <font>
        <b val="0"/>
        <i/>
        <color theme="0" tint="-0.24994659260841701"/>
      </font>
      <fill>
        <patternFill patternType="none">
          <bgColor auto="1"/>
        </patternFill>
      </fill>
    </dxf>
    <dxf>
      <font>
        <strike val="0"/>
        <outline val="0"/>
        <shadow val="0"/>
        <vertAlign val="baseline"/>
        <sz val="10"/>
        <color indexed="8"/>
        <name val="Aptos Narrow"/>
        <family val="2"/>
      </font>
      <numFmt numFmtId="8" formatCode="#,##0.00_);[Red]\(#,##0.00\)"/>
      <alignment horizontal="general" vertical="top"/>
    </dxf>
    <dxf>
      <font>
        <strike val="0"/>
        <outline val="0"/>
        <shadow val="0"/>
        <vertAlign val="baseline"/>
        <sz val="10"/>
        <color theme="1"/>
        <name val="Aptos Narrow"/>
        <family val="2"/>
      </font>
      <alignment horizontal="center" vertical="top"/>
    </dxf>
    <dxf>
      <font>
        <strike val="0"/>
        <outline val="0"/>
        <shadow val="0"/>
        <vertAlign val="baseline"/>
        <sz val="10"/>
        <name val="Aptos Narrow"/>
        <family val="2"/>
      </font>
      <alignment horizontal="center" vertical="top"/>
    </dxf>
    <dxf>
      <font>
        <strike val="0"/>
        <outline val="0"/>
        <shadow val="0"/>
        <vertAlign val="baseline"/>
        <sz val="10"/>
        <color indexed="8"/>
        <name val="Aptos Narrow"/>
        <family val="2"/>
      </font>
      <numFmt numFmtId="8" formatCode="#,##0.00_);[Red]\(#,##0.00\)"/>
      <alignment horizontal="general" vertical="top"/>
    </dxf>
    <dxf>
      <font>
        <strike val="0"/>
        <outline val="0"/>
        <shadow val="0"/>
        <vertAlign val="baseline"/>
        <sz val="10"/>
        <name val="Aptos Narrow"/>
        <family val="2"/>
      </font>
      <alignment horizontal="center" vertical="top"/>
    </dxf>
    <dxf>
      <font>
        <strike val="0"/>
        <outline val="0"/>
        <shadow val="0"/>
        <vertAlign val="baseline"/>
        <sz val="10"/>
        <name val="Aptos Narrow"/>
        <family val="2"/>
      </font>
      <alignment horizontal="center" vertical="top"/>
    </dxf>
    <dxf>
      <font>
        <strike val="0"/>
        <outline val="0"/>
        <shadow val="0"/>
        <vertAlign val="baseline"/>
        <sz val="10"/>
        <name val="Aptos Narrow"/>
        <family val="2"/>
      </font>
      <numFmt numFmtId="8" formatCode="#,##0.00_);[Red]\(#,##0.00\)"/>
      <alignment vertical="top"/>
    </dxf>
    <dxf>
      <font>
        <strike val="0"/>
        <outline val="0"/>
        <shadow val="0"/>
        <vertAlign val="baseline"/>
        <sz val="10"/>
        <name val="Aptos Narrow"/>
        <family val="2"/>
      </font>
      <alignment vertical="top"/>
    </dxf>
    <dxf>
      <font>
        <strike val="0"/>
        <outline val="0"/>
        <shadow val="0"/>
        <vertAlign val="baseline"/>
        <sz val="10"/>
        <name val="Aptos Narrow"/>
        <family val="2"/>
      </font>
      <alignment horizontal="center" vertical="top"/>
    </dxf>
    <dxf>
      <font>
        <strike val="0"/>
        <outline val="0"/>
        <shadow val="0"/>
        <vertAlign val="baseline"/>
        <sz val="10"/>
        <color indexed="8"/>
        <name val="Aptos Narrow"/>
        <family val="2"/>
      </font>
      <numFmt numFmtId="8" formatCode="#,##0.00_);[Red]\(#,##0.00\)"/>
      <alignment horizontal="general" vertical="top"/>
    </dxf>
    <dxf>
      <font>
        <strike val="0"/>
        <outline val="0"/>
        <shadow val="0"/>
        <vertAlign val="baseline"/>
        <sz val="10"/>
        <name val="Aptos Narrow"/>
        <family val="2"/>
      </font>
      <numFmt numFmtId="0" formatCode="General"/>
      <alignment horizontal="center" vertical="top"/>
    </dxf>
    <dxf>
      <font>
        <strike val="0"/>
        <outline val="0"/>
        <shadow val="0"/>
        <vertAlign val="baseline"/>
        <sz val="10"/>
        <name val="Aptos Narrow"/>
        <family val="2"/>
      </font>
      <alignment horizontal="center" vertical="top"/>
    </dxf>
    <dxf>
      <font>
        <strike val="0"/>
        <outline val="0"/>
        <shadow val="0"/>
        <vertAlign val="baseline"/>
        <sz val="10"/>
        <name val="Aptos Narrow"/>
        <family val="2"/>
      </font>
      <alignment vertical="top"/>
    </dxf>
    <dxf>
      <font>
        <strike val="0"/>
        <outline val="0"/>
        <shadow val="0"/>
        <vertAlign val="baseline"/>
        <sz val="10"/>
        <name val="Aptos Narrow"/>
        <family val="2"/>
      </font>
      <numFmt numFmtId="8" formatCode="#,##0.00_);[Red]\(#,##0.00\)"/>
      <alignment vertical="top"/>
    </dxf>
    <dxf>
      <font>
        <strike val="0"/>
        <outline val="0"/>
        <shadow val="0"/>
        <vertAlign val="baseline"/>
        <sz val="10"/>
        <name val="Aptos Narrow"/>
        <family val="2"/>
      </font>
      <alignment vertical="top"/>
    </dxf>
    <dxf>
      <font>
        <strike val="0"/>
        <outline val="0"/>
        <shadow val="0"/>
        <vertAlign val="baseline"/>
        <sz val="10"/>
        <name val="Aptos Narrow"/>
        <family val="2"/>
      </font>
      <numFmt numFmtId="8" formatCode="#,##0.00_);[Red]\(#,##0.00\)"/>
      <alignment vertical="top"/>
    </dxf>
    <dxf>
      <font>
        <strike val="0"/>
        <outline val="0"/>
        <shadow val="0"/>
        <vertAlign val="baseline"/>
        <sz val="10"/>
        <name val="Aptos Narrow"/>
        <family val="2"/>
      </font>
      <alignment vertical="top"/>
    </dxf>
    <dxf>
      <font>
        <strike val="0"/>
        <outline val="0"/>
        <shadow val="0"/>
        <vertAlign val="baseline"/>
        <sz val="10"/>
        <color indexed="8"/>
        <name val="Aptos Narrow"/>
        <family val="2"/>
      </font>
      <numFmt numFmtId="8" formatCode="#,##0.00_);[Red]\(#,##0.00\)"/>
      <alignment horizontal="general" vertical="top"/>
    </dxf>
    <dxf>
      <font>
        <strike val="0"/>
        <condense val="0"/>
        <extend val="0"/>
        <outline val="0"/>
        <shadow val="0"/>
        <vertAlign val="baseline"/>
        <sz val="10"/>
        <color indexed="8"/>
        <name val="Aptos Narrow"/>
        <family val="2"/>
      </font>
      <numFmt numFmtId="8" formatCode="#,##0.00_);[Red]\(#,##0.00\)"/>
      <alignment horizontal="general" vertical="top"/>
    </dxf>
    <dxf>
      <font>
        <strike val="0"/>
        <condense val="0"/>
        <extend val="0"/>
        <outline val="0"/>
        <shadow val="0"/>
        <vertAlign val="baseline"/>
        <sz val="10"/>
        <color theme="1"/>
        <name val="Aptos Narrow"/>
        <family val="2"/>
      </font>
      <alignment horizontal="general" vertical="top"/>
    </dxf>
    <dxf>
      <font>
        <strike val="0"/>
        <condense val="0"/>
        <extend val="0"/>
        <outline val="0"/>
        <shadow val="0"/>
        <vertAlign val="baseline"/>
        <sz val="10"/>
        <color rgb="FF000000"/>
        <name val="Aptos Narrow"/>
        <family val="2"/>
      </font>
      <alignment horizontal="general" vertical="top" wrapText="1"/>
    </dxf>
    <dxf>
      <font>
        <strike val="0"/>
        <outline val="0"/>
        <shadow val="0"/>
        <vertAlign val="baseline"/>
        <sz val="10"/>
        <name val="Aptos Narrow"/>
        <family val="2"/>
      </font>
      <alignment vertical="top"/>
    </dxf>
    <dxf>
      <border outline="0">
        <bottom style="medium">
          <color indexed="64"/>
        </bottom>
      </border>
    </dxf>
    <dxf>
      <font>
        <b/>
        <strike val="0"/>
        <condense val="0"/>
        <extend val="0"/>
        <outline val="0"/>
        <shadow val="0"/>
        <vertAlign val="baseline"/>
        <sz val="10"/>
        <color theme="0"/>
        <name val="Aptos Narrow"/>
        <family val="2"/>
      </font>
      <alignment horizontal="center" vertical="bottom" wrapText="1"/>
    </dxf>
    <dxf>
      <font>
        <strike val="0"/>
        <condense val="0"/>
        <extend val="0"/>
        <outline val="0"/>
        <shadow val="0"/>
        <vertAlign val="baseline"/>
        <sz val="10"/>
        <color theme="0"/>
        <name val="Aptos Narrow"/>
        <family val="2"/>
      </font>
      <alignment horizontal="center" vertical="top"/>
    </dxf>
    <dxf>
      <font>
        <strike val="0"/>
        <condense val="0"/>
        <extend val="0"/>
        <outline val="0"/>
        <shadow val="0"/>
        <vertAlign val="baseline"/>
        <sz val="10"/>
        <color theme="0"/>
        <name val="Aptos Narrow"/>
        <family val="2"/>
      </font>
      <alignment horizontal="center" vertical="top"/>
    </dxf>
    <dxf>
      <font>
        <strike val="0"/>
        <condense val="0"/>
        <extend val="0"/>
        <outline val="0"/>
        <shadow val="0"/>
        <vertAlign val="baseline"/>
        <sz val="10"/>
        <color theme="0"/>
        <name val="Aptos Narrow"/>
        <family val="2"/>
      </font>
      <numFmt numFmtId="164" formatCode="mm/dd/yyyy"/>
      <alignment horizontal="center" vertical="top"/>
    </dxf>
    <dxf>
      <font>
        <strike val="0"/>
        <outline val="0"/>
        <shadow val="0"/>
        <vertAlign val="baseline"/>
        <sz val="10"/>
        <color theme="0"/>
        <name val="Aptos Narrow"/>
        <family val="2"/>
      </font>
      <alignment vertical="top"/>
    </dxf>
    <dxf>
      <font>
        <strike val="0"/>
        <outline val="0"/>
        <shadow val="0"/>
        <vertAlign val="baseline"/>
        <sz val="10"/>
        <color theme="0"/>
        <name val="Aptos Narrow"/>
        <family val="2"/>
      </font>
      <alignment vertical="bottom"/>
    </dxf>
  </dxfs>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HSAIRSLimits" displayName="HSAIRSLimits" ref="A1:C4" totalsRowShown="0" headerRowDxfId="37" dataDxfId="36">
  <autoFilter ref="A1:C4" xr:uid="{00000000-0009-0000-0100-000001000000}"/>
  <tableColumns count="3">
    <tableColumn id="1" xr3:uid="{00000000-0010-0000-0000-000001000000}" name="HSA IRS Limits" dataDxfId="35"/>
    <tableColumn id="2" xr3:uid="{00000000-0010-0000-0000-000002000000}" name="2026" dataDxfId="34" dataCellStyle="Comma"/>
    <tableColumn id="3" xr3:uid="{00000000-0010-0000-0000-000003000000}" name="Column1" dataDxfId="33" dataCellStyle="Comma"/>
  </tableColumns>
  <tableStyleInfo name="TableStyleDark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 displayName="Table1" ref="F1:Z56" totalsRowShown="0" headerRowDxfId="32" dataDxfId="30" headerRowBorderDxfId="31">
  <autoFilter ref="F1:Z56" xr:uid="{00000000-0009-0000-0100-000002000000}"/>
  <tableColumns count="21">
    <tableColumn id="1" xr3:uid="{00000000-0010-0000-0100-000001000000}" name="BENEFIT PLAN" dataDxfId="29"/>
    <tableColumn id="2" xr3:uid="{00000000-0010-0000-0100-000002000000}" name="PLAN COVERAGE" dataDxfId="28" dataCellStyle="Normal 4 19"/>
    <tableColumn id="3" xr3:uid="{00000000-0010-0000-0100-000003000000}" name="ER HSA Match" dataDxfId="27"/>
    <tableColumn id="4" xr3:uid="{00000000-0010-0000-0100-000004000000}" name="Total Contribution Annual Limit" dataDxfId="26"/>
    <tableColumn id="5" xr3:uid="{00000000-0010-0000-0100-000005000000}" name="Catchup_x000a_(Age 55+)" dataDxfId="25"/>
    <tableColumn id="6" xr3:uid="{00000000-0010-0000-0100-000006000000}" name="EE COST PRE-TAX" dataDxfId="24"/>
    <tableColumn id="7" xr3:uid="{00000000-0010-0000-0100-000007000000}" name="EE COST POST TAX - Domestic Partner" dataDxfId="23"/>
    <tableColumn id="8" xr3:uid="{00000000-0010-0000-0100-000008000000}" name="ER COST PRE-TAX" dataDxfId="22"/>
    <tableColumn id="9" xr3:uid="{00000000-0010-0000-0100-000009000000}" name="ER COST POST TAX - Domestic Partner" dataDxfId="21"/>
    <tableColumn id="10" xr3:uid="{00000000-0010-0000-0100-00000A000000}" name="Q1" dataDxfId="20" dataCellStyle="Normal 4 19"/>
    <tableColumn id="11" xr3:uid="{00000000-0010-0000-0100-00000B000000}" name="Days in Q1" dataDxfId="19" dataCellStyle="Normal 4 19">
      <calculatedColumnFormula>#REF!</calculatedColumnFormula>
    </tableColumn>
    <tableColumn id="12" xr3:uid="{00000000-0010-0000-0100-00000C000000}" name="Q1 per Day Rate" dataDxfId="18">
      <calculatedColumnFormula>Table1[[#This Row],[ER HSA Match]]/Table1[[#This Row],[Days in Q1]]</calculatedColumnFormula>
    </tableColumn>
    <tableColumn id="13" xr3:uid="{00000000-0010-0000-0100-00000D000000}" name="Q2" dataDxfId="17" dataCellStyle="Normal 4 19"/>
    <tableColumn id="14" xr3:uid="{00000000-0010-0000-0100-00000E000000}" name="Days in Q2" dataDxfId="16">
      <calculatedColumnFormula>#REF!</calculatedColumnFormula>
    </tableColumn>
    <tableColumn id="15" xr3:uid="{00000000-0010-0000-0100-00000F000000}" name="Q2 per Day Rate" dataDxfId="15">
      <calculatedColumnFormula>Table1[[#This Row],[ER HSA Match]]/Table1[[#This Row],[Days in Q2]]</calculatedColumnFormula>
    </tableColumn>
    <tableColumn id="16" xr3:uid="{00000000-0010-0000-0100-000010000000}" name="Q3" dataDxfId="14" dataCellStyle="Normal 4 19"/>
    <tableColumn id="17" xr3:uid="{00000000-0010-0000-0100-000011000000}" name="Days in Q3" dataDxfId="13" dataCellStyle="Normal 4 19">
      <calculatedColumnFormula>#REF!</calculatedColumnFormula>
    </tableColumn>
    <tableColumn id="18" xr3:uid="{00000000-0010-0000-0100-000012000000}" name="Q3 per Day Rate" dataDxfId="12">
      <calculatedColumnFormula>Table1[[#This Row],[ER HSA Match]]/Table1[[#This Row],[Days in Q3]]</calculatedColumnFormula>
    </tableColumn>
    <tableColumn id="19" xr3:uid="{00000000-0010-0000-0100-000013000000}" name="Q4" dataDxfId="11" dataCellStyle="Normal 4 19"/>
    <tableColumn id="20" xr3:uid="{00000000-0010-0000-0100-000014000000}" name="Days in Q4" dataDxfId="10" dataCellStyle="Normal 4 19"/>
    <tableColumn id="21" xr3:uid="{00000000-0010-0000-0100-000015000000}" name="Q4 per Day Rate" dataDxfId="9">
      <calculatedColumnFormula>Table1[[#This Row],[ER HSA Match]]/Table1[[#This Row],[Days in Q4]]</calculatedColumnFormula>
    </tableColumn>
  </tableColumns>
  <tableStyleInfo name="TableStyleMedium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www.irs.gov/publications/p969"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Q22"/>
  <sheetViews>
    <sheetView showGridLines="0" tabSelected="1" zoomScaleNormal="100" workbookViewId="0">
      <selection activeCell="B4" sqref="B4"/>
    </sheetView>
  </sheetViews>
  <sheetFormatPr defaultColWidth="8.54296875" defaultRowHeight="14.5" x14ac:dyDescent="0.35"/>
  <cols>
    <col min="1" max="1" width="30.1796875" customWidth="1"/>
    <col min="2" max="2" width="14.81640625" style="84" customWidth="1"/>
    <col min="3" max="3" width="13.1796875" style="84" customWidth="1"/>
    <col min="4" max="4" width="19.81640625" style="85" customWidth="1"/>
    <col min="5" max="5" width="27.81640625" customWidth="1"/>
    <col min="6" max="6" width="16.08984375" customWidth="1"/>
    <col min="7" max="7" width="13.6328125" style="108" customWidth="1"/>
    <col min="8" max="8" width="9.1796875" style="80" customWidth="1"/>
    <col min="9" max="9" width="12.81640625" style="81" customWidth="1"/>
    <col min="10" max="10" width="14.81640625" style="81" customWidth="1"/>
    <col min="11" max="11" width="19.90625" customWidth="1"/>
    <col min="12" max="12" width="14.81640625" customWidth="1"/>
    <col min="13" max="13" width="17.6328125" customWidth="1"/>
    <col min="14" max="15" width="13.90625" style="82" hidden="1" customWidth="1"/>
    <col min="17" max="17" width="9.1796875" bestFit="1" customWidth="1"/>
  </cols>
  <sheetData>
    <row r="1" spans="1:17" ht="27" customHeight="1" x14ac:dyDescent="0.55000000000000004">
      <c r="A1" s="139" t="s">
        <v>133</v>
      </c>
      <c r="B1" s="139"/>
      <c r="C1" s="139"/>
      <c r="D1" s="139"/>
      <c r="E1" s="147" t="s">
        <v>29</v>
      </c>
      <c r="F1" s="147"/>
      <c r="G1" s="147"/>
      <c r="H1" s="147"/>
      <c r="I1" s="147"/>
    </row>
    <row r="2" spans="1:17" x14ac:dyDescent="0.35">
      <c r="A2" s="83">
        <v>46023</v>
      </c>
      <c r="E2" s="85"/>
      <c r="F2" s="85"/>
      <c r="G2" s="85"/>
      <c r="H2" s="85"/>
      <c r="I2" s="85"/>
      <c r="J2" s="85"/>
    </row>
    <row r="3" spans="1:17" ht="15" thickBot="1" x14ac:dyDescent="0.4">
      <c r="A3" s="84"/>
      <c r="B3" s="86"/>
      <c r="E3" s="14"/>
      <c r="F3" s="14"/>
      <c r="G3" s="14"/>
    </row>
    <row r="4" spans="1:17" x14ac:dyDescent="0.35">
      <c r="A4" s="87" t="s">
        <v>129</v>
      </c>
      <c r="B4" s="131" t="s">
        <v>141</v>
      </c>
      <c r="C4" s="88" t="str">
        <f>IF($B$4="","",IFERROR(DATEDIF($B$4, DATE(2026,12,31), "Y"), ""))</f>
        <v/>
      </c>
      <c r="D4" s="89" t="s">
        <v>56</v>
      </c>
      <c r="E4" s="145" t="s">
        <v>121</v>
      </c>
      <c r="F4" s="145"/>
      <c r="G4" s="145"/>
      <c r="H4" s="135" t="s">
        <v>55</v>
      </c>
      <c r="I4" s="136" t="s">
        <v>116</v>
      </c>
      <c r="J4" s="137">
        <v>0</v>
      </c>
    </row>
    <row r="5" spans="1:17" ht="15" thickBot="1" x14ac:dyDescent="0.4">
      <c r="A5" s="90" t="s">
        <v>130</v>
      </c>
      <c r="B5" s="132" t="s">
        <v>55</v>
      </c>
      <c r="G5" s="91" t="s">
        <v>115</v>
      </c>
      <c r="H5" s="143">
        <v>0</v>
      </c>
      <c r="I5" s="152" t="str">
        <f>IF($H$5 &gt; $K$13, "Greater than allowed limit", "")</f>
        <v/>
      </c>
      <c r="J5" s="92"/>
    </row>
    <row r="6" spans="1:17" x14ac:dyDescent="0.35">
      <c r="E6" s="93"/>
      <c r="G6" s="94" t="s">
        <v>132</v>
      </c>
      <c r="H6" s="140">
        <f>IFERROR(IF($B$5="Salary",SUM($H$5/24),SUM($H$5/26)),0)</f>
        <v>0</v>
      </c>
      <c r="N6" s="144" t="s">
        <v>87</v>
      </c>
      <c r="O6" s="144"/>
    </row>
    <row r="7" spans="1:17" x14ac:dyDescent="0.35">
      <c r="A7" s="97"/>
      <c r="B7" s="97"/>
      <c r="C7" s="97"/>
      <c r="G7" s="138" t="s">
        <v>117</v>
      </c>
      <c r="H7"/>
      <c r="N7" s="96"/>
      <c r="O7" s="96"/>
    </row>
    <row r="8" spans="1:17" ht="44.5" customHeight="1" thickBot="1" x14ac:dyDescent="0.4">
      <c r="A8" s="99" t="s">
        <v>47</v>
      </c>
      <c r="B8" s="100" t="s">
        <v>48</v>
      </c>
      <c r="C8" s="100" t="s">
        <v>49</v>
      </c>
      <c r="D8" s="101" t="s">
        <v>53</v>
      </c>
      <c r="E8" s="102" t="s">
        <v>54</v>
      </c>
      <c r="F8" s="103" t="s">
        <v>91</v>
      </c>
      <c r="G8" s="103" t="s">
        <v>90</v>
      </c>
      <c r="H8" s="104" t="s">
        <v>50</v>
      </c>
      <c r="I8" s="105" t="s">
        <v>52</v>
      </c>
      <c r="J8" s="106" t="s">
        <v>112</v>
      </c>
      <c r="K8" s="107" t="s">
        <v>139</v>
      </c>
      <c r="L8" s="107" t="s">
        <v>140</v>
      </c>
      <c r="N8" s="82" t="s">
        <v>88</v>
      </c>
      <c r="O8" s="82" t="s">
        <v>89</v>
      </c>
    </row>
    <row r="9" spans="1:17" x14ac:dyDescent="0.35">
      <c r="A9" t="s">
        <v>120</v>
      </c>
      <c r="B9" s="84">
        <v>46023</v>
      </c>
      <c r="C9" s="84">
        <v>46387</v>
      </c>
      <c r="D9" s="134" t="s">
        <v>55</v>
      </c>
      <c r="E9" s="134" t="s">
        <v>55</v>
      </c>
      <c r="F9" s="108" cm="1">
        <f t="array" ref="F9">IFERROR(_xlfn.XLOOKUP($D9&amp;$E9,Tables!$F:$F&amp;Tables!$G:$G,Tables!$H:$H)*4,0)</f>
        <v>0</v>
      </c>
      <c r="G9" s="108" cm="1">
        <f t="array" ref="G9">IFERROR( _xlfn.XLOOKUP($D9&amp;$E9, Tables!$F:$F&amp;Tables!$G:$G, Tables!$I:$I)
  + IF($C$4&gt;=55, 1000, 0),0)</f>
        <v>0</v>
      </c>
      <c r="H9" s="80">
        <f>IFERROR(SUM($C9-$B9)+1,"")</f>
        <v>365</v>
      </c>
      <c r="I9" s="109">
        <f>IFERROR(DATEDIF(EOMONTH($B9,0),EOMONTH($C9,0),"m")+1,"")</f>
        <v>12</v>
      </c>
      <c r="J9" s="108">
        <f>IFERROR(SUM($F9/12)*$I9,"")</f>
        <v>0</v>
      </c>
      <c r="K9" s="108" t="str">
        <f>IFERROR(IF(VALUE($I$9)&gt;0,
   (G9 - IF(VALUE($C$4)&gt;=55,1000,0)) * (VALUE($I$9)/12)
 + IF(VALUE($C$4)&gt;=55, IF($I$10=0, 1000, 1000*(VALUE($I$9)/12)), 0),
0)-J9,"")</f>
        <v/>
      </c>
      <c r="L9" s="108">
        <f>IFERROR(SUM($G9/12)*$I9,"")</f>
        <v>0</v>
      </c>
      <c r="N9" s="82">
        <f>G9/12</f>
        <v>0</v>
      </c>
      <c r="O9" s="82">
        <f>N9*I9</f>
        <v>0</v>
      </c>
    </row>
    <row r="10" spans="1:17" ht="16" hidden="1" customHeight="1" x14ac:dyDescent="0.35">
      <c r="A10" t="s">
        <v>128</v>
      </c>
      <c r="B10" s="133"/>
      <c r="C10" s="133"/>
      <c r="D10" s="134" t="s">
        <v>55</v>
      </c>
      <c r="E10" s="134" t="s">
        <v>55</v>
      </c>
      <c r="F10" s="108" cm="1">
        <f t="array" ref="F10">IFERROR(_xlfn.XLOOKUP($D10&amp;$E10,Tables!$F:$F&amp;Tables!$G:$G,Tables!$H:$H)*4,0)</f>
        <v>0</v>
      </c>
      <c r="G10" s="108" cm="1">
        <f t="array" ref="G10">IFERROR( _xlfn.XLOOKUP($D10&amp;$E10, Tables!$F:$F&amp;Tables!$G:$G, Tables!$I:$I)
  + IF($C$4&gt;=55, 1000, 0),0)</f>
        <v>0</v>
      </c>
      <c r="H10" s="80">
        <f>IFERROR(IF(OR($B10="",$C10=""),0,SUM($C10-$B10)+1),"")</f>
        <v>0</v>
      </c>
      <c r="I10" s="109">
        <f>IF(OR($D10="Select One", AND($B10="", $C10="")),
   0,
   IFERROR(
     IF(
       IF($A10="Coverage Period 2", EOMONTH($B10,0)+1, EOMONTH($B10,0)) &gt; EOMONTH($C10,0),
       0,
       DATEDIF(IF($A10="Coverage Period 2", EOMONTH($B10,0)+1, EOMONTH($B10,0)), EOMONTH($C10,0), "m")+1
     ),
     0
   )
)</f>
        <v>0</v>
      </c>
      <c r="J10" s="108">
        <f>SUM($F10/12)*$I10</f>
        <v>0</v>
      </c>
      <c r="K10" s="108">
        <f>SUM($L10-$J10)</f>
        <v>0</v>
      </c>
      <c r="L10" s="108">
        <f>SUM($G10/12)*$I10</f>
        <v>0</v>
      </c>
      <c r="N10" s="82">
        <f>G10/12</f>
        <v>0</v>
      </c>
      <c r="O10" s="82">
        <f>N10*I10</f>
        <v>0</v>
      </c>
      <c r="P10" s="82"/>
      <c r="Q10" s="110"/>
    </row>
    <row r="11" spans="1:17" hidden="1" x14ac:dyDescent="0.35">
      <c r="A11" t="s">
        <v>128</v>
      </c>
      <c r="B11" s="133"/>
      <c r="C11" s="133"/>
      <c r="D11" s="134" t="s">
        <v>55</v>
      </c>
      <c r="E11" s="134" t="s">
        <v>55</v>
      </c>
      <c r="F11" s="108" cm="1">
        <f t="array" ref="F11">IFERROR(_xlfn.XLOOKUP($D11&amp;$E11,Tables!$F:$F&amp;Tables!$G:$G,Tables!$H:$H)*4,0)</f>
        <v>0</v>
      </c>
      <c r="G11" s="108" cm="1">
        <f t="array" ref="G11">IFERROR( _xlfn.XLOOKUP($D11&amp;$E11, Tables!$F:$F&amp;Tables!$G:$G, Tables!$I:$I)
  + IF($C$4&gt;=55, 1000, 0),0)</f>
        <v>0</v>
      </c>
      <c r="H11" s="80">
        <f>IFERROR(IF(OR($B11="",$C11=""),0,SUM($C11-$B11)+1),"")</f>
        <v>0</v>
      </c>
      <c r="I11" s="109">
        <f>IF($D11="Select One",
   0,
   IFERROR(
     IF(
       IF($A11="Coverage Period 2",EOMONTH($B11,0)+1,EOMONTH($B11,0)) &gt; EOMONTH($C11,0),
       0,
       DATEDIF(IF($A11="Coverage Period 2",EOMONTH($B11,0)+1,EOMONTH($B11,0)),EOMONTH($C11,0),"m")+1
     ),
     ""
   )
)</f>
        <v>0</v>
      </c>
      <c r="J11" s="108">
        <f>SUM($F11/12)*$I11</f>
        <v>0</v>
      </c>
      <c r="K11" s="108">
        <f>SUM($L11-$J11)</f>
        <v>0</v>
      </c>
      <c r="L11" s="108">
        <f>SUM($G11/12)*$I11</f>
        <v>0</v>
      </c>
      <c r="N11" s="82">
        <f>G11/12</f>
        <v>0</v>
      </c>
      <c r="O11" s="82">
        <f>N11*I11</f>
        <v>0</v>
      </c>
    </row>
    <row r="12" spans="1:17" hidden="1" x14ac:dyDescent="0.35">
      <c r="A12" t="s">
        <v>128</v>
      </c>
      <c r="B12" s="133"/>
      <c r="C12" s="133"/>
      <c r="D12" s="134" t="s">
        <v>55</v>
      </c>
      <c r="E12" s="134" t="s">
        <v>55</v>
      </c>
      <c r="F12" s="108" cm="1">
        <f t="array" ref="F12">IFERROR(_xlfn.XLOOKUP($D12&amp;$E12,Tables!$F:$F&amp;Tables!$G:$G,Tables!$H:$H)*4,0)</f>
        <v>0</v>
      </c>
      <c r="G12" s="108" cm="1">
        <f t="array" ref="G12">IFERROR( _xlfn.XLOOKUP($D12&amp;$E12, Tables!$F:$F&amp;Tables!$G:$G, Tables!$I:$I)
  + IF($C$4&gt;=55, 1000, 0),0)</f>
        <v>0</v>
      </c>
      <c r="H12" s="80">
        <f>IFERROR(IF(OR($B12="",$C12=""),0,SUM($C12-$B12)+1),"")</f>
        <v>0</v>
      </c>
      <c r="I12" s="109">
        <f>IF($D12="Select One",
   0,
   IFERROR(
     IF(
       IF($A12="Coverage Period 2",EOMONTH($B12,0)+1,EOMONTH($B12,0)) &gt; EOMONTH($C12,0),
       0,
       DATEDIF(IF($A12="Coverage Period 2",EOMONTH($B12,0)+1,EOMONTH($B12,0)),EOMONTH($C12,0),"m")+1
     ),
     ""
   )
)</f>
        <v>0</v>
      </c>
      <c r="J12" s="108">
        <f>SUM($F12/12)*$I12</f>
        <v>0</v>
      </c>
      <c r="K12" s="108">
        <f>SUM($L12-$J12)</f>
        <v>0</v>
      </c>
      <c r="L12" s="108">
        <f>SUM($G12/12)*$I12</f>
        <v>0</v>
      </c>
    </row>
    <row r="13" spans="1:17" ht="15" thickBot="1" x14ac:dyDescent="0.4">
      <c r="G13" s="111"/>
      <c r="H13" s="112"/>
      <c r="I13" s="113" t="s">
        <v>51</v>
      </c>
      <c r="J13" s="111">
        <f>SUM(J9:J12)</f>
        <v>0</v>
      </c>
      <c r="K13" s="114" t="str">
        <f>K9</f>
        <v/>
      </c>
      <c r="L13" s="111">
        <f>SUM(J13:K13)</f>
        <v>0</v>
      </c>
      <c r="N13" s="82">
        <f>N9*3</f>
        <v>0</v>
      </c>
      <c r="O13" s="82">
        <f>SUM(O9:O12)</f>
        <v>0</v>
      </c>
    </row>
    <row r="14" spans="1:17" ht="15" thickTop="1" x14ac:dyDescent="0.35">
      <c r="G14" s="115" t="s">
        <v>114</v>
      </c>
      <c r="H14" s="116">
        <f>SUM(H9:H11)</f>
        <v>365</v>
      </c>
      <c r="I14" s="117">
        <f ca="1">SUM(I9:I14)</f>
        <v>12</v>
      </c>
      <c r="J14" s="118"/>
    </row>
    <row r="15" spans="1:17" x14ac:dyDescent="0.35">
      <c r="F15" s="119"/>
      <c r="J15" s="109"/>
      <c r="L15" s="120" t="s">
        <v>113</v>
      </c>
    </row>
    <row r="16" spans="1:17" x14ac:dyDescent="0.35">
      <c r="F16" s="119"/>
      <c r="J16" s="98" t="s">
        <v>135</v>
      </c>
      <c r="K16" s="121" t="s">
        <v>134</v>
      </c>
      <c r="L16" s="95">
        <f>IF(H5 &gt; K13, K13, H5)</f>
        <v>0</v>
      </c>
    </row>
    <row r="17" spans="1:12" x14ac:dyDescent="0.35">
      <c r="G17" s="121"/>
      <c r="H17" s="122"/>
      <c r="I17" s="123" t="s">
        <v>137</v>
      </c>
      <c r="J17" s="126" t="str">
        <f>$K$13</f>
        <v/>
      </c>
      <c r="K17" s="141" t="str">
        <f>IFERROR(IF($B$5="Salary",SUM($K$13/24),SUM($K$13/26)),"")</f>
        <v/>
      </c>
      <c r="L17" s="124"/>
    </row>
    <row r="18" spans="1:12" x14ac:dyDescent="0.35">
      <c r="I18" s="125" t="s">
        <v>138</v>
      </c>
      <c r="J18" s="126">
        <f>$H$5</f>
        <v>0</v>
      </c>
      <c r="K18" s="126">
        <f>$H$6</f>
        <v>0</v>
      </c>
      <c r="L18" s="108"/>
    </row>
    <row r="19" spans="1:12" ht="15" thickBot="1" x14ac:dyDescent="0.4">
      <c r="G19" s="127"/>
      <c r="H19" s="128"/>
      <c r="I19" s="142" t="s">
        <v>136</v>
      </c>
      <c r="J19" s="129">
        <f>IFERROR(SUM(MAX(J17 - J18, 0)),0)</f>
        <v>0</v>
      </c>
      <c r="K19" s="129">
        <f>IFERROR(SUM(MAX(K17 - K18, 0)),0)</f>
        <v>0</v>
      </c>
      <c r="L19" s="124"/>
    </row>
    <row r="20" spans="1:12" ht="15" thickTop="1" x14ac:dyDescent="0.35">
      <c r="A20" s="130" t="s">
        <v>125</v>
      </c>
    </row>
    <row r="21" spans="1:12" x14ac:dyDescent="0.35">
      <c r="A21" s="146" t="s">
        <v>127</v>
      </c>
      <c r="B21" s="146"/>
      <c r="C21" s="146"/>
      <c r="D21" s="146"/>
      <c r="E21" s="146"/>
      <c r="F21" s="146"/>
      <c r="G21" s="146"/>
      <c r="H21" s="146"/>
      <c r="I21" s="146"/>
      <c r="J21" s="146"/>
      <c r="K21" s="146"/>
      <c r="L21" s="146"/>
    </row>
    <row r="22" spans="1:12" x14ac:dyDescent="0.35">
      <c r="A22" s="146"/>
      <c r="B22" s="146"/>
      <c r="C22" s="146"/>
      <c r="D22" s="146"/>
      <c r="E22" s="146"/>
      <c r="F22" s="146"/>
      <c r="G22" s="146"/>
      <c r="H22" s="146"/>
      <c r="I22" s="146"/>
      <c r="J22" s="146"/>
      <c r="K22" s="146"/>
      <c r="L22" s="146"/>
    </row>
  </sheetData>
  <sheetProtection algorithmName="SHA-512" hashValue="WqssHN8zEOHV4wHrpLT+c2WrqIHIfzDXkLRlOqkPsHhfdw3uien3IMlsRpUQGmtOGhnrR6rWn54UxzkeztrOfw==" saltValue="hRpo7mTgNrBaWDOkANeVdQ==" spinCount="100000" sheet="1" objects="1" scenarios="1" selectLockedCells="1"/>
  <mergeCells count="4">
    <mergeCell ref="N6:O6"/>
    <mergeCell ref="E4:G4"/>
    <mergeCell ref="A21:L22"/>
    <mergeCell ref="E1:I1"/>
  </mergeCells>
  <conditionalFormatting sqref="A10:A12">
    <cfRule type="cellIs" dxfId="8" priority="6" operator="equal">
      <formula>"Select if making mid-year change"</formula>
    </cfRule>
  </conditionalFormatting>
  <conditionalFormatting sqref="B5">
    <cfRule type="cellIs" dxfId="7" priority="13" operator="equal">
      <formula>"Select One"</formula>
    </cfRule>
  </conditionalFormatting>
  <conditionalFormatting sqref="D4 D8:D20 D23:D1048576">
    <cfRule type="cellIs" dxfId="6" priority="18" operator="equal">
      <formula>"Select One"</formula>
    </cfRule>
  </conditionalFormatting>
  <conditionalFormatting sqref="E9:E12">
    <cfRule type="cellIs" dxfId="5" priority="7" operator="equal">
      <formula>"Select One"</formula>
    </cfRule>
  </conditionalFormatting>
  <conditionalFormatting sqref="H5">
    <cfRule type="expression" dxfId="0" priority="14">
      <formula>$H5="Yes"</formula>
    </cfRule>
    <cfRule type="cellIs" dxfId="1" priority="1" operator="greaterThan">
      <formula>0</formula>
    </cfRule>
  </conditionalFormatting>
  <conditionalFormatting sqref="J4">
    <cfRule type="cellIs" dxfId="4" priority="4" operator="greaterThan">
      <formula>0</formula>
    </cfRule>
    <cfRule type="expression" dxfId="3" priority="15">
      <formula>$H4="Yes"</formula>
    </cfRule>
  </conditionalFormatting>
  <conditionalFormatting sqref="I5">
    <cfRule type="containsText" dxfId="2" priority="2" operator="containsText" text="Greater">
      <formula>NOT(ISERROR(SEARCH("Greater",I5)))</formula>
    </cfRule>
  </conditionalFormatting>
  <dataValidations count="6">
    <dataValidation type="list" allowBlank="1" showInputMessage="1" showErrorMessage="1" sqref="B5" xr:uid="{463BB835-783A-46AC-8B8F-47F7801919AE}">
      <formula1>"Select One,Hourly,Salary"</formula1>
    </dataValidation>
    <dataValidation type="list" allowBlank="1" showInputMessage="1" showErrorMessage="1" sqref="H4" xr:uid="{938C49EB-DE76-40CA-A4F3-906617D921D4}">
      <formula1>"Select One,Yes,No"</formula1>
    </dataValidation>
    <dataValidation type="list" allowBlank="1" showInputMessage="1" showErrorMessage="1" sqref="A9" xr:uid="{D95CF79F-6030-4845-ABF7-E0E2C70B7D49}">
      <formula1>"Coverage Period 1"</formula1>
    </dataValidation>
    <dataValidation type="list" allowBlank="1" showInputMessage="1" showErrorMessage="1" sqref="A10" xr:uid="{410FA4E8-DF17-4737-93C6-6C25FCFD6E64}">
      <formula1>"Select if making mid-year change,Coverage Period 2"</formula1>
    </dataValidation>
    <dataValidation type="list" allowBlank="1" showInputMessage="1" showErrorMessage="1" sqref="A11" xr:uid="{A84BB967-41A0-485F-B103-37BFD4429783}">
      <formula1>"Select if making mid-year change,Coverage Period 3"</formula1>
    </dataValidation>
    <dataValidation type="list" allowBlank="1" showInputMessage="1" showErrorMessage="1" sqref="A12" xr:uid="{DE466408-8669-4C7A-82E3-F6EA252AECE3}">
      <formula1>"Select if making mid-year change,Coverage Period 4"</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578FBA65-DC02-492A-80F9-C913C6080BCC}">
          <x14:formula1>
            <xm:f>Tables!$G$47:$G$56</xm:f>
          </x14:formula1>
          <xm:sqref>E9:E12</xm:sqref>
        </x14:dataValidation>
        <x14:dataValidation type="list" allowBlank="1" showInputMessage="1" showErrorMessage="1" xr:uid="{AFCD6BC0-C341-4221-A01C-1A84C4E4E8C6}">
          <x14:formula1>
            <xm:f>Tables!$A$20:$A$22</xm:f>
          </x14:formula1>
          <xm:sqref>D9:D17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DF98B-E41F-4C18-9A9C-22BD9813C23E}">
  <dimension ref="A1:Q34"/>
  <sheetViews>
    <sheetView showGridLines="0" workbookViewId="0">
      <selection activeCell="K30" sqref="K30"/>
    </sheetView>
  </sheetViews>
  <sheetFormatPr defaultRowHeight="14.5" x14ac:dyDescent="0.35"/>
  <sheetData>
    <row r="1" spans="1:17" ht="28.5" x14ac:dyDescent="0.65">
      <c r="A1" s="70" t="s">
        <v>109</v>
      </c>
      <c r="B1" s="71"/>
      <c r="C1" s="71"/>
      <c r="D1" s="71"/>
      <c r="E1" s="71"/>
      <c r="F1" s="71"/>
      <c r="G1" s="71"/>
      <c r="H1" s="71"/>
      <c r="I1" s="71"/>
      <c r="J1" s="71"/>
      <c r="K1" s="71"/>
      <c r="L1" s="71"/>
      <c r="M1" s="71"/>
      <c r="N1" s="71"/>
      <c r="O1" s="71"/>
      <c r="P1" s="71"/>
      <c r="Q1" s="71"/>
    </row>
    <row r="2" spans="1:17" x14ac:dyDescent="0.35">
      <c r="A2" s="62" t="s">
        <v>92</v>
      </c>
    </row>
    <row r="4" spans="1:17" ht="17.5" x14ac:dyDescent="0.35">
      <c r="A4" s="61" t="s">
        <v>107</v>
      </c>
    </row>
    <row r="5" spans="1:17" x14ac:dyDescent="0.35">
      <c r="A5" s="65" t="s">
        <v>108</v>
      </c>
    </row>
    <row r="6" spans="1:17" ht="14.5" customHeight="1" x14ac:dyDescent="0.35">
      <c r="A6" s="69" t="s">
        <v>95</v>
      </c>
      <c r="L6" s="63"/>
    </row>
    <row r="8" spans="1:17" ht="17.5" x14ac:dyDescent="0.35">
      <c r="A8" s="61" t="s">
        <v>102</v>
      </c>
      <c r="B8" s="66"/>
      <c r="C8" s="66"/>
      <c r="D8" s="66"/>
      <c r="E8" s="66"/>
      <c r="F8" s="66"/>
      <c r="G8" s="66"/>
      <c r="H8" s="66"/>
      <c r="I8" s="66"/>
      <c r="J8" s="66"/>
      <c r="K8" s="66"/>
    </row>
    <row r="9" spans="1:17" x14ac:dyDescent="0.35">
      <c r="A9" s="65" t="s">
        <v>103</v>
      </c>
    </row>
    <row r="10" spans="1:17" x14ac:dyDescent="0.35">
      <c r="A10" s="65" t="s">
        <v>104</v>
      </c>
    </row>
    <row r="11" spans="1:17" x14ac:dyDescent="0.35">
      <c r="A11" s="66"/>
      <c r="B11" s="66"/>
      <c r="C11" s="66"/>
      <c r="D11" s="66"/>
      <c r="E11" s="66"/>
      <c r="F11" s="66"/>
      <c r="G11" s="66"/>
      <c r="H11" s="66"/>
      <c r="I11" s="66"/>
      <c r="J11" s="66"/>
      <c r="K11" s="66"/>
    </row>
    <row r="12" spans="1:17" ht="17.5" x14ac:dyDescent="0.35">
      <c r="A12" s="61" t="s">
        <v>100</v>
      </c>
    </row>
    <row r="13" spans="1:17" x14ac:dyDescent="0.35">
      <c r="A13" s="65" t="s">
        <v>96</v>
      </c>
    </row>
    <row r="14" spans="1:17" x14ac:dyDescent="0.35">
      <c r="A14" s="65" t="s">
        <v>110</v>
      </c>
    </row>
    <row r="15" spans="1:17" ht="14" customHeight="1" x14ac:dyDescent="0.35">
      <c r="A15" s="65" t="s">
        <v>97</v>
      </c>
    </row>
    <row r="16" spans="1:17" ht="14" customHeight="1" x14ac:dyDescent="0.35">
      <c r="B16" s="64" t="s">
        <v>99</v>
      </c>
    </row>
    <row r="17" spans="1:12" x14ac:dyDescent="0.35">
      <c r="B17" s="64" t="s">
        <v>98</v>
      </c>
    </row>
    <row r="18" spans="1:12" x14ac:dyDescent="0.35">
      <c r="B18" s="64" t="s">
        <v>111</v>
      </c>
    </row>
    <row r="19" spans="1:12" x14ac:dyDescent="0.35">
      <c r="B19" s="64"/>
    </row>
    <row r="20" spans="1:12" ht="17.5" x14ac:dyDescent="0.35">
      <c r="A20" s="61" t="s">
        <v>101</v>
      </c>
    </row>
    <row r="21" spans="1:12" x14ac:dyDescent="0.35">
      <c r="A21" s="65" t="s">
        <v>105</v>
      </c>
      <c r="B21" s="63"/>
      <c r="C21" s="63"/>
      <c r="D21" s="63"/>
      <c r="E21" s="63"/>
      <c r="F21" s="63"/>
      <c r="G21" s="63"/>
      <c r="H21" s="63"/>
      <c r="I21" s="63"/>
      <c r="J21" s="63"/>
      <c r="K21" s="63"/>
    </row>
    <row r="22" spans="1:12" x14ac:dyDescent="0.35">
      <c r="A22" s="68" t="s">
        <v>106</v>
      </c>
      <c r="B22" s="63"/>
      <c r="C22" s="63"/>
      <c r="D22" s="63"/>
      <c r="E22" s="63"/>
      <c r="F22" s="63"/>
      <c r="G22" s="63"/>
      <c r="H22" s="63"/>
      <c r="I22" s="63"/>
      <c r="J22" s="63"/>
      <c r="K22" s="63"/>
    </row>
    <row r="23" spans="1:12" x14ac:dyDescent="0.35">
      <c r="A23" s="67"/>
      <c r="B23" s="67"/>
      <c r="C23" s="67"/>
      <c r="D23" s="67"/>
      <c r="E23" s="67"/>
      <c r="F23" s="67"/>
      <c r="G23" s="67"/>
      <c r="H23" s="67"/>
      <c r="I23" s="67"/>
      <c r="J23" s="67"/>
      <c r="K23" s="67"/>
    </row>
    <row r="24" spans="1:12" ht="17.5" x14ac:dyDescent="0.35">
      <c r="A24" s="61" t="s">
        <v>123</v>
      </c>
    </row>
    <row r="25" spans="1:12" x14ac:dyDescent="0.35">
      <c r="A25" s="65" t="s">
        <v>93</v>
      </c>
    </row>
    <row r="26" spans="1:12" x14ac:dyDescent="0.35">
      <c r="A26" s="65" t="s">
        <v>94</v>
      </c>
    </row>
    <row r="27" spans="1:12" x14ac:dyDescent="0.35">
      <c r="L27" s="63"/>
    </row>
    <row r="28" spans="1:12" ht="17.5" x14ac:dyDescent="0.35">
      <c r="A28" s="74" t="s">
        <v>122</v>
      </c>
      <c r="B28" s="72"/>
      <c r="C28" s="72"/>
      <c r="D28" s="72"/>
      <c r="E28" s="72"/>
    </row>
    <row r="34" spans="1:1" x14ac:dyDescent="0.35">
      <c r="A34" s="72" t="s">
        <v>124</v>
      </c>
    </row>
  </sheetData>
  <hyperlinks>
    <hyperlink ref="A2" r:id="rId1" xr:uid="{A0BF9F8E-4FF3-480B-9BCF-00EC49E895B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6"/>
  <sheetViews>
    <sheetView zoomScaleNormal="100" workbookViewId="0">
      <selection activeCell="F1" sqref="F1:Z1048576"/>
    </sheetView>
  </sheetViews>
  <sheetFormatPr defaultColWidth="19.36328125" defaultRowHeight="14.5" x14ac:dyDescent="0.35"/>
  <cols>
    <col min="1" max="5" width="19.36328125" style="14" customWidth="1"/>
    <col min="6" max="6" width="17.36328125" style="14" bestFit="1" customWidth="1"/>
    <col min="7" max="7" width="32.6328125" style="14" bestFit="1" customWidth="1"/>
    <col min="8" max="14" width="19.36328125" style="14" customWidth="1"/>
    <col min="15" max="15" width="8.36328125" style="14" customWidth="1"/>
    <col min="16" max="16" width="8.08984375" style="14" customWidth="1"/>
    <col min="17" max="17" width="11.08984375" style="14" customWidth="1"/>
    <col min="18" max="18" width="8.36328125" style="14" customWidth="1"/>
    <col min="19" max="19" width="8.08984375" style="14" customWidth="1"/>
    <col min="20" max="20" width="11.08984375" style="14" customWidth="1"/>
    <col min="21" max="21" width="8.36328125" style="14" customWidth="1"/>
    <col min="22" max="22" width="8.08984375" style="14" customWidth="1"/>
    <col min="23" max="23" width="11.08984375" style="14" customWidth="1"/>
    <col min="24" max="24" width="8.36328125" style="14" customWidth="1"/>
    <col min="25" max="25" width="8.08984375" style="14" customWidth="1"/>
    <col min="26" max="26" width="11.08984375" style="14" customWidth="1"/>
    <col min="27" max="27" width="19.36328125" style="14" customWidth="1"/>
    <col min="28" max="16384" width="19.36328125" style="14"/>
  </cols>
  <sheetData>
    <row r="1" spans="1:26" ht="27" customHeight="1" thickBot="1" x14ac:dyDescent="0.35">
      <c r="A1" s="1" t="s">
        <v>0</v>
      </c>
      <c r="B1" s="2" t="s">
        <v>1</v>
      </c>
      <c r="C1" s="2" t="s">
        <v>131</v>
      </c>
      <c r="F1" s="3" t="s">
        <v>2</v>
      </c>
      <c r="G1" s="3" t="s">
        <v>3</v>
      </c>
      <c r="H1" s="3" t="s">
        <v>4</v>
      </c>
      <c r="I1" s="3" t="s">
        <v>5</v>
      </c>
      <c r="J1" s="3" t="s">
        <v>6</v>
      </c>
      <c r="K1" s="4" t="s">
        <v>7</v>
      </c>
      <c r="L1" s="4" t="s">
        <v>8</v>
      </c>
      <c r="M1" s="4" t="s">
        <v>9</v>
      </c>
      <c r="N1" s="4" t="s">
        <v>10</v>
      </c>
      <c r="O1" s="5" t="s">
        <v>11</v>
      </c>
      <c r="P1" s="5" t="s">
        <v>12</v>
      </c>
      <c r="Q1" s="5" t="s">
        <v>13</v>
      </c>
      <c r="R1" s="5" t="s">
        <v>14</v>
      </c>
      <c r="S1" s="5" t="s">
        <v>15</v>
      </c>
      <c r="T1" s="5" t="s">
        <v>16</v>
      </c>
      <c r="U1" s="5" t="s">
        <v>17</v>
      </c>
      <c r="V1" s="5" t="s">
        <v>18</v>
      </c>
      <c r="W1" s="5" t="s">
        <v>19</v>
      </c>
      <c r="X1" s="5" t="s">
        <v>20</v>
      </c>
      <c r="Y1" s="5" t="s">
        <v>21</v>
      </c>
      <c r="Z1" s="5" t="s">
        <v>22</v>
      </c>
    </row>
    <row r="2" spans="1:26" x14ac:dyDescent="0.35">
      <c r="A2" s="15" t="s">
        <v>23</v>
      </c>
      <c r="B2" s="16">
        <v>4400</v>
      </c>
      <c r="C2" s="16">
        <v>4400</v>
      </c>
      <c r="F2" s="6" t="s">
        <v>24</v>
      </c>
      <c r="G2" s="7" t="s">
        <v>23</v>
      </c>
      <c r="H2" s="8">
        <v>300</v>
      </c>
      <c r="I2" s="8">
        <v>4400</v>
      </c>
      <c r="J2" s="8">
        <v>1000</v>
      </c>
      <c r="K2" s="17">
        <v>47</v>
      </c>
      <c r="L2" s="8">
        <v>0</v>
      </c>
      <c r="M2" s="17">
        <v>730.94</v>
      </c>
      <c r="N2" s="8">
        <v>0</v>
      </c>
      <c r="O2" s="9" t="s">
        <v>11</v>
      </c>
      <c r="P2" s="9">
        <v>90</v>
      </c>
      <c r="Q2" s="8">
        <f>Table1[[#This Row],[ER HSA Match]]/Table1[[#This Row],[Days in Q1]]</f>
        <v>3.3333333333333335</v>
      </c>
      <c r="R2" s="9" t="s">
        <v>14</v>
      </c>
      <c r="S2" s="9">
        <v>91</v>
      </c>
      <c r="T2" s="8">
        <f>Table1[[#This Row],[ER HSA Match]]/Table1[[#This Row],[Days in Q2]]</f>
        <v>3.2967032967032965</v>
      </c>
      <c r="U2" s="9" t="s">
        <v>17</v>
      </c>
      <c r="V2" s="9">
        <v>92</v>
      </c>
      <c r="W2" s="8">
        <f>Table1[[#This Row],[ER HSA Match]]/Table1[[#This Row],[Days in Q3]]</f>
        <v>3.2608695652173911</v>
      </c>
      <c r="X2" s="9" t="s">
        <v>20</v>
      </c>
      <c r="Y2" s="9">
        <v>92</v>
      </c>
      <c r="Z2" s="8">
        <f>Table1[[#This Row],[ER HSA Match]]/Table1[[#This Row],[Days in Q4]]</f>
        <v>3.2608695652173911</v>
      </c>
    </row>
    <row r="3" spans="1:26" x14ac:dyDescent="0.35">
      <c r="A3" s="15" t="s">
        <v>25</v>
      </c>
      <c r="B3" s="16">
        <v>8750</v>
      </c>
      <c r="C3" s="16">
        <v>8750</v>
      </c>
      <c r="F3" s="6" t="s">
        <v>24</v>
      </c>
      <c r="G3" s="7" t="s">
        <v>26</v>
      </c>
      <c r="H3" s="8">
        <v>600</v>
      </c>
      <c r="I3" s="8">
        <v>8750</v>
      </c>
      <c r="J3" s="8">
        <v>1000</v>
      </c>
      <c r="K3" s="8">
        <v>282</v>
      </c>
      <c r="L3" s="8">
        <v>0</v>
      </c>
      <c r="M3" s="8">
        <v>1431.88</v>
      </c>
      <c r="N3" s="8">
        <v>0</v>
      </c>
      <c r="O3" s="9" t="s">
        <v>11</v>
      </c>
      <c r="P3" s="9">
        <v>90</v>
      </c>
      <c r="Q3" s="8">
        <f>Table1[[#This Row],[ER HSA Match]]/Table1[[#This Row],[Days in Q1]]</f>
        <v>6.666666666666667</v>
      </c>
      <c r="R3" s="9" t="s">
        <v>14</v>
      </c>
      <c r="S3" s="9">
        <v>91</v>
      </c>
      <c r="T3" s="8">
        <f>Table1[[#This Row],[ER HSA Match]]/Table1[[#This Row],[Days in Q2]]</f>
        <v>6.5934065934065931</v>
      </c>
      <c r="U3" s="9" t="s">
        <v>17</v>
      </c>
      <c r="V3" s="9">
        <v>92</v>
      </c>
      <c r="W3" s="8">
        <f>Table1[[#This Row],[ER HSA Match]]/Table1[[#This Row],[Days in Q3]]</f>
        <v>6.5217391304347823</v>
      </c>
      <c r="X3" s="9" t="s">
        <v>20</v>
      </c>
      <c r="Y3" s="9">
        <v>92</v>
      </c>
      <c r="Z3" s="8">
        <f>Table1[[#This Row],[ER HSA Match]]/Table1[[#This Row],[Days in Q4]]</f>
        <v>6.5217391304347823</v>
      </c>
    </row>
    <row r="4" spans="1:26" x14ac:dyDescent="0.35">
      <c r="A4" s="15" t="s">
        <v>27</v>
      </c>
      <c r="B4" s="16">
        <v>1000</v>
      </c>
      <c r="C4" s="16">
        <v>1000</v>
      </c>
      <c r="F4" s="6" t="s">
        <v>24</v>
      </c>
      <c r="G4" s="7" t="s">
        <v>28</v>
      </c>
      <c r="H4" s="8">
        <v>600</v>
      </c>
      <c r="I4" s="8">
        <v>8750</v>
      </c>
      <c r="J4" s="8">
        <v>1000</v>
      </c>
      <c r="K4" s="8">
        <v>47</v>
      </c>
      <c r="L4" s="8">
        <f>K3-K2</f>
        <v>235</v>
      </c>
      <c r="M4" s="8">
        <v>730.94</v>
      </c>
      <c r="N4" s="8">
        <f>M3-M2</f>
        <v>700.94</v>
      </c>
      <c r="O4" s="9" t="s">
        <v>11</v>
      </c>
      <c r="P4" s="9">
        <v>90</v>
      </c>
      <c r="Q4" s="8">
        <f>Table1[[#This Row],[ER HSA Match]]/Table1[[#This Row],[Days in Q1]]</f>
        <v>6.666666666666667</v>
      </c>
      <c r="R4" s="9" t="s">
        <v>14</v>
      </c>
      <c r="S4" s="9">
        <v>91</v>
      </c>
      <c r="T4" s="8">
        <f>Table1[[#This Row],[ER HSA Match]]/Table1[[#This Row],[Days in Q2]]</f>
        <v>6.5934065934065931</v>
      </c>
      <c r="U4" s="9" t="s">
        <v>17</v>
      </c>
      <c r="V4" s="9">
        <v>92</v>
      </c>
      <c r="W4" s="8">
        <f>Table1[[#This Row],[ER HSA Match]]/Table1[[#This Row],[Days in Q3]]</f>
        <v>6.5217391304347823</v>
      </c>
      <c r="X4" s="9" t="s">
        <v>20</v>
      </c>
      <c r="Y4" s="9">
        <v>92</v>
      </c>
      <c r="Z4" s="8">
        <f>Table1[[#This Row],[ER HSA Match]]/Table1[[#This Row],[Days in Q4]]</f>
        <v>6.5217391304347823</v>
      </c>
    </row>
    <row r="5" spans="1:26" x14ac:dyDescent="0.35">
      <c r="A5" s="148" t="s">
        <v>29</v>
      </c>
      <c r="B5" s="149"/>
      <c r="C5" s="149"/>
      <c r="F5" s="6" t="s">
        <v>24</v>
      </c>
      <c r="G5" s="7" t="s">
        <v>30</v>
      </c>
      <c r="H5" s="8">
        <v>600</v>
      </c>
      <c r="I5" s="8">
        <v>8750</v>
      </c>
      <c r="J5" s="8">
        <v>1000</v>
      </c>
      <c r="K5" s="8">
        <v>255</v>
      </c>
      <c r="L5" s="8">
        <v>0</v>
      </c>
      <c r="M5" s="8">
        <v>1142.7</v>
      </c>
      <c r="N5" s="8">
        <v>0</v>
      </c>
      <c r="O5" s="9" t="s">
        <v>11</v>
      </c>
      <c r="P5" s="9">
        <v>90</v>
      </c>
      <c r="Q5" s="8">
        <f>Table1[[#This Row],[ER HSA Match]]/Table1[[#This Row],[Days in Q1]]</f>
        <v>6.666666666666667</v>
      </c>
      <c r="R5" s="9" t="s">
        <v>14</v>
      </c>
      <c r="S5" s="9">
        <v>91</v>
      </c>
      <c r="T5" s="8">
        <f>Table1[[#This Row],[ER HSA Match]]/Table1[[#This Row],[Days in Q2]]</f>
        <v>6.5934065934065931</v>
      </c>
      <c r="U5" s="9" t="s">
        <v>17</v>
      </c>
      <c r="V5" s="9">
        <v>92</v>
      </c>
      <c r="W5" s="8">
        <f>Table1[[#This Row],[ER HSA Match]]/Table1[[#This Row],[Days in Q3]]</f>
        <v>6.5217391304347823</v>
      </c>
      <c r="X5" s="9" t="s">
        <v>20</v>
      </c>
      <c r="Y5" s="9">
        <v>92</v>
      </c>
      <c r="Z5" s="8">
        <f>Table1[[#This Row],[ER HSA Match]]/Table1[[#This Row],[Days in Q4]]</f>
        <v>6.5217391304347823</v>
      </c>
    </row>
    <row r="6" spans="1:26" x14ac:dyDescent="0.35">
      <c r="A6" s="149"/>
      <c r="B6" s="149"/>
      <c r="C6" s="149"/>
      <c r="F6" s="6" t="s">
        <v>24</v>
      </c>
      <c r="G6" s="7" t="s">
        <v>31</v>
      </c>
      <c r="H6" s="8">
        <v>600</v>
      </c>
      <c r="I6" s="8">
        <v>8750</v>
      </c>
      <c r="J6" s="8">
        <v>1000</v>
      </c>
      <c r="K6" s="8">
        <v>47</v>
      </c>
      <c r="L6" s="8">
        <f>K5-K4</f>
        <v>208</v>
      </c>
      <c r="M6" s="8">
        <v>730.94</v>
      </c>
      <c r="N6" s="8">
        <f>M5-M4</f>
        <v>411.76</v>
      </c>
      <c r="O6" s="9" t="s">
        <v>11</v>
      </c>
      <c r="P6" s="9">
        <v>90</v>
      </c>
      <c r="Q6" s="8">
        <f>Table1[[#This Row],[ER HSA Match]]/Table1[[#This Row],[Days in Q1]]</f>
        <v>6.666666666666667</v>
      </c>
      <c r="R6" s="9" t="s">
        <v>14</v>
      </c>
      <c r="S6" s="9">
        <v>91</v>
      </c>
      <c r="T6" s="8">
        <f>Table1[[#This Row],[ER HSA Match]]/Table1[[#This Row],[Days in Q2]]</f>
        <v>6.5934065934065931</v>
      </c>
      <c r="U6" s="9" t="s">
        <v>17</v>
      </c>
      <c r="V6" s="9">
        <v>92</v>
      </c>
      <c r="W6" s="8">
        <f>Table1[[#This Row],[ER HSA Match]]/Table1[[#This Row],[Days in Q3]]</f>
        <v>6.5217391304347823</v>
      </c>
      <c r="X6" s="9" t="s">
        <v>20</v>
      </c>
      <c r="Y6" s="9">
        <v>92</v>
      </c>
      <c r="Z6" s="8">
        <f>Table1[[#This Row],[ER HSA Match]]/Table1[[#This Row],[Days in Q4]]</f>
        <v>6.5217391304347823</v>
      </c>
    </row>
    <row r="7" spans="1:26" x14ac:dyDescent="0.35">
      <c r="A7" s="149"/>
      <c r="B7" s="149"/>
      <c r="C7" s="149"/>
      <c r="F7" s="6" t="s">
        <v>24</v>
      </c>
      <c r="G7" s="7" t="s">
        <v>32</v>
      </c>
      <c r="H7" s="8">
        <v>600</v>
      </c>
      <c r="I7" s="8">
        <v>8750</v>
      </c>
      <c r="J7" s="8">
        <v>1000</v>
      </c>
      <c r="K7" s="8">
        <v>411</v>
      </c>
      <c r="L7" s="8">
        <v>0</v>
      </c>
      <c r="M7" s="8">
        <v>2014.53</v>
      </c>
      <c r="N7" s="8">
        <v>0</v>
      </c>
      <c r="O7" s="9" t="s">
        <v>11</v>
      </c>
      <c r="P7" s="9">
        <v>90</v>
      </c>
      <c r="Q7" s="8">
        <f>Table1[[#This Row],[ER HSA Match]]/Table1[[#This Row],[Days in Q1]]</f>
        <v>6.666666666666667</v>
      </c>
      <c r="R7" s="9" t="s">
        <v>14</v>
      </c>
      <c r="S7" s="9">
        <v>91</v>
      </c>
      <c r="T7" s="8">
        <f>Table1[[#This Row],[ER HSA Match]]/Table1[[#This Row],[Days in Q2]]</f>
        <v>6.5934065934065931</v>
      </c>
      <c r="U7" s="9" t="s">
        <v>17</v>
      </c>
      <c r="V7" s="9">
        <v>92</v>
      </c>
      <c r="W7" s="8">
        <f>Table1[[#This Row],[ER HSA Match]]/Table1[[#This Row],[Days in Q3]]</f>
        <v>6.5217391304347823</v>
      </c>
      <c r="X7" s="9" t="s">
        <v>20</v>
      </c>
      <c r="Y7" s="9">
        <v>92</v>
      </c>
      <c r="Z7" s="8">
        <f>Table1[[#This Row],[ER HSA Match]]/Table1[[#This Row],[Days in Q4]]</f>
        <v>6.5217391304347823</v>
      </c>
    </row>
    <row r="8" spans="1:26" x14ac:dyDescent="0.35">
      <c r="A8" s="148" t="s">
        <v>33</v>
      </c>
      <c r="B8" s="149"/>
      <c r="C8" s="149"/>
      <c r="F8" s="6" t="s">
        <v>24</v>
      </c>
      <c r="G8" s="7" t="s">
        <v>34</v>
      </c>
      <c r="H8" s="8">
        <v>600</v>
      </c>
      <c r="I8" s="8">
        <v>8750</v>
      </c>
      <c r="J8" s="8">
        <v>1000</v>
      </c>
      <c r="K8" s="8">
        <v>255</v>
      </c>
      <c r="L8" s="8">
        <f>K7-K5</f>
        <v>156</v>
      </c>
      <c r="M8" s="8">
        <v>1142.7</v>
      </c>
      <c r="N8" s="8">
        <f>M7-M5</f>
        <v>871.82999999999993</v>
      </c>
      <c r="O8" s="9" t="s">
        <v>11</v>
      </c>
      <c r="P8" s="9">
        <v>90</v>
      </c>
      <c r="Q8" s="8">
        <f>Table1[[#This Row],[ER HSA Match]]/Table1[[#This Row],[Days in Q1]]</f>
        <v>6.666666666666667</v>
      </c>
      <c r="R8" s="9" t="s">
        <v>14</v>
      </c>
      <c r="S8" s="9">
        <v>91</v>
      </c>
      <c r="T8" s="8">
        <f>Table1[[#This Row],[ER HSA Match]]/Table1[[#This Row],[Days in Q2]]</f>
        <v>6.5934065934065931</v>
      </c>
      <c r="U8" s="9" t="s">
        <v>17</v>
      </c>
      <c r="V8" s="9">
        <v>92</v>
      </c>
      <c r="W8" s="8">
        <f>Table1[[#This Row],[ER HSA Match]]/Table1[[#This Row],[Days in Q3]]</f>
        <v>6.5217391304347823</v>
      </c>
      <c r="X8" s="9" t="s">
        <v>20</v>
      </c>
      <c r="Y8" s="9">
        <v>92</v>
      </c>
      <c r="Z8" s="8">
        <f>Table1[[#This Row],[ER HSA Match]]/Table1[[#This Row],[Days in Q4]]</f>
        <v>6.5217391304347823</v>
      </c>
    </row>
    <row r="9" spans="1:26" x14ac:dyDescent="0.35">
      <c r="A9" s="149"/>
      <c r="B9" s="149"/>
      <c r="C9" s="149"/>
      <c r="F9" s="6" t="s">
        <v>24</v>
      </c>
      <c r="G9" s="7" t="s">
        <v>35</v>
      </c>
      <c r="H9" s="8">
        <v>600</v>
      </c>
      <c r="I9" s="8">
        <v>8750</v>
      </c>
      <c r="J9" s="8">
        <v>1000</v>
      </c>
      <c r="K9" s="8">
        <v>47</v>
      </c>
      <c r="L9" s="8">
        <f>K7-K2</f>
        <v>364</v>
      </c>
      <c r="M9" s="8">
        <v>730.94</v>
      </c>
      <c r="N9" s="8">
        <f>M7-M2</f>
        <v>1283.5899999999999</v>
      </c>
      <c r="O9" s="9" t="s">
        <v>11</v>
      </c>
      <c r="P9" s="9">
        <v>90</v>
      </c>
      <c r="Q9" s="8">
        <f>Table1[[#This Row],[ER HSA Match]]/Table1[[#This Row],[Days in Q1]]</f>
        <v>6.666666666666667</v>
      </c>
      <c r="R9" s="9" t="s">
        <v>14</v>
      </c>
      <c r="S9" s="9">
        <v>91</v>
      </c>
      <c r="T9" s="8">
        <f>Table1[[#This Row],[ER HSA Match]]/Table1[[#This Row],[Days in Q2]]</f>
        <v>6.5934065934065931</v>
      </c>
      <c r="U9" s="9" t="s">
        <v>17</v>
      </c>
      <c r="V9" s="9">
        <v>92</v>
      </c>
      <c r="W9" s="8">
        <f>Table1[[#This Row],[ER HSA Match]]/Table1[[#This Row],[Days in Q3]]</f>
        <v>6.5217391304347823</v>
      </c>
      <c r="X9" s="9" t="s">
        <v>20</v>
      </c>
      <c r="Y9" s="9">
        <v>92</v>
      </c>
      <c r="Z9" s="8">
        <f>Table1[[#This Row],[ER HSA Match]]/Table1[[#This Row],[Days in Q4]]</f>
        <v>6.5217391304347823</v>
      </c>
    </row>
    <row r="10" spans="1:26" ht="15" customHeight="1" thickBot="1" x14ac:dyDescent="0.4">
      <c r="A10" s="149"/>
      <c r="B10" s="149"/>
      <c r="C10" s="149"/>
      <c r="F10" s="10" t="s">
        <v>24</v>
      </c>
      <c r="G10" s="11" t="s">
        <v>36</v>
      </c>
      <c r="H10" s="12">
        <v>600</v>
      </c>
      <c r="I10" s="12">
        <v>8750</v>
      </c>
      <c r="J10" s="12">
        <v>1000</v>
      </c>
      <c r="K10" s="12">
        <v>255</v>
      </c>
      <c r="L10" s="12">
        <f>K7-K5</f>
        <v>156</v>
      </c>
      <c r="M10" s="12">
        <v>1142.7</v>
      </c>
      <c r="N10" s="12">
        <f>M7-M5</f>
        <v>871.82999999999993</v>
      </c>
      <c r="O10" s="13" t="s">
        <v>11</v>
      </c>
      <c r="P10" s="13">
        <v>90</v>
      </c>
      <c r="Q10" s="12">
        <f>Table1[[#This Row],[ER HSA Match]]/Table1[[#This Row],[Days in Q1]]</f>
        <v>6.666666666666667</v>
      </c>
      <c r="R10" s="13" t="s">
        <v>14</v>
      </c>
      <c r="S10" s="13">
        <v>91</v>
      </c>
      <c r="T10" s="12">
        <f>Table1[[#This Row],[ER HSA Match]]/Table1[[#This Row],[Days in Q2]]</f>
        <v>6.5934065934065931</v>
      </c>
      <c r="U10" s="13" t="s">
        <v>17</v>
      </c>
      <c r="V10" s="13">
        <v>92</v>
      </c>
      <c r="W10" s="12">
        <f>Table1[[#This Row],[ER HSA Match]]/Table1[[#This Row],[Days in Q3]]</f>
        <v>6.5217391304347823</v>
      </c>
      <c r="X10" s="13" t="s">
        <v>20</v>
      </c>
      <c r="Y10" s="13">
        <v>92</v>
      </c>
      <c r="Z10" s="12">
        <f>Table1[[#This Row],[ER HSA Match]]/Table1[[#This Row],[Days in Q4]]</f>
        <v>6.5217391304347823</v>
      </c>
    </row>
    <row r="11" spans="1:26" ht="15" customHeight="1" thickTop="1" x14ac:dyDescent="0.35">
      <c r="F11" s="6" t="s">
        <v>37</v>
      </c>
      <c r="G11" s="7" t="s">
        <v>23</v>
      </c>
      <c r="H11" s="8">
        <v>0</v>
      </c>
      <c r="I11" s="8">
        <v>0</v>
      </c>
      <c r="J11" s="8">
        <v>0</v>
      </c>
      <c r="K11" s="8">
        <v>182</v>
      </c>
      <c r="L11" s="8">
        <v>0</v>
      </c>
      <c r="M11" s="8">
        <v>919.38</v>
      </c>
      <c r="N11" s="8">
        <v>0</v>
      </c>
      <c r="O11" s="9" t="s">
        <v>11</v>
      </c>
      <c r="P11" s="9">
        <v>90</v>
      </c>
      <c r="Q11" s="8">
        <f>Table1[[#This Row],[ER HSA Match]]/Table1[[#This Row],[Days in Q1]]</f>
        <v>0</v>
      </c>
      <c r="R11" s="9" t="s">
        <v>14</v>
      </c>
      <c r="S11" s="9">
        <v>91</v>
      </c>
      <c r="T11" s="8">
        <f>Table1[[#This Row],[ER HSA Match]]/Table1[[#This Row],[Days in Q2]]</f>
        <v>0</v>
      </c>
      <c r="U11" s="9" t="s">
        <v>17</v>
      </c>
      <c r="V11" s="9">
        <v>92</v>
      </c>
      <c r="W11" s="8">
        <f>Table1[[#This Row],[ER HSA Match]]/Table1[[#This Row],[Days in Q3]]</f>
        <v>0</v>
      </c>
      <c r="X11" s="9" t="s">
        <v>20</v>
      </c>
      <c r="Y11" s="9">
        <v>92</v>
      </c>
      <c r="Z11" s="8">
        <f>Table1[[#This Row],[ER HSA Match]]/Table1[[#This Row],[Days in Q4]]</f>
        <v>0</v>
      </c>
    </row>
    <row r="12" spans="1:26" x14ac:dyDescent="0.35">
      <c r="A12" s="14" t="s">
        <v>38</v>
      </c>
      <c r="F12" s="6" t="s">
        <v>37</v>
      </c>
      <c r="G12" s="7" t="s">
        <v>26</v>
      </c>
      <c r="H12" s="8">
        <v>0</v>
      </c>
      <c r="I12" s="8">
        <v>0</v>
      </c>
      <c r="J12" s="8">
        <v>0</v>
      </c>
      <c r="K12" s="8">
        <v>730</v>
      </c>
      <c r="L12" s="8">
        <v>0</v>
      </c>
      <c r="M12" s="8">
        <v>1692.88</v>
      </c>
      <c r="N12" s="8">
        <v>0</v>
      </c>
      <c r="O12" s="9" t="s">
        <v>11</v>
      </c>
      <c r="P12" s="9">
        <v>90</v>
      </c>
      <c r="Q12" s="8">
        <f>Table1[[#This Row],[ER HSA Match]]/Table1[[#This Row],[Days in Q1]]</f>
        <v>0</v>
      </c>
      <c r="R12" s="9" t="s">
        <v>14</v>
      </c>
      <c r="S12" s="9">
        <v>91</v>
      </c>
      <c r="T12" s="8">
        <f>Table1[[#This Row],[ER HSA Match]]/Table1[[#This Row],[Days in Q2]]</f>
        <v>0</v>
      </c>
      <c r="U12" s="9" t="s">
        <v>17</v>
      </c>
      <c r="V12" s="9">
        <v>92</v>
      </c>
      <c r="W12" s="8">
        <f>Table1[[#This Row],[ER HSA Match]]/Table1[[#This Row],[Days in Q3]]</f>
        <v>0</v>
      </c>
      <c r="X12" s="9" t="s">
        <v>20</v>
      </c>
      <c r="Y12" s="9">
        <v>92</v>
      </c>
      <c r="Z12" s="8">
        <f>Table1[[#This Row],[ER HSA Match]]/Table1[[#This Row],[Days in Q4]]</f>
        <v>0</v>
      </c>
    </row>
    <row r="13" spans="1:26" x14ac:dyDescent="0.35">
      <c r="C13" s="18" t="s">
        <v>39</v>
      </c>
      <c r="D13" s="18" t="s">
        <v>40</v>
      </c>
      <c r="F13" s="6" t="s">
        <v>37</v>
      </c>
      <c r="G13" s="7" t="s">
        <v>28</v>
      </c>
      <c r="H13" s="8">
        <v>0</v>
      </c>
      <c r="I13" s="8">
        <v>0</v>
      </c>
      <c r="J13" s="8">
        <v>0</v>
      </c>
      <c r="K13" s="8">
        <v>182</v>
      </c>
      <c r="L13" s="8">
        <f>K12-K11</f>
        <v>548</v>
      </c>
      <c r="M13" s="8">
        <v>919.38</v>
      </c>
      <c r="N13" s="8">
        <f>M12-M11</f>
        <v>773.50000000000011</v>
      </c>
      <c r="O13" s="9" t="s">
        <v>11</v>
      </c>
      <c r="P13" s="9">
        <v>90</v>
      </c>
      <c r="Q13" s="8">
        <f>Table1[[#This Row],[ER HSA Match]]/Table1[[#This Row],[Days in Q1]]</f>
        <v>0</v>
      </c>
      <c r="R13" s="9" t="s">
        <v>14</v>
      </c>
      <c r="S13" s="9">
        <v>91</v>
      </c>
      <c r="T13" s="8">
        <f>Table1[[#This Row],[ER HSA Match]]/Table1[[#This Row],[Days in Q2]]</f>
        <v>0</v>
      </c>
      <c r="U13" s="9" t="s">
        <v>17</v>
      </c>
      <c r="V13" s="9">
        <v>92</v>
      </c>
      <c r="W13" s="8">
        <f>Table1[[#This Row],[ER HSA Match]]/Table1[[#This Row],[Days in Q3]]</f>
        <v>0</v>
      </c>
      <c r="X13" s="9" t="s">
        <v>20</v>
      </c>
      <c r="Y13" s="9">
        <v>92</v>
      </c>
      <c r="Z13" s="8">
        <f>Table1[[#This Row],[ER HSA Match]]/Table1[[#This Row],[Days in Q4]]</f>
        <v>0</v>
      </c>
    </row>
    <row r="14" spans="1:26" x14ac:dyDescent="0.35">
      <c r="A14" s="14" t="s">
        <v>41</v>
      </c>
      <c r="B14" s="19">
        <v>4400</v>
      </c>
      <c r="C14" s="20">
        <v>45658</v>
      </c>
      <c r="D14" s="20">
        <v>45831</v>
      </c>
      <c r="F14" s="6" t="s">
        <v>37</v>
      </c>
      <c r="G14" s="7" t="s">
        <v>30</v>
      </c>
      <c r="H14" s="8">
        <v>0</v>
      </c>
      <c r="I14" s="8">
        <v>0</v>
      </c>
      <c r="J14" s="8">
        <v>0</v>
      </c>
      <c r="K14" s="8">
        <v>614</v>
      </c>
      <c r="L14" s="8">
        <v>0</v>
      </c>
      <c r="M14" s="8">
        <v>1368.42</v>
      </c>
      <c r="N14" s="8">
        <v>0</v>
      </c>
      <c r="O14" s="9" t="s">
        <v>11</v>
      </c>
      <c r="P14" s="9">
        <v>90</v>
      </c>
      <c r="Q14" s="8">
        <f>Table1[[#This Row],[ER HSA Match]]/Table1[[#This Row],[Days in Q1]]</f>
        <v>0</v>
      </c>
      <c r="R14" s="9" t="s">
        <v>14</v>
      </c>
      <c r="S14" s="9">
        <v>91</v>
      </c>
      <c r="T14" s="8">
        <f>Table1[[#This Row],[ER HSA Match]]/Table1[[#This Row],[Days in Q2]]</f>
        <v>0</v>
      </c>
      <c r="U14" s="9" t="s">
        <v>17</v>
      </c>
      <c r="V14" s="9">
        <v>92</v>
      </c>
      <c r="W14" s="8">
        <f>Table1[[#This Row],[ER HSA Match]]/Table1[[#This Row],[Days in Q3]]</f>
        <v>0</v>
      </c>
      <c r="X14" s="9" t="s">
        <v>20</v>
      </c>
      <c r="Y14" s="9">
        <v>92</v>
      </c>
      <c r="Z14" s="8">
        <f>Table1[[#This Row],[ER HSA Match]]/Table1[[#This Row],[Days in Q4]]</f>
        <v>0</v>
      </c>
    </row>
    <row r="15" spans="1:26" x14ac:dyDescent="0.35">
      <c r="A15" s="14" t="s">
        <v>42</v>
      </c>
      <c r="B15" s="19">
        <v>8750</v>
      </c>
      <c r="C15" s="20">
        <v>45832</v>
      </c>
      <c r="D15" s="20"/>
      <c r="F15" s="6" t="s">
        <v>37</v>
      </c>
      <c r="G15" s="7" t="s">
        <v>31</v>
      </c>
      <c r="H15" s="8">
        <v>0</v>
      </c>
      <c r="I15" s="8">
        <v>0</v>
      </c>
      <c r="J15" s="8">
        <v>0</v>
      </c>
      <c r="K15" s="8">
        <v>182</v>
      </c>
      <c r="L15" s="8">
        <f>K14-K13</f>
        <v>432</v>
      </c>
      <c r="M15" s="8">
        <v>919.38</v>
      </c>
      <c r="N15" s="8">
        <f>M14-M13</f>
        <v>449.04000000000008</v>
      </c>
      <c r="O15" s="9" t="s">
        <v>11</v>
      </c>
      <c r="P15" s="9">
        <v>90</v>
      </c>
      <c r="Q15" s="8">
        <f>Table1[[#This Row],[ER HSA Match]]/Table1[[#This Row],[Days in Q1]]</f>
        <v>0</v>
      </c>
      <c r="R15" s="9" t="s">
        <v>14</v>
      </c>
      <c r="S15" s="9">
        <v>91</v>
      </c>
      <c r="T15" s="8">
        <f>Table1[[#This Row],[ER HSA Match]]/Table1[[#This Row],[Days in Q2]]</f>
        <v>0</v>
      </c>
      <c r="U15" s="9" t="s">
        <v>17</v>
      </c>
      <c r="V15" s="9">
        <v>92</v>
      </c>
      <c r="W15" s="8">
        <f>Table1[[#This Row],[ER HSA Match]]/Table1[[#This Row],[Days in Q3]]</f>
        <v>0</v>
      </c>
      <c r="X15" s="9" t="s">
        <v>20</v>
      </c>
      <c r="Y15" s="9">
        <v>92</v>
      </c>
      <c r="Z15" s="8">
        <f>Table1[[#This Row],[ER HSA Match]]/Table1[[#This Row],[Days in Q4]]</f>
        <v>0</v>
      </c>
    </row>
    <row r="16" spans="1:26" x14ac:dyDescent="0.35">
      <c r="B16" s="19"/>
      <c r="C16" s="20"/>
      <c r="D16" s="20"/>
      <c r="F16" s="6" t="s">
        <v>37</v>
      </c>
      <c r="G16" s="7" t="s">
        <v>32</v>
      </c>
      <c r="H16" s="8">
        <v>0</v>
      </c>
      <c r="I16" s="8">
        <v>0</v>
      </c>
      <c r="J16" s="8">
        <v>0</v>
      </c>
      <c r="K16" s="8">
        <v>1050</v>
      </c>
      <c r="L16" s="8">
        <v>0</v>
      </c>
      <c r="M16" s="8">
        <v>2364.25</v>
      </c>
      <c r="N16" s="8">
        <v>0</v>
      </c>
      <c r="O16" s="9" t="s">
        <v>11</v>
      </c>
      <c r="P16" s="9">
        <v>90</v>
      </c>
      <c r="Q16" s="8">
        <f>Table1[[#This Row],[ER HSA Match]]/Table1[[#This Row],[Days in Q1]]</f>
        <v>0</v>
      </c>
      <c r="R16" s="9" t="s">
        <v>14</v>
      </c>
      <c r="S16" s="9">
        <v>91</v>
      </c>
      <c r="T16" s="8">
        <f>Table1[[#This Row],[ER HSA Match]]/Table1[[#This Row],[Days in Q2]]</f>
        <v>0</v>
      </c>
      <c r="U16" s="9" t="s">
        <v>17</v>
      </c>
      <c r="V16" s="9">
        <v>92</v>
      </c>
      <c r="W16" s="8">
        <f>Table1[[#This Row],[ER HSA Match]]/Table1[[#This Row],[Days in Q3]]</f>
        <v>0</v>
      </c>
      <c r="X16" s="9" t="s">
        <v>20</v>
      </c>
      <c r="Y16" s="9">
        <v>92</v>
      </c>
      <c r="Z16" s="8">
        <f>Table1[[#This Row],[ER HSA Match]]/Table1[[#This Row],[Days in Q4]]</f>
        <v>0</v>
      </c>
    </row>
    <row r="17" spans="1:26" x14ac:dyDescent="0.35">
      <c r="B17" s="19"/>
      <c r="C17" s="20"/>
      <c r="D17" s="20"/>
      <c r="F17" s="6" t="s">
        <v>37</v>
      </c>
      <c r="G17" s="7" t="s">
        <v>34</v>
      </c>
      <c r="H17" s="8">
        <v>0</v>
      </c>
      <c r="I17" s="8">
        <v>0</v>
      </c>
      <c r="J17" s="8">
        <v>0</v>
      </c>
      <c r="K17" s="8">
        <v>614</v>
      </c>
      <c r="L17" s="8">
        <f>K16-K14</f>
        <v>436</v>
      </c>
      <c r="M17" s="8">
        <v>1368.42</v>
      </c>
      <c r="N17" s="8">
        <f>M16-M14</f>
        <v>995.82999999999993</v>
      </c>
      <c r="O17" s="9" t="s">
        <v>11</v>
      </c>
      <c r="P17" s="9">
        <v>90</v>
      </c>
      <c r="Q17" s="8">
        <f>Table1[[#This Row],[ER HSA Match]]/Table1[[#This Row],[Days in Q1]]</f>
        <v>0</v>
      </c>
      <c r="R17" s="9" t="s">
        <v>14</v>
      </c>
      <c r="S17" s="9">
        <v>91</v>
      </c>
      <c r="T17" s="8">
        <f>Table1[[#This Row],[ER HSA Match]]/Table1[[#This Row],[Days in Q2]]</f>
        <v>0</v>
      </c>
      <c r="U17" s="9" t="s">
        <v>17</v>
      </c>
      <c r="V17" s="9">
        <v>92</v>
      </c>
      <c r="W17" s="8">
        <f>Table1[[#This Row],[ER HSA Match]]/Table1[[#This Row],[Days in Q3]]</f>
        <v>0</v>
      </c>
      <c r="X17" s="9" t="s">
        <v>20</v>
      </c>
      <c r="Y17" s="9">
        <v>92</v>
      </c>
      <c r="Z17" s="8">
        <f>Table1[[#This Row],[ER HSA Match]]/Table1[[#This Row],[Days in Q4]]</f>
        <v>0</v>
      </c>
    </row>
    <row r="18" spans="1:26" x14ac:dyDescent="0.35">
      <c r="C18" s="20"/>
      <c r="D18" s="20"/>
      <c r="F18" s="6" t="s">
        <v>37</v>
      </c>
      <c r="G18" s="7" t="s">
        <v>35</v>
      </c>
      <c r="H18" s="8">
        <v>0</v>
      </c>
      <c r="I18" s="8">
        <v>0</v>
      </c>
      <c r="J18" s="8">
        <v>0</v>
      </c>
      <c r="K18" s="8">
        <v>182</v>
      </c>
      <c r="L18" s="8">
        <f>K16-K11</f>
        <v>868</v>
      </c>
      <c r="M18" s="8">
        <v>919.38</v>
      </c>
      <c r="N18" s="8">
        <f>M16-M11</f>
        <v>1444.87</v>
      </c>
      <c r="O18" s="9" t="s">
        <v>11</v>
      </c>
      <c r="P18" s="9">
        <v>90</v>
      </c>
      <c r="Q18" s="8">
        <f>Table1[[#This Row],[ER HSA Match]]/Table1[[#This Row],[Days in Q1]]</f>
        <v>0</v>
      </c>
      <c r="R18" s="9" t="s">
        <v>14</v>
      </c>
      <c r="S18" s="9">
        <v>91</v>
      </c>
      <c r="T18" s="8">
        <f>Table1[[#This Row],[ER HSA Match]]/Table1[[#This Row],[Days in Q2]]</f>
        <v>0</v>
      </c>
      <c r="U18" s="9" t="s">
        <v>17</v>
      </c>
      <c r="V18" s="9">
        <v>92</v>
      </c>
      <c r="W18" s="8">
        <f>Table1[[#This Row],[ER HSA Match]]/Table1[[#This Row],[Days in Q3]]</f>
        <v>0</v>
      </c>
      <c r="X18" s="9" t="s">
        <v>20</v>
      </c>
      <c r="Y18" s="9">
        <v>92</v>
      </c>
      <c r="Z18" s="8">
        <f>Table1[[#This Row],[ER HSA Match]]/Table1[[#This Row],[Days in Q4]]</f>
        <v>0</v>
      </c>
    </row>
    <row r="19" spans="1:26" ht="15" customHeight="1" thickBot="1" x14ac:dyDescent="0.4">
      <c r="C19" s="20"/>
      <c r="D19" s="20"/>
      <c r="F19" s="10" t="s">
        <v>37</v>
      </c>
      <c r="G19" s="11" t="s">
        <v>36</v>
      </c>
      <c r="H19" s="12">
        <v>0</v>
      </c>
      <c r="I19" s="12">
        <v>0</v>
      </c>
      <c r="J19" s="12">
        <v>0</v>
      </c>
      <c r="K19" s="12">
        <v>614</v>
      </c>
      <c r="L19" s="12">
        <f>K16-K14</f>
        <v>436</v>
      </c>
      <c r="M19" s="12">
        <v>1368.42</v>
      </c>
      <c r="N19" s="12">
        <f>M16-M14</f>
        <v>995.82999999999993</v>
      </c>
      <c r="O19" s="13" t="s">
        <v>11</v>
      </c>
      <c r="P19" s="13">
        <v>90</v>
      </c>
      <c r="Q19" s="12">
        <f>Table1[[#This Row],[ER HSA Match]]/Table1[[#This Row],[Days in Q1]]</f>
        <v>0</v>
      </c>
      <c r="R19" s="13" t="s">
        <v>14</v>
      </c>
      <c r="S19" s="13">
        <v>91</v>
      </c>
      <c r="T19" s="12">
        <f>Table1[[#This Row],[ER HSA Match]]/Table1[[#This Row],[Days in Q2]]</f>
        <v>0</v>
      </c>
      <c r="U19" s="13" t="s">
        <v>17</v>
      </c>
      <c r="V19" s="13">
        <v>92</v>
      </c>
      <c r="W19" s="12">
        <f>Table1[[#This Row],[ER HSA Match]]/Table1[[#This Row],[Days in Q3]]</f>
        <v>0</v>
      </c>
      <c r="X19" s="13" t="s">
        <v>20</v>
      </c>
      <c r="Y19" s="13">
        <v>92</v>
      </c>
      <c r="Z19" s="12">
        <f>Table1[[#This Row],[ER HSA Match]]/Table1[[#This Row],[Days in Q4]]</f>
        <v>0</v>
      </c>
    </row>
    <row r="20" spans="1:26" ht="15" customHeight="1" thickTop="1" thickBot="1" x14ac:dyDescent="0.35">
      <c r="A20" s="23" t="s">
        <v>55</v>
      </c>
      <c r="C20" s="20"/>
      <c r="D20" s="20"/>
      <c r="F20" s="6" t="s">
        <v>43</v>
      </c>
      <c r="G20" s="7" t="s">
        <v>23</v>
      </c>
      <c r="H20" s="8">
        <v>250</v>
      </c>
      <c r="I20" s="8">
        <v>4400</v>
      </c>
      <c r="J20" s="8">
        <v>1000</v>
      </c>
      <c r="K20" s="17">
        <v>45</v>
      </c>
      <c r="L20" s="8">
        <v>0</v>
      </c>
      <c r="M20" s="17">
        <v>624.28</v>
      </c>
      <c r="N20" s="8">
        <v>0</v>
      </c>
      <c r="O20" s="9" t="s">
        <v>11</v>
      </c>
      <c r="P20" s="9">
        <v>90</v>
      </c>
      <c r="Q20" s="8">
        <f>Table1[[#This Row],[ER HSA Match]]/Table1[[#This Row],[Days in Q1]]</f>
        <v>2.7777777777777777</v>
      </c>
      <c r="R20" s="9" t="s">
        <v>14</v>
      </c>
      <c r="S20" s="9">
        <v>91</v>
      </c>
      <c r="T20" s="8">
        <f>Table1[[#This Row],[ER HSA Match]]/Table1[[#This Row],[Days in Q2]]</f>
        <v>2.7472527472527473</v>
      </c>
      <c r="U20" s="9" t="s">
        <v>17</v>
      </c>
      <c r="V20" s="9">
        <v>92</v>
      </c>
      <c r="W20" s="8">
        <f>Table1[[#This Row],[ER HSA Match]]/Table1[[#This Row],[Days in Q3]]</f>
        <v>2.7173913043478262</v>
      </c>
      <c r="X20" s="9" t="s">
        <v>20</v>
      </c>
      <c r="Y20" s="9">
        <v>92</v>
      </c>
      <c r="Z20" s="8">
        <f>Table1[[#This Row],[ER HSA Match]]/Table1[[#This Row],[Days in Q4]]</f>
        <v>2.7173913043478262</v>
      </c>
    </row>
    <row r="21" spans="1:26" x14ac:dyDescent="0.35">
      <c r="A21" s="24" t="s">
        <v>24</v>
      </c>
      <c r="C21" s="20"/>
      <c r="D21" s="20"/>
      <c r="F21" s="6" t="s">
        <v>43</v>
      </c>
      <c r="G21" s="7" t="s">
        <v>26</v>
      </c>
      <c r="H21" s="8">
        <v>500</v>
      </c>
      <c r="I21" s="8">
        <v>8750</v>
      </c>
      <c r="J21" s="8">
        <v>1000</v>
      </c>
      <c r="K21" s="17">
        <v>272</v>
      </c>
      <c r="L21" s="8">
        <v>0</v>
      </c>
      <c r="M21" s="17">
        <v>1200.4100000000001</v>
      </c>
      <c r="N21" s="8">
        <v>0</v>
      </c>
      <c r="O21" s="9" t="s">
        <v>11</v>
      </c>
      <c r="P21" s="9">
        <v>90</v>
      </c>
      <c r="Q21" s="8">
        <f>Table1[[#This Row],[ER HSA Match]]/Table1[[#This Row],[Days in Q1]]</f>
        <v>5.5555555555555554</v>
      </c>
      <c r="R21" s="9" t="s">
        <v>14</v>
      </c>
      <c r="S21" s="9">
        <v>91</v>
      </c>
      <c r="T21" s="8">
        <f>Table1[[#This Row],[ER HSA Match]]/Table1[[#This Row],[Days in Q2]]</f>
        <v>5.4945054945054945</v>
      </c>
      <c r="U21" s="9" t="s">
        <v>17</v>
      </c>
      <c r="V21" s="9">
        <v>92</v>
      </c>
      <c r="W21" s="8">
        <f>Table1[[#This Row],[ER HSA Match]]/Table1[[#This Row],[Days in Q3]]</f>
        <v>5.4347826086956523</v>
      </c>
      <c r="X21" s="9" t="s">
        <v>20</v>
      </c>
      <c r="Y21" s="9">
        <v>92</v>
      </c>
      <c r="Z21" s="8">
        <f>Table1[[#This Row],[ER HSA Match]]/Table1[[#This Row],[Days in Q4]]</f>
        <v>5.4347826086956523</v>
      </c>
    </row>
    <row r="22" spans="1:26" x14ac:dyDescent="0.35">
      <c r="A22" s="25" t="s">
        <v>43</v>
      </c>
      <c r="C22" s="20"/>
      <c r="D22" s="20"/>
      <c r="F22" s="6" t="s">
        <v>43</v>
      </c>
      <c r="G22" s="6" t="s">
        <v>28</v>
      </c>
      <c r="H22" s="8">
        <v>500</v>
      </c>
      <c r="I22" s="8">
        <v>8750</v>
      </c>
      <c r="J22" s="8">
        <v>1000</v>
      </c>
      <c r="K22" s="17">
        <v>45</v>
      </c>
      <c r="L22" s="8">
        <f>K21-K20</f>
        <v>227</v>
      </c>
      <c r="M22" s="17">
        <v>624.28</v>
      </c>
      <c r="N22" s="8">
        <f>M21-M20</f>
        <v>576.13000000000011</v>
      </c>
      <c r="O22" s="9" t="s">
        <v>11</v>
      </c>
      <c r="P22" s="9">
        <v>90</v>
      </c>
      <c r="Q22" s="8">
        <f>Table1[[#This Row],[ER HSA Match]]/Table1[[#This Row],[Days in Q1]]</f>
        <v>5.5555555555555554</v>
      </c>
      <c r="R22" s="9" t="s">
        <v>14</v>
      </c>
      <c r="S22" s="9">
        <v>91</v>
      </c>
      <c r="T22" s="8">
        <f>Table1[[#This Row],[ER HSA Match]]/Table1[[#This Row],[Days in Q2]]</f>
        <v>5.4945054945054945</v>
      </c>
      <c r="U22" s="9" t="s">
        <v>17</v>
      </c>
      <c r="V22" s="9">
        <v>92</v>
      </c>
      <c r="W22" s="8">
        <f>Table1[[#This Row],[ER HSA Match]]/Table1[[#This Row],[Days in Q3]]</f>
        <v>5.4347826086956523</v>
      </c>
      <c r="X22" s="9" t="s">
        <v>20</v>
      </c>
      <c r="Y22" s="9">
        <v>92</v>
      </c>
      <c r="Z22" s="8">
        <f>Table1[[#This Row],[ER HSA Match]]/Table1[[#This Row],[Days in Q4]]</f>
        <v>5.4347826086956523</v>
      </c>
    </row>
    <row r="23" spans="1:26" x14ac:dyDescent="0.35">
      <c r="A23" s="24"/>
      <c r="C23" s="20"/>
      <c r="D23" s="20"/>
      <c r="F23" s="6" t="s">
        <v>43</v>
      </c>
      <c r="G23" s="7" t="s">
        <v>30</v>
      </c>
      <c r="H23" s="8">
        <v>500</v>
      </c>
      <c r="I23" s="8">
        <v>8750</v>
      </c>
      <c r="J23" s="8">
        <v>1000</v>
      </c>
      <c r="K23" s="21">
        <v>288</v>
      </c>
      <c r="L23" s="8">
        <v>0</v>
      </c>
      <c r="M23" s="17">
        <v>1050.55</v>
      </c>
      <c r="N23" s="8">
        <v>0</v>
      </c>
      <c r="O23" s="9" t="s">
        <v>11</v>
      </c>
      <c r="P23" s="9">
        <v>90</v>
      </c>
      <c r="Q23" s="8">
        <f>Table1[[#This Row],[ER HSA Match]]/Table1[[#This Row],[Days in Q1]]</f>
        <v>5.5555555555555554</v>
      </c>
      <c r="R23" s="9" t="s">
        <v>14</v>
      </c>
      <c r="S23" s="9">
        <v>91</v>
      </c>
      <c r="T23" s="8">
        <f>Table1[[#This Row],[ER HSA Match]]/Table1[[#This Row],[Days in Q2]]</f>
        <v>5.4945054945054945</v>
      </c>
      <c r="U23" s="9" t="s">
        <v>17</v>
      </c>
      <c r="V23" s="9">
        <v>92</v>
      </c>
      <c r="W23" s="8">
        <f>Table1[[#This Row],[ER HSA Match]]/Table1[[#This Row],[Days in Q3]]</f>
        <v>5.4347826086956523</v>
      </c>
      <c r="X23" s="9" t="s">
        <v>20</v>
      </c>
      <c r="Y23" s="9">
        <v>92</v>
      </c>
      <c r="Z23" s="8">
        <f>Table1[[#This Row],[ER HSA Match]]/Table1[[#This Row],[Days in Q4]]</f>
        <v>5.4347826086956523</v>
      </c>
    </row>
    <row r="24" spans="1:26" x14ac:dyDescent="0.35">
      <c r="A24" s="25"/>
      <c r="C24" s="20"/>
      <c r="D24" s="20"/>
      <c r="F24" s="6" t="s">
        <v>43</v>
      </c>
      <c r="G24" s="7" t="s">
        <v>31</v>
      </c>
      <c r="H24" s="8">
        <v>500</v>
      </c>
      <c r="I24" s="8">
        <v>8750</v>
      </c>
      <c r="J24" s="8">
        <v>1000</v>
      </c>
      <c r="K24" s="17">
        <v>45</v>
      </c>
      <c r="L24" s="8">
        <f>K23-K22</f>
        <v>243</v>
      </c>
      <c r="M24" s="17">
        <v>624.28</v>
      </c>
      <c r="N24" s="8">
        <f>M23-M22</f>
        <v>426.27</v>
      </c>
      <c r="O24" s="9" t="s">
        <v>11</v>
      </c>
      <c r="P24" s="9">
        <v>90</v>
      </c>
      <c r="Q24" s="8">
        <f>Table1[[#This Row],[ER HSA Match]]/Table1[[#This Row],[Days in Q1]]</f>
        <v>5.5555555555555554</v>
      </c>
      <c r="R24" s="9" t="s">
        <v>14</v>
      </c>
      <c r="S24" s="9">
        <v>91</v>
      </c>
      <c r="T24" s="8">
        <f>Table1[[#This Row],[ER HSA Match]]/Table1[[#This Row],[Days in Q2]]</f>
        <v>5.4945054945054945</v>
      </c>
      <c r="U24" s="9" t="s">
        <v>17</v>
      </c>
      <c r="V24" s="9">
        <v>92</v>
      </c>
      <c r="W24" s="8">
        <f>Table1[[#This Row],[ER HSA Match]]/Table1[[#This Row],[Days in Q3]]</f>
        <v>5.4347826086956523</v>
      </c>
      <c r="X24" s="9" t="s">
        <v>20</v>
      </c>
      <c r="Y24" s="9">
        <v>92</v>
      </c>
      <c r="Z24" s="8">
        <f>Table1[[#This Row],[ER HSA Match]]/Table1[[#This Row],[Days in Q4]]</f>
        <v>5.4347826086956523</v>
      </c>
    </row>
    <row r="25" spans="1:26" x14ac:dyDescent="0.35">
      <c r="F25" s="6" t="s">
        <v>43</v>
      </c>
      <c r="G25" s="7" t="s">
        <v>32</v>
      </c>
      <c r="H25" s="8">
        <v>500</v>
      </c>
      <c r="I25" s="8">
        <v>8750</v>
      </c>
      <c r="J25" s="8">
        <v>1000</v>
      </c>
      <c r="K25" s="17">
        <v>388</v>
      </c>
      <c r="L25" s="8">
        <v>0</v>
      </c>
      <c r="M25" s="17">
        <v>1619.83</v>
      </c>
      <c r="N25" s="8">
        <v>0</v>
      </c>
      <c r="O25" s="9" t="s">
        <v>11</v>
      </c>
      <c r="P25" s="9">
        <v>90</v>
      </c>
      <c r="Q25" s="8">
        <f>Table1[[#This Row],[ER HSA Match]]/Table1[[#This Row],[Days in Q1]]</f>
        <v>5.5555555555555554</v>
      </c>
      <c r="R25" s="9" t="s">
        <v>14</v>
      </c>
      <c r="S25" s="9">
        <v>91</v>
      </c>
      <c r="T25" s="8">
        <f>Table1[[#This Row],[ER HSA Match]]/Table1[[#This Row],[Days in Q2]]</f>
        <v>5.4945054945054945</v>
      </c>
      <c r="U25" s="9" t="s">
        <v>17</v>
      </c>
      <c r="V25" s="9">
        <v>92</v>
      </c>
      <c r="W25" s="8">
        <f>Table1[[#This Row],[ER HSA Match]]/Table1[[#This Row],[Days in Q3]]</f>
        <v>5.4347826086956523</v>
      </c>
      <c r="X25" s="9" t="s">
        <v>20</v>
      </c>
      <c r="Y25" s="9">
        <v>92</v>
      </c>
      <c r="Z25" s="8">
        <f>Table1[[#This Row],[ER HSA Match]]/Table1[[#This Row],[Days in Q4]]</f>
        <v>5.4347826086956523</v>
      </c>
    </row>
    <row r="26" spans="1:26" x14ac:dyDescent="0.35">
      <c r="F26" s="6" t="s">
        <v>43</v>
      </c>
      <c r="G26" s="7" t="s">
        <v>34</v>
      </c>
      <c r="H26" s="8">
        <v>500</v>
      </c>
      <c r="I26" s="8">
        <v>8750</v>
      </c>
      <c r="J26" s="8">
        <v>1000</v>
      </c>
      <c r="K26" s="17">
        <v>288</v>
      </c>
      <c r="L26" s="8">
        <f>K25-K23</f>
        <v>100</v>
      </c>
      <c r="M26" s="17">
        <v>1050.55</v>
      </c>
      <c r="N26" s="8">
        <f>M25-M23</f>
        <v>569.28</v>
      </c>
      <c r="O26" s="9" t="s">
        <v>11</v>
      </c>
      <c r="P26" s="9">
        <v>90</v>
      </c>
      <c r="Q26" s="8">
        <f>Table1[[#This Row],[ER HSA Match]]/Table1[[#This Row],[Days in Q1]]</f>
        <v>5.5555555555555554</v>
      </c>
      <c r="R26" s="9" t="s">
        <v>14</v>
      </c>
      <c r="S26" s="9">
        <v>91</v>
      </c>
      <c r="T26" s="8">
        <f>Table1[[#This Row],[ER HSA Match]]/Table1[[#This Row],[Days in Q2]]</f>
        <v>5.4945054945054945</v>
      </c>
      <c r="U26" s="9" t="s">
        <v>17</v>
      </c>
      <c r="V26" s="9">
        <v>92</v>
      </c>
      <c r="W26" s="8">
        <f>Table1[[#This Row],[ER HSA Match]]/Table1[[#This Row],[Days in Q3]]</f>
        <v>5.4347826086956523</v>
      </c>
      <c r="X26" s="9" t="s">
        <v>20</v>
      </c>
      <c r="Y26" s="9">
        <v>92</v>
      </c>
      <c r="Z26" s="8">
        <f>Table1[[#This Row],[ER HSA Match]]/Table1[[#This Row],[Days in Q4]]</f>
        <v>5.4347826086956523</v>
      </c>
    </row>
    <row r="27" spans="1:26" x14ac:dyDescent="0.35">
      <c r="F27" s="6" t="s">
        <v>43</v>
      </c>
      <c r="G27" s="7" t="s">
        <v>35</v>
      </c>
      <c r="H27" s="8">
        <v>500</v>
      </c>
      <c r="I27" s="8">
        <v>8750</v>
      </c>
      <c r="J27" s="8">
        <v>1000</v>
      </c>
      <c r="K27" s="17">
        <v>45</v>
      </c>
      <c r="L27" s="8">
        <f>K25-K20</f>
        <v>343</v>
      </c>
      <c r="M27" s="17">
        <v>624.28</v>
      </c>
      <c r="N27" s="8">
        <f>M25-M20</f>
        <v>995.55</v>
      </c>
      <c r="O27" s="9" t="s">
        <v>11</v>
      </c>
      <c r="P27" s="9">
        <v>90</v>
      </c>
      <c r="Q27" s="8">
        <f>Table1[[#This Row],[ER HSA Match]]/Table1[[#This Row],[Days in Q1]]</f>
        <v>5.5555555555555554</v>
      </c>
      <c r="R27" s="9" t="s">
        <v>14</v>
      </c>
      <c r="S27" s="9">
        <v>91</v>
      </c>
      <c r="T27" s="8">
        <f>Table1[[#This Row],[ER HSA Match]]/Table1[[#This Row],[Days in Q2]]</f>
        <v>5.4945054945054945</v>
      </c>
      <c r="U27" s="9" t="s">
        <v>17</v>
      </c>
      <c r="V27" s="9">
        <v>92</v>
      </c>
      <c r="W27" s="8">
        <f>Table1[[#This Row],[ER HSA Match]]/Table1[[#This Row],[Days in Q3]]</f>
        <v>5.4347826086956523</v>
      </c>
      <c r="X27" s="9" t="s">
        <v>20</v>
      </c>
      <c r="Y27" s="9">
        <v>92</v>
      </c>
      <c r="Z27" s="8">
        <f>Table1[[#This Row],[ER HSA Match]]/Table1[[#This Row],[Days in Q4]]</f>
        <v>5.4347826086956523</v>
      </c>
    </row>
    <row r="28" spans="1:26" ht="15" customHeight="1" thickBot="1" x14ac:dyDescent="0.4">
      <c r="F28" s="10" t="s">
        <v>43</v>
      </c>
      <c r="G28" s="11" t="s">
        <v>36</v>
      </c>
      <c r="H28" s="12">
        <v>500</v>
      </c>
      <c r="I28" s="12">
        <v>8750</v>
      </c>
      <c r="J28" s="12">
        <v>1000</v>
      </c>
      <c r="K28" s="22">
        <v>288</v>
      </c>
      <c r="L28" s="12">
        <f>K25-K23</f>
        <v>100</v>
      </c>
      <c r="M28" s="22">
        <v>1050.55</v>
      </c>
      <c r="N28" s="12">
        <f>M25-M23</f>
        <v>569.28</v>
      </c>
      <c r="O28" s="13" t="s">
        <v>11</v>
      </c>
      <c r="P28" s="13">
        <v>90</v>
      </c>
      <c r="Q28" s="12">
        <f>Table1[[#This Row],[ER HSA Match]]/Table1[[#This Row],[Days in Q1]]</f>
        <v>5.5555555555555554</v>
      </c>
      <c r="R28" s="13" t="s">
        <v>14</v>
      </c>
      <c r="S28" s="13">
        <v>91</v>
      </c>
      <c r="T28" s="12">
        <f>Table1[[#This Row],[ER HSA Match]]/Table1[[#This Row],[Days in Q2]]</f>
        <v>5.4945054945054945</v>
      </c>
      <c r="U28" s="13" t="s">
        <v>17</v>
      </c>
      <c r="V28" s="13">
        <v>92</v>
      </c>
      <c r="W28" s="12">
        <f>Table1[[#This Row],[ER HSA Match]]/Table1[[#This Row],[Days in Q3]]</f>
        <v>5.4347826086956523</v>
      </c>
      <c r="X28" s="13" t="s">
        <v>20</v>
      </c>
      <c r="Y28" s="13">
        <v>92</v>
      </c>
      <c r="Z28" s="12">
        <f>Table1[[#This Row],[ER HSA Match]]/Table1[[#This Row],[Days in Q4]]</f>
        <v>5.4347826086956523</v>
      </c>
    </row>
    <row r="29" spans="1:26" ht="15" customHeight="1" thickTop="1" x14ac:dyDescent="0.35">
      <c r="F29" s="6" t="s">
        <v>44</v>
      </c>
      <c r="G29" s="7" t="s">
        <v>23</v>
      </c>
      <c r="H29" s="8">
        <v>0</v>
      </c>
      <c r="I29" s="8">
        <v>0</v>
      </c>
      <c r="J29" s="8">
        <v>0</v>
      </c>
      <c r="K29" s="17">
        <v>149</v>
      </c>
      <c r="L29" s="8">
        <v>0</v>
      </c>
      <c r="M29" s="17">
        <v>654.59</v>
      </c>
      <c r="N29" s="8">
        <v>0</v>
      </c>
      <c r="O29" s="9" t="s">
        <v>11</v>
      </c>
      <c r="P29" s="9">
        <v>90</v>
      </c>
      <c r="Q29" s="8">
        <f>Table1[[#This Row],[ER HSA Match]]/Table1[[#This Row],[Days in Q1]]</f>
        <v>0</v>
      </c>
      <c r="R29" s="9" t="s">
        <v>14</v>
      </c>
      <c r="S29" s="9">
        <v>91</v>
      </c>
      <c r="T29" s="8">
        <f>Table1[[#This Row],[ER HSA Match]]/Table1[[#This Row],[Days in Q2]]</f>
        <v>0</v>
      </c>
      <c r="U29" s="9" t="s">
        <v>17</v>
      </c>
      <c r="V29" s="9">
        <v>92</v>
      </c>
      <c r="W29" s="8">
        <f>Table1[[#This Row],[ER HSA Match]]/Table1[[#This Row],[Days in Q3]]</f>
        <v>0</v>
      </c>
      <c r="X29" s="9" t="s">
        <v>20</v>
      </c>
      <c r="Y29" s="9">
        <v>92</v>
      </c>
      <c r="Z29" s="8">
        <f>Table1[[#This Row],[ER HSA Match]]/Table1[[#This Row],[Days in Q4]]</f>
        <v>0</v>
      </c>
    </row>
    <row r="30" spans="1:26" x14ac:dyDescent="0.35">
      <c r="F30" s="6" t="s">
        <v>44</v>
      </c>
      <c r="G30" s="7" t="s">
        <v>26</v>
      </c>
      <c r="H30" s="8">
        <v>0</v>
      </c>
      <c r="I30" s="8">
        <v>0</v>
      </c>
      <c r="J30" s="8">
        <v>0</v>
      </c>
      <c r="K30" s="17">
        <v>648</v>
      </c>
      <c r="L30" s="8">
        <v>0</v>
      </c>
      <c r="M30" s="17">
        <v>1119.8900000000001</v>
      </c>
      <c r="N30" s="8">
        <v>0</v>
      </c>
      <c r="O30" s="9" t="s">
        <v>11</v>
      </c>
      <c r="P30" s="9">
        <v>90</v>
      </c>
      <c r="Q30" s="8">
        <f>Table1[[#This Row],[ER HSA Match]]/Table1[[#This Row],[Days in Q1]]</f>
        <v>0</v>
      </c>
      <c r="R30" s="9" t="s">
        <v>14</v>
      </c>
      <c r="S30" s="9">
        <v>91</v>
      </c>
      <c r="T30" s="8">
        <f>Table1[[#This Row],[ER HSA Match]]/Table1[[#This Row],[Days in Q2]]</f>
        <v>0</v>
      </c>
      <c r="U30" s="9" t="s">
        <v>17</v>
      </c>
      <c r="V30" s="9">
        <v>92</v>
      </c>
      <c r="W30" s="8">
        <f>Table1[[#This Row],[ER HSA Match]]/Table1[[#This Row],[Days in Q3]]</f>
        <v>0</v>
      </c>
      <c r="X30" s="9" t="s">
        <v>20</v>
      </c>
      <c r="Y30" s="9">
        <v>92</v>
      </c>
      <c r="Z30" s="8">
        <f>Table1[[#This Row],[ER HSA Match]]/Table1[[#This Row],[Days in Q4]]</f>
        <v>0</v>
      </c>
    </row>
    <row r="31" spans="1:26" x14ac:dyDescent="0.35">
      <c r="F31" s="6" t="s">
        <v>44</v>
      </c>
      <c r="G31" s="6" t="s">
        <v>28</v>
      </c>
      <c r="H31" s="8">
        <v>0</v>
      </c>
      <c r="I31" s="8">
        <v>0</v>
      </c>
      <c r="J31" s="8">
        <v>0</v>
      </c>
      <c r="K31" s="17">
        <v>149</v>
      </c>
      <c r="L31" s="8">
        <f>K30-K29</f>
        <v>499</v>
      </c>
      <c r="M31" s="17">
        <v>654.59</v>
      </c>
      <c r="N31" s="8">
        <f>M30-M29</f>
        <v>465.30000000000007</v>
      </c>
      <c r="O31" s="9" t="s">
        <v>11</v>
      </c>
      <c r="P31" s="9">
        <v>90</v>
      </c>
      <c r="Q31" s="8">
        <f>Table1[[#This Row],[ER HSA Match]]/Table1[[#This Row],[Days in Q1]]</f>
        <v>0</v>
      </c>
      <c r="R31" s="9" t="s">
        <v>14</v>
      </c>
      <c r="S31" s="9">
        <v>91</v>
      </c>
      <c r="T31" s="8">
        <f>Table1[[#This Row],[ER HSA Match]]/Table1[[#This Row],[Days in Q2]]</f>
        <v>0</v>
      </c>
      <c r="U31" s="9" t="s">
        <v>17</v>
      </c>
      <c r="V31" s="9">
        <v>92</v>
      </c>
      <c r="W31" s="8">
        <f>Table1[[#This Row],[ER HSA Match]]/Table1[[#This Row],[Days in Q3]]</f>
        <v>0</v>
      </c>
      <c r="X31" s="9" t="s">
        <v>20</v>
      </c>
      <c r="Y31" s="9">
        <v>92</v>
      </c>
      <c r="Z31" s="8">
        <f>Table1[[#This Row],[ER HSA Match]]/Table1[[#This Row],[Days in Q4]]</f>
        <v>0</v>
      </c>
    </row>
    <row r="32" spans="1:26" x14ac:dyDescent="0.35">
      <c r="F32" s="6" t="s">
        <v>44</v>
      </c>
      <c r="G32" s="7" t="s">
        <v>30</v>
      </c>
      <c r="H32" s="8">
        <v>0</v>
      </c>
      <c r="I32" s="8">
        <v>0</v>
      </c>
      <c r="J32" s="8">
        <v>0</v>
      </c>
      <c r="K32" s="17">
        <v>547</v>
      </c>
      <c r="L32" s="8">
        <v>0</v>
      </c>
      <c r="M32" s="17">
        <v>1060.18</v>
      </c>
      <c r="N32" s="8">
        <v>0</v>
      </c>
      <c r="O32" s="9" t="s">
        <v>11</v>
      </c>
      <c r="P32" s="9">
        <v>90</v>
      </c>
      <c r="Q32" s="8">
        <f>Table1[[#This Row],[ER HSA Match]]/Table1[[#This Row],[Days in Q1]]</f>
        <v>0</v>
      </c>
      <c r="R32" s="9" t="s">
        <v>14</v>
      </c>
      <c r="S32" s="9">
        <v>91</v>
      </c>
      <c r="T32" s="8">
        <f>Table1[[#This Row],[ER HSA Match]]/Table1[[#This Row],[Days in Q2]]</f>
        <v>0</v>
      </c>
      <c r="U32" s="9" t="s">
        <v>17</v>
      </c>
      <c r="V32" s="9">
        <v>92</v>
      </c>
      <c r="W32" s="8">
        <f>Table1[[#This Row],[ER HSA Match]]/Table1[[#This Row],[Days in Q3]]</f>
        <v>0</v>
      </c>
      <c r="X32" s="9" t="s">
        <v>20</v>
      </c>
      <c r="Y32" s="9">
        <v>92</v>
      </c>
      <c r="Z32" s="8">
        <f>Table1[[#This Row],[ER HSA Match]]/Table1[[#This Row],[Days in Q4]]</f>
        <v>0</v>
      </c>
    </row>
    <row r="33" spans="6:26" x14ac:dyDescent="0.35">
      <c r="F33" s="6" t="s">
        <v>44</v>
      </c>
      <c r="G33" s="7" t="s">
        <v>31</v>
      </c>
      <c r="H33" s="8">
        <v>0</v>
      </c>
      <c r="I33" s="8">
        <v>0</v>
      </c>
      <c r="J33" s="8">
        <v>0</v>
      </c>
      <c r="K33" s="17">
        <v>149</v>
      </c>
      <c r="L33" s="8">
        <f>K32-K31</f>
        <v>398</v>
      </c>
      <c r="M33" s="17">
        <v>654.59</v>
      </c>
      <c r="N33" s="8">
        <f>M32-M31</f>
        <v>405.59000000000003</v>
      </c>
      <c r="O33" s="9" t="s">
        <v>11</v>
      </c>
      <c r="P33" s="9">
        <v>90</v>
      </c>
      <c r="Q33" s="8">
        <f>Table1[[#This Row],[ER HSA Match]]/Table1[[#This Row],[Days in Q1]]</f>
        <v>0</v>
      </c>
      <c r="R33" s="9" t="s">
        <v>14</v>
      </c>
      <c r="S33" s="9">
        <v>91</v>
      </c>
      <c r="T33" s="8">
        <f>Table1[[#This Row],[ER HSA Match]]/Table1[[#This Row],[Days in Q2]]</f>
        <v>0</v>
      </c>
      <c r="U33" s="9" t="s">
        <v>17</v>
      </c>
      <c r="V33" s="9">
        <v>92</v>
      </c>
      <c r="W33" s="8">
        <f>Table1[[#This Row],[ER HSA Match]]/Table1[[#This Row],[Days in Q3]]</f>
        <v>0</v>
      </c>
      <c r="X33" s="9" t="s">
        <v>20</v>
      </c>
      <c r="Y33" s="9">
        <v>92</v>
      </c>
      <c r="Z33" s="8">
        <f>Table1[[#This Row],[ER HSA Match]]/Table1[[#This Row],[Days in Q4]]</f>
        <v>0</v>
      </c>
    </row>
    <row r="34" spans="6:26" x14ac:dyDescent="0.35">
      <c r="F34" s="6" t="s">
        <v>44</v>
      </c>
      <c r="G34" s="7" t="s">
        <v>32</v>
      </c>
      <c r="H34" s="8">
        <v>0</v>
      </c>
      <c r="I34" s="8">
        <v>0</v>
      </c>
      <c r="J34" s="8">
        <v>0</v>
      </c>
      <c r="K34" s="17">
        <v>937</v>
      </c>
      <c r="L34" s="8">
        <v>0</v>
      </c>
      <c r="M34" s="17">
        <v>1473.76</v>
      </c>
      <c r="N34" s="8">
        <v>0</v>
      </c>
      <c r="O34" s="9" t="s">
        <v>11</v>
      </c>
      <c r="P34" s="9">
        <v>90</v>
      </c>
      <c r="Q34" s="8">
        <f>Table1[[#This Row],[ER HSA Match]]/Table1[[#This Row],[Days in Q1]]</f>
        <v>0</v>
      </c>
      <c r="R34" s="9" t="s">
        <v>14</v>
      </c>
      <c r="S34" s="9">
        <v>91</v>
      </c>
      <c r="T34" s="8">
        <f>Table1[[#This Row],[ER HSA Match]]/Table1[[#This Row],[Days in Q2]]</f>
        <v>0</v>
      </c>
      <c r="U34" s="9" t="s">
        <v>17</v>
      </c>
      <c r="V34" s="9">
        <v>92</v>
      </c>
      <c r="W34" s="8">
        <f>Table1[[#This Row],[ER HSA Match]]/Table1[[#This Row],[Days in Q3]]</f>
        <v>0</v>
      </c>
      <c r="X34" s="9" t="s">
        <v>20</v>
      </c>
      <c r="Y34" s="9">
        <v>92</v>
      </c>
      <c r="Z34" s="8">
        <f>Table1[[#This Row],[ER HSA Match]]/Table1[[#This Row],[Days in Q4]]</f>
        <v>0</v>
      </c>
    </row>
    <row r="35" spans="6:26" x14ac:dyDescent="0.35">
      <c r="F35" s="6" t="s">
        <v>44</v>
      </c>
      <c r="G35" s="7" t="s">
        <v>34</v>
      </c>
      <c r="H35" s="8">
        <v>0</v>
      </c>
      <c r="I35" s="8">
        <v>0</v>
      </c>
      <c r="J35" s="8">
        <v>0</v>
      </c>
      <c r="K35" s="17">
        <v>547</v>
      </c>
      <c r="L35" s="8">
        <f>K34-K32</f>
        <v>390</v>
      </c>
      <c r="M35" s="17">
        <v>1060.18</v>
      </c>
      <c r="N35" s="8">
        <f>M34-M32</f>
        <v>413.57999999999993</v>
      </c>
      <c r="O35" s="9" t="s">
        <v>11</v>
      </c>
      <c r="P35" s="9">
        <v>90</v>
      </c>
      <c r="Q35" s="8">
        <f>Table1[[#This Row],[ER HSA Match]]/Table1[[#This Row],[Days in Q1]]</f>
        <v>0</v>
      </c>
      <c r="R35" s="9" t="s">
        <v>14</v>
      </c>
      <c r="S35" s="9">
        <v>91</v>
      </c>
      <c r="T35" s="8">
        <f>Table1[[#This Row],[ER HSA Match]]/Table1[[#This Row],[Days in Q2]]</f>
        <v>0</v>
      </c>
      <c r="U35" s="9" t="s">
        <v>17</v>
      </c>
      <c r="V35" s="9">
        <v>92</v>
      </c>
      <c r="W35" s="8">
        <f>Table1[[#This Row],[ER HSA Match]]/Table1[[#This Row],[Days in Q3]]</f>
        <v>0</v>
      </c>
      <c r="X35" s="9" t="s">
        <v>20</v>
      </c>
      <c r="Y35" s="9">
        <v>92</v>
      </c>
      <c r="Z35" s="8">
        <f>Table1[[#This Row],[ER HSA Match]]/Table1[[#This Row],[Days in Q4]]</f>
        <v>0</v>
      </c>
    </row>
    <row r="36" spans="6:26" x14ac:dyDescent="0.35">
      <c r="F36" s="6" t="s">
        <v>44</v>
      </c>
      <c r="G36" s="7" t="s">
        <v>35</v>
      </c>
      <c r="H36" s="8">
        <v>0</v>
      </c>
      <c r="I36" s="8">
        <v>0</v>
      </c>
      <c r="J36" s="8">
        <v>0</v>
      </c>
      <c r="K36" s="17">
        <v>149</v>
      </c>
      <c r="L36" s="8">
        <f>K34-K29</f>
        <v>788</v>
      </c>
      <c r="M36" s="17">
        <v>654.59</v>
      </c>
      <c r="N36" s="8">
        <f>M34-M29</f>
        <v>819.17</v>
      </c>
      <c r="O36" s="9" t="s">
        <v>11</v>
      </c>
      <c r="P36" s="9">
        <v>90</v>
      </c>
      <c r="Q36" s="8">
        <f>Table1[[#This Row],[ER HSA Match]]/Table1[[#This Row],[Days in Q1]]</f>
        <v>0</v>
      </c>
      <c r="R36" s="9" t="s">
        <v>14</v>
      </c>
      <c r="S36" s="9">
        <v>91</v>
      </c>
      <c r="T36" s="8">
        <f>Table1[[#This Row],[ER HSA Match]]/Table1[[#This Row],[Days in Q2]]</f>
        <v>0</v>
      </c>
      <c r="U36" s="9" t="s">
        <v>17</v>
      </c>
      <c r="V36" s="9">
        <v>92</v>
      </c>
      <c r="W36" s="8">
        <f>Table1[[#This Row],[ER HSA Match]]/Table1[[#This Row],[Days in Q3]]</f>
        <v>0</v>
      </c>
      <c r="X36" s="9" t="s">
        <v>20</v>
      </c>
      <c r="Y36" s="9">
        <v>92</v>
      </c>
      <c r="Z36" s="8">
        <f>Table1[[#This Row],[ER HSA Match]]/Table1[[#This Row],[Days in Q4]]</f>
        <v>0</v>
      </c>
    </row>
    <row r="37" spans="6:26" ht="15" customHeight="1" thickBot="1" x14ac:dyDescent="0.4">
      <c r="F37" s="10" t="s">
        <v>44</v>
      </c>
      <c r="G37" s="11" t="s">
        <v>36</v>
      </c>
      <c r="H37" s="12">
        <v>0</v>
      </c>
      <c r="I37" s="12">
        <v>0</v>
      </c>
      <c r="J37" s="12">
        <v>0</v>
      </c>
      <c r="K37" s="22">
        <v>547</v>
      </c>
      <c r="L37" s="12">
        <f>K34-K32</f>
        <v>390</v>
      </c>
      <c r="M37" s="22">
        <v>1060.18</v>
      </c>
      <c r="N37" s="12">
        <f>M34-M32</f>
        <v>413.57999999999993</v>
      </c>
      <c r="O37" s="13" t="s">
        <v>11</v>
      </c>
      <c r="P37" s="13">
        <v>90</v>
      </c>
      <c r="Q37" s="12">
        <f>Table1[[#This Row],[ER HSA Match]]/Table1[[#This Row],[Days in Q1]]</f>
        <v>0</v>
      </c>
      <c r="R37" s="13" t="s">
        <v>14</v>
      </c>
      <c r="S37" s="13">
        <v>91</v>
      </c>
      <c r="T37" s="12">
        <f>Table1[[#This Row],[ER HSA Match]]/Table1[[#This Row],[Days in Q2]]</f>
        <v>0</v>
      </c>
      <c r="U37" s="13" t="s">
        <v>17</v>
      </c>
      <c r="V37" s="13">
        <v>92</v>
      </c>
      <c r="W37" s="12">
        <f>Table1[[#This Row],[ER HSA Match]]/Table1[[#This Row],[Days in Q3]]</f>
        <v>0</v>
      </c>
      <c r="X37" s="13" t="s">
        <v>20</v>
      </c>
      <c r="Y37" s="13">
        <v>92</v>
      </c>
      <c r="Z37" s="12">
        <f>Table1[[#This Row],[ER HSA Match]]/Table1[[#This Row],[Days in Q4]]</f>
        <v>0</v>
      </c>
    </row>
    <row r="38" spans="6:26" ht="15" customHeight="1" thickTop="1" x14ac:dyDescent="0.35">
      <c r="F38" s="7" t="s">
        <v>45</v>
      </c>
      <c r="G38" s="7" t="s">
        <v>23</v>
      </c>
      <c r="H38" s="8">
        <v>0</v>
      </c>
      <c r="I38" s="8">
        <v>0</v>
      </c>
      <c r="J38" s="8">
        <v>0</v>
      </c>
      <c r="K38" s="17">
        <v>5</v>
      </c>
      <c r="L38" s="8">
        <v>0</v>
      </c>
      <c r="M38" s="17">
        <v>47.29</v>
      </c>
      <c r="N38" s="8">
        <v>0</v>
      </c>
      <c r="O38" s="9" t="s">
        <v>11</v>
      </c>
      <c r="P38" s="9">
        <v>90</v>
      </c>
      <c r="Q38" s="8">
        <f>Table1[[#This Row],[ER HSA Match]]/Table1[[#This Row],[Days in Q1]]</f>
        <v>0</v>
      </c>
      <c r="R38" s="9" t="s">
        <v>14</v>
      </c>
      <c r="S38" s="9">
        <v>91</v>
      </c>
      <c r="T38" s="8">
        <f>Table1[[#This Row],[ER HSA Match]]/Table1[[#This Row],[Days in Q2]]</f>
        <v>0</v>
      </c>
      <c r="U38" s="9" t="s">
        <v>17</v>
      </c>
      <c r="V38" s="9">
        <v>92</v>
      </c>
      <c r="W38" s="8">
        <f>Table1[[#This Row],[ER HSA Match]]/Table1[[#This Row],[Days in Q3]]</f>
        <v>0</v>
      </c>
      <c r="X38" s="9" t="s">
        <v>20</v>
      </c>
      <c r="Y38" s="9">
        <v>92</v>
      </c>
      <c r="Z38" s="8">
        <f>Table1[[#This Row],[ER HSA Match]]/Table1[[#This Row],[Days in Q4]]</f>
        <v>0</v>
      </c>
    </row>
    <row r="39" spans="6:26" x14ac:dyDescent="0.35">
      <c r="F39" s="7" t="s">
        <v>45</v>
      </c>
      <c r="G39" s="7" t="s">
        <v>26</v>
      </c>
      <c r="H39" s="8">
        <v>0</v>
      </c>
      <c r="I39" s="8">
        <v>0</v>
      </c>
      <c r="J39" s="8">
        <v>0</v>
      </c>
      <c r="K39" s="17">
        <v>33</v>
      </c>
      <c r="L39" s="8">
        <v>0</v>
      </c>
      <c r="M39" s="17">
        <v>72.58</v>
      </c>
      <c r="N39" s="8">
        <v>0</v>
      </c>
      <c r="O39" s="9" t="s">
        <v>11</v>
      </c>
      <c r="P39" s="9">
        <v>90</v>
      </c>
      <c r="Q39" s="8">
        <f>Table1[[#This Row],[ER HSA Match]]/Table1[[#This Row],[Days in Q1]]</f>
        <v>0</v>
      </c>
      <c r="R39" s="9" t="s">
        <v>14</v>
      </c>
      <c r="S39" s="9">
        <v>91</v>
      </c>
      <c r="T39" s="8">
        <f>Table1[[#This Row],[ER HSA Match]]/Table1[[#This Row],[Days in Q2]]</f>
        <v>0</v>
      </c>
      <c r="U39" s="9" t="s">
        <v>17</v>
      </c>
      <c r="V39" s="9">
        <v>92</v>
      </c>
      <c r="W39" s="8">
        <f>Table1[[#This Row],[ER HSA Match]]/Table1[[#This Row],[Days in Q3]]</f>
        <v>0</v>
      </c>
      <c r="X39" s="9" t="s">
        <v>20</v>
      </c>
      <c r="Y39" s="9">
        <v>92</v>
      </c>
      <c r="Z39" s="8">
        <f>Table1[[#This Row],[ER HSA Match]]/Table1[[#This Row],[Days in Q4]]</f>
        <v>0</v>
      </c>
    </row>
    <row r="40" spans="6:26" x14ac:dyDescent="0.35">
      <c r="F40" s="7" t="s">
        <v>45</v>
      </c>
      <c r="G40" s="7" t="s">
        <v>28</v>
      </c>
      <c r="H40" s="8">
        <v>0</v>
      </c>
      <c r="I40" s="8">
        <v>0</v>
      </c>
      <c r="J40" s="8">
        <v>0</v>
      </c>
      <c r="K40" s="17">
        <v>5</v>
      </c>
      <c r="L40" s="8">
        <f>K39-K38</f>
        <v>28</v>
      </c>
      <c r="M40" s="17">
        <v>47.29</v>
      </c>
      <c r="N40" s="8">
        <f>M39-M38</f>
        <v>25.29</v>
      </c>
      <c r="O40" s="9" t="s">
        <v>11</v>
      </c>
      <c r="P40" s="9">
        <v>90</v>
      </c>
      <c r="Q40" s="8">
        <f>Table1[[#This Row],[ER HSA Match]]/Table1[[#This Row],[Days in Q1]]</f>
        <v>0</v>
      </c>
      <c r="R40" s="9" t="s">
        <v>14</v>
      </c>
      <c r="S40" s="9">
        <v>91</v>
      </c>
      <c r="T40" s="8">
        <f>Table1[[#This Row],[ER HSA Match]]/Table1[[#This Row],[Days in Q2]]</f>
        <v>0</v>
      </c>
      <c r="U40" s="9" t="s">
        <v>17</v>
      </c>
      <c r="V40" s="9">
        <v>92</v>
      </c>
      <c r="W40" s="8">
        <f>Table1[[#This Row],[ER HSA Match]]/Table1[[#This Row],[Days in Q3]]</f>
        <v>0</v>
      </c>
      <c r="X40" s="9" t="s">
        <v>20</v>
      </c>
      <c r="Y40" s="9">
        <v>92</v>
      </c>
      <c r="Z40" s="8">
        <f>Table1[[#This Row],[ER HSA Match]]/Table1[[#This Row],[Days in Q4]]</f>
        <v>0</v>
      </c>
    </row>
    <row r="41" spans="6:26" x14ac:dyDescent="0.35">
      <c r="F41" s="7" t="s">
        <v>45</v>
      </c>
      <c r="G41" s="7" t="s">
        <v>30</v>
      </c>
      <c r="H41" s="8">
        <v>0</v>
      </c>
      <c r="I41" s="8">
        <v>0</v>
      </c>
      <c r="J41" s="8">
        <v>0</v>
      </c>
      <c r="K41" s="17">
        <v>30</v>
      </c>
      <c r="L41" s="8">
        <v>0</v>
      </c>
      <c r="M41" s="17">
        <v>99.16</v>
      </c>
      <c r="N41" s="8">
        <v>0</v>
      </c>
      <c r="O41" s="9" t="s">
        <v>11</v>
      </c>
      <c r="P41" s="9">
        <v>90</v>
      </c>
      <c r="Q41" s="8">
        <f>Table1[[#This Row],[ER HSA Match]]/Table1[[#This Row],[Days in Q1]]</f>
        <v>0</v>
      </c>
      <c r="R41" s="9" t="s">
        <v>14</v>
      </c>
      <c r="S41" s="9">
        <v>91</v>
      </c>
      <c r="T41" s="8">
        <f>Table1[[#This Row],[ER HSA Match]]/Table1[[#This Row],[Days in Q2]]</f>
        <v>0</v>
      </c>
      <c r="U41" s="9" t="s">
        <v>17</v>
      </c>
      <c r="V41" s="9">
        <v>92</v>
      </c>
      <c r="W41" s="8">
        <f>Table1[[#This Row],[ER HSA Match]]/Table1[[#This Row],[Days in Q3]]</f>
        <v>0</v>
      </c>
      <c r="X41" s="9" t="s">
        <v>20</v>
      </c>
      <c r="Y41" s="9">
        <v>92</v>
      </c>
      <c r="Z41" s="8">
        <f>Table1[[#This Row],[ER HSA Match]]/Table1[[#This Row],[Days in Q4]]</f>
        <v>0</v>
      </c>
    </row>
    <row r="42" spans="6:26" x14ac:dyDescent="0.35">
      <c r="F42" s="7" t="s">
        <v>45</v>
      </c>
      <c r="G42" s="7" t="s">
        <v>31</v>
      </c>
      <c r="H42" s="8">
        <v>0</v>
      </c>
      <c r="I42" s="8">
        <v>0</v>
      </c>
      <c r="J42" s="8">
        <v>0</v>
      </c>
      <c r="K42" s="17">
        <v>5</v>
      </c>
      <c r="L42" s="8">
        <f>K41-K40</f>
        <v>25</v>
      </c>
      <c r="M42" s="17">
        <v>47.29</v>
      </c>
      <c r="N42" s="8">
        <f>M41-M40</f>
        <v>51.87</v>
      </c>
      <c r="O42" s="9" t="s">
        <v>11</v>
      </c>
      <c r="P42" s="9">
        <v>90</v>
      </c>
      <c r="Q42" s="8">
        <f>Table1[[#This Row],[ER HSA Match]]/Table1[[#This Row],[Days in Q1]]</f>
        <v>0</v>
      </c>
      <c r="R42" s="9" t="s">
        <v>14</v>
      </c>
      <c r="S42" s="9">
        <v>91</v>
      </c>
      <c r="T42" s="8">
        <f>Table1[[#This Row],[ER HSA Match]]/Table1[[#This Row],[Days in Q2]]</f>
        <v>0</v>
      </c>
      <c r="U42" s="9" t="s">
        <v>17</v>
      </c>
      <c r="V42" s="9">
        <v>92</v>
      </c>
      <c r="W42" s="8">
        <f>Table1[[#This Row],[ER HSA Match]]/Table1[[#This Row],[Days in Q3]]</f>
        <v>0</v>
      </c>
      <c r="X42" s="9" t="s">
        <v>20</v>
      </c>
      <c r="Y42" s="9">
        <v>92</v>
      </c>
      <c r="Z42" s="8">
        <f>Table1[[#This Row],[ER HSA Match]]/Table1[[#This Row],[Days in Q4]]</f>
        <v>0</v>
      </c>
    </row>
    <row r="43" spans="6:26" x14ac:dyDescent="0.35">
      <c r="F43" s="7" t="s">
        <v>45</v>
      </c>
      <c r="G43" s="7" t="s">
        <v>32</v>
      </c>
      <c r="H43" s="8">
        <v>0</v>
      </c>
      <c r="I43" s="8">
        <v>0</v>
      </c>
      <c r="J43" s="8">
        <v>0</v>
      </c>
      <c r="K43" s="17">
        <v>59</v>
      </c>
      <c r="L43" s="8">
        <v>0</v>
      </c>
      <c r="M43" s="17">
        <v>123.8</v>
      </c>
      <c r="N43" s="8">
        <v>0</v>
      </c>
      <c r="O43" s="9" t="s">
        <v>11</v>
      </c>
      <c r="P43" s="9">
        <v>90</v>
      </c>
      <c r="Q43" s="8">
        <f>Table1[[#This Row],[ER HSA Match]]/Table1[[#This Row],[Days in Q1]]</f>
        <v>0</v>
      </c>
      <c r="R43" s="9" t="s">
        <v>14</v>
      </c>
      <c r="S43" s="9">
        <v>91</v>
      </c>
      <c r="T43" s="8">
        <f>Table1[[#This Row],[ER HSA Match]]/Table1[[#This Row],[Days in Q2]]</f>
        <v>0</v>
      </c>
      <c r="U43" s="9" t="s">
        <v>17</v>
      </c>
      <c r="V43" s="9">
        <v>92</v>
      </c>
      <c r="W43" s="8">
        <f>Table1[[#This Row],[ER HSA Match]]/Table1[[#This Row],[Days in Q3]]</f>
        <v>0</v>
      </c>
      <c r="X43" s="9" t="s">
        <v>20</v>
      </c>
      <c r="Y43" s="9">
        <v>92</v>
      </c>
      <c r="Z43" s="8">
        <f>Table1[[#This Row],[ER HSA Match]]/Table1[[#This Row],[Days in Q4]]</f>
        <v>0</v>
      </c>
    </row>
    <row r="44" spans="6:26" x14ac:dyDescent="0.35">
      <c r="F44" s="7" t="s">
        <v>45</v>
      </c>
      <c r="G44" s="7" t="s">
        <v>34</v>
      </c>
      <c r="H44" s="8">
        <v>0</v>
      </c>
      <c r="I44" s="8">
        <v>0</v>
      </c>
      <c r="J44" s="8">
        <v>0</v>
      </c>
      <c r="K44" s="17">
        <v>30</v>
      </c>
      <c r="L44" s="8">
        <f>K43-K41</f>
        <v>29</v>
      </c>
      <c r="M44" s="17">
        <v>99.16</v>
      </c>
      <c r="N44" s="8">
        <f>M43-M41</f>
        <v>24.64</v>
      </c>
      <c r="O44" s="9" t="s">
        <v>11</v>
      </c>
      <c r="P44" s="9">
        <v>90</v>
      </c>
      <c r="Q44" s="8">
        <f>Table1[[#This Row],[ER HSA Match]]/Table1[[#This Row],[Days in Q1]]</f>
        <v>0</v>
      </c>
      <c r="R44" s="9" t="s">
        <v>14</v>
      </c>
      <c r="S44" s="9">
        <v>91</v>
      </c>
      <c r="T44" s="8">
        <f>Table1[[#This Row],[ER HSA Match]]/Table1[[#This Row],[Days in Q2]]</f>
        <v>0</v>
      </c>
      <c r="U44" s="9" t="s">
        <v>17</v>
      </c>
      <c r="V44" s="9">
        <v>92</v>
      </c>
      <c r="W44" s="8">
        <f>Table1[[#This Row],[ER HSA Match]]/Table1[[#This Row],[Days in Q3]]</f>
        <v>0</v>
      </c>
      <c r="X44" s="9" t="s">
        <v>20</v>
      </c>
      <c r="Y44" s="9">
        <v>92</v>
      </c>
      <c r="Z44" s="8">
        <f>Table1[[#This Row],[ER HSA Match]]/Table1[[#This Row],[Days in Q4]]</f>
        <v>0</v>
      </c>
    </row>
    <row r="45" spans="6:26" x14ac:dyDescent="0.35">
      <c r="F45" s="7" t="s">
        <v>45</v>
      </c>
      <c r="G45" s="7" t="s">
        <v>35</v>
      </c>
      <c r="H45" s="8">
        <v>0</v>
      </c>
      <c r="I45" s="8">
        <v>0</v>
      </c>
      <c r="J45" s="8">
        <v>0</v>
      </c>
      <c r="K45" s="17">
        <v>5</v>
      </c>
      <c r="L45" s="8">
        <f>K43-K38</f>
        <v>54</v>
      </c>
      <c r="M45" s="17">
        <v>47.29</v>
      </c>
      <c r="N45" s="8">
        <f>M43-M38</f>
        <v>76.509999999999991</v>
      </c>
      <c r="O45" s="9" t="s">
        <v>11</v>
      </c>
      <c r="P45" s="9">
        <v>90</v>
      </c>
      <c r="Q45" s="8">
        <f>Table1[[#This Row],[ER HSA Match]]/Table1[[#This Row],[Days in Q1]]</f>
        <v>0</v>
      </c>
      <c r="R45" s="9" t="s">
        <v>14</v>
      </c>
      <c r="S45" s="9">
        <v>91</v>
      </c>
      <c r="T45" s="8">
        <f>Table1[[#This Row],[ER HSA Match]]/Table1[[#This Row],[Days in Q2]]</f>
        <v>0</v>
      </c>
      <c r="U45" s="9" t="s">
        <v>17</v>
      </c>
      <c r="V45" s="9">
        <v>92</v>
      </c>
      <c r="W45" s="8">
        <f>Table1[[#This Row],[ER HSA Match]]/Table1[[#This Row],[Days in Q3]]</f>
        <v>0</v>
      </c>
      <c r="X45" s="9" t="s">
        <v>20</v>
      </c>
      <c r="Y45" s="9">
        <v>92</v>
      </c>
      <c r="Z45" s="8">
        <f>Table1[[#This Row],[ER HSA Match]]/Table1[[#This Row],[Days in Q4]]</f>
        <v>0</v>
      </c>
    </row>
    <row r="46" spans="6:26" ht="15" customHeight="1" thickBot="1" x14ac:dyDescent="0.4">
      <c r="F46" s="10" t="s">
        <v>45</v>
      </c>
      <c r="G46" s="11" t="s">
        <v>36</v>
      </c>
      <c r="H46" s="12">
        <v>0</v>
      </c>
      <c r="I46" s="12">
        <v>0</v>
      </c>
      <c r="J46" s="12">
        <v>0</v>
      </c>
      <c r="K46" s="22">
        <v>30</v>
      </c>
      <c r="L46" s="12">
        <f>K43-K41</f>
        <v>29</v>
      </c>
      <c r="M46" s="22">
        <v>99.16</v>
      </c>
      <c r="N46" s="12">
        <f>M43-M41</f>
        <v>24.64</v>
      </c>
      <c r="O46" s="13" t="s">
        <v>11</v>
      </c>
      <c r="P46" s="13">
        <v>90</v>
      </c>
      <c r="Q46" s="12">
        <f>Table1[[#This Row],[ER HSA Match]]/Table1[[#This Row],[Days in Q1]]</f>
        <v>0</v>
      </c>
      <c r="R46" s="13" t="s">
        <v>14</v>
      </c>
      <c r="S46" s="13">
        <v>91</v>
      </c>
      <c r="T46" s="12">
        <f>Table1[[#This Row],[ER HSA Match]]/Table1[[#This Row],[Days in Q2]]</f>
        <v>0</v>
      </c>
      <c r="U46" s="13" t="s">
        <v>17</v>
      </c>
      <c r="V46" s="13">
        <v>92</v>
      </c>
      <c r="W46" s="12">
        <f>Table1[[#This Row],[ER HSA Match]]/Table1[[#This Row],[Days in Q3]]</f>
        <v>0</v>
      </c>
      <c r="X46" s="13" t="s">
        <v>20</v>
      </c>
      <c r="Y46" s="13">
        <v>92</v>
      </c>
      <c r="Z46" s="12">
        <f>Table1[[#This Row],[ER HSA Match]]/Table1[[#This Row],[Days in Q4]]</f>
        <v>0</v>
      </c>
    </row>
    <row r="47" spans="6:26" ht="15" customHeight="1" thickTop="1" x14ac:dyDescent="0.35">
      <c r="F47" s="6" t="s">
        <v>46</v>
      </c>
      <c r="G47" s="7" t="s">
        <v>23</v>
      </c>
      <c r="H47" s="8">
        <v>0</v>
      </c>
      <c r="I47" s="8">
        <v>0</v>
      </c>
      <c r="J47" s="8">
        <v>0</v>
      </c>
      <c r="K47" s="17">
        <v>2</v>
      </c>
      <c r="L47" s="8">
        <v>0</v>
      </c>
      <c r="M47" s="17">
        <v>8.23</v>
      </c>
      <c r="N47" s="8">
        <v>0</v>
      </c>
      <c r="O47" s="9" t="s">
        <v>11</v>
      </c>
      <c r="P47" s="9">
        <v>90</v>
      </c>
      <c r="Q47" s="8">
        <f>Table1[[#This Row],[ER HSA Match]]/Table1[[#This Row],[Days in Q1]]</f>
        <v>0</v>
      </c>
      <c r="R47" s="9" t="s">
        <v>14</v>
      </c>
      <c r="S47" s="9">
        <v>91</v>
      </c>
      <c r="T47" s="8">
        <f>Table1[[#This Row],[ER HSA Match]]/Table1[[#This Row],[Days in Q2]]</f>
        <v>0</v>
      </c>
      <c r="U47" s="9" t="s">
        <v>17</v>
      </c>
      <c r="V47" s="9">
        <v>92</v>
      </c>
      <c r="W47" s="8">
        <f>Table1[[#This Row],[ER HSA Match]]/Table1[[#This Row],[Days in Q3]]</f>
        <v>0</v>
      </c>
      <c r="X47" s="9" t="s">
        <v>20</v>
      </c>
      <c r="Y47" s="9">
        <v>92</v>
      </c>
      <c r="Z47" s="8">
        <f>Table1[[#This Row],[ER HSA Match]]/Table1[[#This Row],[Days in Q4]]</f>
        <v>0</v>
      </c>
    </row>
    <row r="48" spans="6:26" x14ac:dyDescent="0.35">
      <c r="F48" s="6" t="s">
        <v>46</v>
      </c>
      <c r="G48" s="7" t="s">
        <v>26</v>
      </c>
      <c r="H48" s="8">
        <v>0</v>
      </c>
      <c r="I48" s="8">
        <v>0</v>
      </c>
      <c r="J48" s="8">
        <v>0</v>
      </c>
      <c r="K48" s="17">
        <v>3</v>
      </c>
      <c r="L48" s="8">
        <v>0</v>
      </c>
      <c r="M48" s="17">
        <v>12.86</v>
      </c>
      <c r="N48" s="8">
        <v>0</v>
      </c>
      <c r="O48" s="9" t="s">
        <v>11</v>
      </c>
      <c r="P48" s="9">
        <v>90</v>
      </c>
      <c r="Q48" s="8">
        <f>Table1[[#This Row],[ER HSA Match]]/Table1[[#This Row],[Days in Q1]]</f>
        <v>0</v>
      </c>
      <c r="R48" s="9" t="s">
        <v>14</v>
      </c>
      <c r="S48" s="9">
        <v>91</v>
      </c>
      <c r="T48" s="8">
        <f>Table1[[#This Row],[ER HSA Match]]/Table1[[#This Row],[Days in Q2]]</f>
        <v>0</v>
      </c>
      <c r="U48" s="9" t="s">
        <v>17</v>
      </c>
      <c r="V48" s="9">
        <v>92</v>
      </c>
      <c r="W48" s="8">
        <f>Table1[[#This Row],[ER HSA Match]]/Table1[[#This Row],[Days in Q3]]</f>
        <v>0</v>
      </c>
      <c r="X48" s="9" t="s">
        <v>20</v>
      </c>
      <c r="Y48" s="9">
        <v>92</v>
      </c>
      <c r="Z48" s="8">
        <f>Table1[[#This Row],[ER HSA Match]]/Table1[[#This Row],[Days in Q4]]</f>
        <v>0</v>
      </c>
    </row>
    <row r="49" spans="6:26" x14ac:dyDescent="0.35">
      <c r="F49" s="6" t="s">
        <v>46</v>
      </c>
      <c r="G49" s="7" t="s">
        <v>28</v>
      </c>
      <c r="H49" s="8">
        <v>0</v>
      </c>
      <c r="I49" s="8">
        <v>0</v>
      </c>
      <c r="J49" s="8">
        <v>0</v>
      </c>
      <c r="K49" s="17">
        <v>2</v>
      </c>
      <c r="L49" s="8">
        <f>K48-K47</f>
        <v>1</v>
      </c>
      <c r="M49" s="17">
        <v>8.23</v>
      </c>
      <c r="N49" s="8">
        <f>M48-M47</f>
        <v>4.629999999999999</v>
      </c>
      <c r="O49" s="9" t="s">
        <v>11</v>
      </c>
      <c r="P49" s="9">
        <v>90</v>
      </c>
      <c r="Q49" s="8">
        <f>Table1[[#This Row],[ER HSA Match]]/Table1[[#This Row],[Days in Q1]]</f>
        <v>0</v>
      </c>
      <c r="R49" s="9" t="s">
        <v>14</v>
      </c>
      <c r="S49" s="9">
        <v>91</v>
      </c>
      <c r="T49" s="8">
        <f>Table1[[#This Row],[ER HSA Match]]/Table1[[#This Row],[Days in Q2]]</f>
        <v>0</v>
      </c>
      <c r="U49" s="9" t="s">
        <v>17</v>
      </c>
      <c r="V49" s="9">
        <v>92</v>
      </c>
      <c r="W49" s="8">
        <f>Table1[[#This Row],[ER HSA Match]]/Table1[[#This Row],[Days in Q3]]</f>
        <v>0</v>
      </c>
      <c r="X49" s="9" t="s">
        <v>20</v>
      </c>
      <c r="Y49" s="9">
        <v>92</v>
      </c>
      <c r="Z49" s="8">
        <f>Table1[[#This Row],[ER HSA Match]]/Table1[[#This Row],[Days in Q4]]</f>
        <v>0</v>
      </c>
    </row>
    <row r="50" spans="6:26" x14ac:dyDescent="0.35">
      <c r="F50" s="6" t="s">
        <v>46</v>
      </c>
      <c r="G50" s="7" t="s">
        <v>30</v>
      </c>
      <c r="H50" s="8">
        <v>0</v>
      </c>
      <c r="I50" s="8">
        <v>0</v>
      </c>
      <c r="J50" s="8">
        <v>0</v>
      </c>
      <c r="K50" s="17">
        <v>4</v>
      </c>
      <c r="L50" s="8">
        <v>0</v>
      </c>
      <c r="M50" s="17">
        <v>10.82</v>
      </c>
      <c r="N50" s="8">
        <v>0</v>
      </c>
      <c r="O50" s="9" t="s">
        <v>11</v>
      </c>
      <c r="P50" s="9">
        <v>90</v>
      </c>
      <c r="Q50" s="8">
        <f>Table1[[#This Row],[ER HSA Match]]/Table1[[#This Row],[Days in Q1]]</f>
        <v>0</v>
      </c>
      <c r="R50" s="9" t="s">
        <v>14</v>
      </c>
      <c r="S50" s="9">
        <v>91</v>
      </c>
      <c r="T50" s="8">
        <f>Table1[[#This Row],[ER HSA Match]]/Table1[[#This Row],[Days in Q2]]</f>
        <v>0</v>
      </c>
      <c r="U50" s="9" t="s">
        <v>17</v>
      </c>
      <c r="V50" s="9">
        <v>92</v>
      </c>
      <c r="W50" s="8">
        <f>Table1[[#This Row],[ER HSA Match]]/Table1[[#This Row],[Days in Q3]]</f>
        <v>0</v>
      </c>
      <c r="X50" s="9" t="s">
        <v>20</v>
      </c>
      <c r="Y50" s="9">
        <v>92</v>
      </c>
      <c r="Z50" s="8">
        <f>Table1[[#This Row],[ER HSA Match]]/Table1[[#This Row],[Days in Q4]]</f>
        <v>0</v>
      </c>
    </row>
    <row r="51" spans="6:26" x14ac:dyDescent="0.35">
      <c r="F51" s="6" t="s">
        <v>46</v>
      </c>
      <c r="G51" s="7" t="s">
        <v>31</v>
      </c>
      <c r="H51" s="8">
        <v>0</v>
      </c>
      <c r="I51" s="8">
        <v>0</v>
      </c>
      <c r="J51" s="8">
        <v>0</v>
      </c>
      <c r="K51" s="17">
        <v>2</v>
      </c>
      <c r="L51" s="8">
        <f>K50-K49</f>
        <v>2</v>
      </c>
      <c r="M51" s="17">
        <v>8.23</v>
      </c>
      <c r="N51" s="8">
        <f>M50-M49</f>
        <v>2.59</v>
      </c>
      <c r="O51" s="9" t="s">
        <v>11</v>
      </c>
      <c r="P51" s="9">
        <v>90</v>
      </c>
      <c r="Q51" s="8">
        <f>Table1[[#This Row],[ER HSA Match]]/Table1[[#This Row],[Days in Q1]]</f>
        <v>0</v>
      </c>
      <c r="R51" s="9" t="s">
        <v>14</v>
      </c>
      <c r="S51" s="9">
        <v>91</v>
      </c>
      <c r="T51" s="8">
        <f>Table1[[#This Row],[ER HSA Match]]/Table1[[#This Row],[Days in Q2]]</f>
        <v>0</v>
      </c>
      <c r="U51" s="9" t="s">
        <v>17</v>
      </c>
      <c r="V51" s="9">
        <v>92</v>
      </c>
      <c r="W51" s="8">
        <f>Table1[[#This Row],[ER HSA Match]]/Table1[[#This Row],[Days in Q3]]</f>
        <v>0</v>
      </c>
      <c r="X51" s="9" t="s">
        <v>20</v>
      </c>
      <c r="Y51" s="9">
        <v>92</v>
      </c>
      <c r="Z51" s="8">
        <f>Table1[[#This Row],[ER HSA Match]]/Table1[[#This Row],[Days in Q4]]</f>
        <v>0</v>
      </c>
    </row>
    <row r="52" spans="6:26" x14ac:dyDescent="0.35">
      <c r="F52" s="6" t="s">
        <v>46</v>
      </c>
      <c r="G52" s="7" t="s">
        <v>32</v>
      </c>
      <c r="H52" s="8">
        <v>0</v>
      </c>
      <c r="I52" s="8">
        <v>0</v>
      </c>
      <c r="J52" s="8">
        <v>0</v>
      </c>
      <c r="K52" s="17">
        <v>7</v>
      </c>
      <c r="L52" s="8">
        <v>0</v>
      </c>
      <c r="M52" s="17">
        <v>18.579999999999998</v>
      </c>
      <c r="N52" s="8">
        <v>0</v>
      </c>
      <c r="O52" s="9" t="s">
        <v>11</v>
      </c>
      <c r="P52" s="9">
        <v>90</v>
      </c>
      <c r="Q52" s="8">
        <f>Table1[[#This Row],[ER HSA Match]]/Table1[[#This Row],[Days in Q1]]</f>
        <v>0</v>
      </c>
      <c r="R52" s="9" t="s">
        <v>14</v>
      </c>
      <c r="S52" s="9">
        <v>91</v>
      </c>
      <c r="T52" s="8">
        <f>Table1[[#This Row],[ER HSA Match]]/Table1[[#This Row],[Days in Q2]]</f>
        <v>0</v>
      </c>
      <c r="U52" s="9" t="s">
        <v>17</v>
      </c>
      <c r="V52" s="9">
        <v>92</v>
      </c>
      <c r="W52" s="8">
        <f>Table1[[#This Row],[ER HSA Match]]/Table1[[#This Row],[Days in Q3]]</f>
        <v>0</v>
      </c>
      <c r="X52" s="9" t="s">
        <v>20</v>
      </c>
      <c r="Y52" s="9">
        <v>92</v>
      </c>
      <c r="Z52" s="8">
        <f>Table1[[#This Row],[ER HSA Match]]/Table1[[#This Row],[Days in Q4]]</f>
        <v>0</v>
      </c>
    </row>
    <row r="53" spans="6:26" x14ac:dyDescent="0.35">
      <c r="F53" s="6" t="s">
        <v>46</v>
      </c>
      <c r="G53" s="7" t="s">
        <v>34</v>
      </c>
      <c r="H53" s="8">
        <v>0</v>
      </c>
      <c r="I53" s="8">
        <v>0</v>
      </c>
      <c r="J53" s="8">
        <v>0</v>
      </c>
      <c r="K53" s="17">
        <v>4</v>
      </c>
      <c r="L53" s="8">
        <f>K52-K50</f>
        <v>3</v>
      </c>
      <c r="M53" s="17">
        <v>10.82</v>
      </c>
      <c r="N53" s="8">
        <f>M52-M50</f>
        <v>7.759999999999998</v>
      </c>
      <c r="O53" s="9" t="s">
        <v>11</v>
      </c>
      <c r="P53" s="9">
        <v>90</v>
      </c>
      <c r="Q53" s="8">
        <f>Table1[[#This Row],[ER HSA Match]]/Table1[[#This Row],[Days in Q1]]</f>
        <v>0</v>
      </c>
      <c r="R53" s="9" t="s">
        <v>14</v>
      </c>
      <c r="S53" s="9">
        <v>91</v>
      </c>
      <c r="T53" s="8">
        <f>Table1[[#This Row],[ER HSA Match]]/Table1[[#This Row],[Days in Q2]]</f>
        <v>0</v>
      </c>
      <c r="U53" s="9" t="s">
        <v>17</v>
      </c>
      <c r="V53" s="9">
        <v>92</v>
      </c>
      <c r="W53" s="8">
        <f>Table1[[#This Row],[ER HSA Match]]/Table1[[#This Row],[Days in Q3]]</f>
        <v>0</v>
      </c>
      <c r="X53" s="9" t="s">
        <v>20</v>
      </c>
      <c r="Y53" s="9">
        <v>92</v>
      </c>
      <c r="Z53" s="8">
        <f>Table1[[#This Row],[ER HSA Match]]/Table1[[#This Row],[Days in Q4]]</f>
        <v>0</v>
      </c>
    </row>
    <row r="54" spans="6:26" x14ac:dyDescent="0.35">
      <c r="F54" s="6" t="s">
        <v>46</v>
      </c>
      <c r="G54" s="7" t="s">
        <v>35</v>
      </c>
      <c r="H54" s="8">
        <v>0</v>
      </c>
      <c r="I54" s="8">
        <v>0</v>
      </c>
      <c r="J54" s="8">
        <v>0</v>
      </c>
      <c r="K54" s="17">
        <v>2</v>
      </c>
      <c r="L54" s="8">
        <f>K52-K47</f>
        <v>5</v>
      </c>
      <c r="M54" s="17">
        <v>8.23</v>
      </c>
      <c r="N54" s="8">
        <f>M52-M47</f>
        <v>10.349999999999998</v>
      </c>
      <c r="O54" s="9" t="s">
        <v>11</v>
      </c>
      <c r="P54" s="9">
        <v>90</v>
      </c>
      <c r="Q54" s="8">
        <f>Table1[[#This Row],[ER HSA Match]]/Table1[[#This Row],[Days in Q1]]</f>
        <v>0</v>
      </c>
      <c r="R54" s="9" t="s">
        <v>14</v>
      </c>
      <c r="S54" s="9">
        <v>91</v>
      </c>
      <c r="T54" s="8">
        <f>Table1[[#This Row],[ER HSA Match]]/Table1[[#This Row],[Days in Q2]]</f>
        <v>0</v>
      </c>
      <c r="U54" s="9" t="s">
        <v>17</v>
      </c>
      <c r="V54" s="9">
        <v>92</v>
      </c>
      <c r="W54" s="8">
        <f>Table1[[#This Row],[ER HSA Match]]/Table1[[#This Row],[Days in Q3]]</f>
        <v>0</v>
      </c>
      <c r="X54" s="9" t="s">
        <v>20</v>
      </c>
      <c r="Y54" s="9">
        <v>92</v>
      </c>
      <c r="Z54" s="8">
        <f>Table1[[#This Row],[ER HSA Match]]/Table1[[#This Row],[Days in Q4]]</f>
        <v>0</v>
      </c>
    </row>
    <row r="55" spans="6:26" ht="15" customHeight="1" thickBot="1" x14ac:dyDescent="0.4">
      <c r="F55" s="10" t="s">
        <v>46</v>
      </c>
      <c r="G55" s="11" t="s">
        <v>36</v>
      </c>
      <c r="H55" s="12">
        <v>0</v>
      </c>
      <c r="I55" s="12">
        <v>0</v>
      </c>
      <c r="J55" s="12">
        <v>0</v>
      </c>
      <c r="K55" s="22">
        <v>4</v>
      </c>
      <c r="L55" s="12">
        <f>K52-K50</f>
        <v>3</v>
      </c>
      <c r="M55" s="22">
        <v>10.82</v>
      </c>
      <c r="N55" s="12">
        <f>M52-M50</f>
        <v>7.759999999999998</v>
      </c>
      <c r="O55" s="13" t="s">
        <v>11</v>
      </c>
      <c r="P55" s="13">
        <v>90</v>
      </c>
      <c r="Q55" s="12">
        <f>Table1[[#This Row],[ER HSA Match]]/Table1[[#This Row],[Days in Q1]]</f>
        <v>0</v>
      </c>
      <c r="R55" s="13" t="s">
        <v>14</v>
      </c>
      <c r="S55" s="13">
        <v>91</v>
      </c>
      <c r="T55" s="12">
        <f>Table1[[#This Row],[ER HSA Match]]/Table1[[#This Row],[Days in Q2]]</f>
        <v>0</v>
      </c>
      <c r="U55" s="13" t="s">
        <v>17</v>
      </c>
      <c r="V55" s="13">
        <v>92</v>
      </c>
      <c r="W55" s="12">
        <f>Table1[[#This Row],[ER HSA Match]]/Table1[[#This Row],[Days in Q3]]</f>
        <v>0</v>
      </c>
      <c r="X55" s="13" t="s">
        <v>20</v>
      </c>
      <c r="Y55" s="13">
        <v>92</v>
      </c>
      <c r="Z55" s="12">
        <f>Table1[[#This Row],[ER HSA Match]]/Table1[[#This Row],[Days in Q4]]</f>
        <v>0</v>
      </c>
    </row>
    <row r="56" spans="6:26" ht="15" customHeight="1" thickTop="1" x14ac:dyDescent="0.35">
      <c r="F56" s="75"/>
      <c r="G56" s="7" t="s">
        <v>55</v>
      </c>
      <c r="H56" s="76"/>
      <c r="I56" s="76"/>
      <c r="J56" s="77"/>
      <c r="K56" s="78"/>
      <c r="L56" s="77"/>
      <c r="M56" s="78"/>
      <c r="N56" s="77"/>
      <c r="O56" s="9"/>
      <c r="P56" s="9" t="e">
        <f>#REF!</f>
        <v>#REF!</v>
      </c>
      <c r="Q56" s="76" t="e">
        <f>Table1[[#This Row],[ER HSA Match]]/Table1[[#This Row],[Days in Q1]]</f>
        <v>#REF!</v>
      </c>
      <c r="R56" s="9"/>
      <c r="S56" s="77" t="e">
        <f>#REF!</f>
        <v>#REF!</v>
      </c>
      <c r="T56" s="78" t="e">
        <f>Table1[[#This Row],[ER HSA Match]]/Table1[[#This Row],[Days in Q2]]</f>
        <v>#REF!</v>
      </c>
      <c r="U56" s="9"/>
      <c r="V56" s="9" t="e">
        <f>#REF!</f>
        <v>#REF!</v>
      </c>
      <c r="W56" s="76" t="e">
        <f>Table1[[#This Row],[ER HSA Match]]/Table1[[#This Row],[Days in Q3]]</f>
        <v>#REF!</v>
      </c>
      <c r="X56" s="9"/>
      <c r="Y56" s="9"/>
      <c r="Z56" s="76" t="e">
        <f>Table1[[#This Row],[ER HSA Match]]/Table1[[#This Row],[Days in Q4]]</f>
        <v>#DIV/0!</v>
      </c>
    </row>
  </sheetData>
  <mergeCells count="2">
    <mergeCell ref="A8:C10"/>
    <mergeCell ref="A5:C7"/>
  </mergeCells>
  <pageMargins left="0.7" right="0.7" top="0.75" bottom="0.75"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A55C8-8361-419C-8DA5-D92016373FC7}">
  <dimension ref="A1:AA30"/>
  <sheetViews>
    <sheetView workbookViewId="0">
      <selection activeCell="K30" sqref="K30"/>
    </sheetView>
  </sheetViews>
  <sheetFormatPr defaultRowHeight="14.5" x14ac:dyDescent="0.35"/>
  <cols>
    <col min="1" max="1" width="27" style="54" bestFit="1" customWidth="1"/>
    <col min="2" max="2" width="33.90625" style="55" bestFit="1" customWidth="1"/>
    <col min="3" max="3" width="28.36328125" style="55" bestFit="1" customWidth="1"/>
    <col min="4" max="4" width="13.453125" style="54" customWidth="1"/>
    <col min="5" max="5" width="12.7265625" style="54" customWidth="1"/>
    <col min="6" max="6" width="10.90625" style="55" customWidth="1"/>
    <col min="7" max="7" width="9.453125" style="55" customWidth="1"/>
    <col min="8" max="8" width="81.90625" style="28" bestFit="1" customWidth="1"/>
    <col min="9" max="10" width="8.7265625" style="28"/>
    <col min="11" max="25" width="0" style="28" hidden="1" customWidth="1"/>
    <col min="26" max="16384" width="8.7265625" style="28"/>
  </cols>
  <sheetData>
    <row r="1" spans="1:27" ht="21" x14ac:dyDescent="0.5">
      <c r="A1" s="150" t="s">
        <v>118</v>
      </c>
      <c r="B1" s="150"/>
      <c r="C1" s="150"/>
      <c r="D1" s="150"/>
      <c r="E1" s="150"/>
      <c r="F1" s="26"/>
      <c r="G1" s="26"/>
      <c r="H1" s="27"/>
      <c r="I1" s="27"/>
    </row>
    <row r="2" spans="1:27" s="31" customFormat="1" ht="29" customHeight="1" x14ac:dyDescent="0.35">
      <c r="A2" s="29" t="s">
        <v>57</v>
      </c>
      <c r="B2" s="30" t="s">
        <v>58</v>
      </c>
      <c r="C2" s="30" t="s">
        <v>59</v>
      </c>
      <c r="D2" s="29" t="s">
        <v>60</v>
      </c>
      <c r="E2" s="29" t="s">
        <v>61</v>
      </c>
      <c r="F2" s="29" t="s">
        <v>62</v>
      </c>
      <c r="G2" s="29" t="s">
        <v>63</v>
      </c>
      <c r="H2" s="29" t="s">
        <v>64</v>
      </c>
      <c r="I2" s="29" t="s">
        <v>65</v>
      </c>
      <c r="Z2" s="31" t="s">
        <v>126</v>
      </c>
    </row>
    <row r="3" spans="1:27" x14ac:dyDescent="0.35">
      <c r="A3" s="32">
        <v>45664</v>
      </c>
      <c r="B3" s="32">
        <v>45669</v>
      </c>
      <c r="C3" s="33">
        <v>45672</v>
      </c>
      <c r="D3" s="34">
        <v>45658</v>
      </c>
      <c r="E3" s="34">
        <v>45672</v>
      </c>
      <c r="F3" s="35">
        <v>3</v>
      </c>
      <c r="G3" s="35">
        <v>1</v>
      </c>
      <c r="H3" s="36" t="s">
        <v>66</v>
      </c>
      <c r="I3" s="37"/>
      <c r="Z3" s="28">
        <f>IFERROR(--$A3, DATEVALUE($A3))</f>
        <v>45664</v>
      </c>
      <c r="AA3" s="28" t="b">
        <f ca="1">AND($A3&gt;=DATE(YEAR(TODAY()),1,1), $Z3&lt;=DATE(YEAR(TODAY()),12,31))</f>
        <v>1</v>
      </c>
    </row>
    <row r="4" spans="1:27" x14ac:dyDescent="0.35">
      <c r="A4" s="32">
        <v>45679</v>
      </c>
      <c r="B4" s="32">
        <v>45684</v>
      </c>
      <c r="C4" s="33">
        <v>45687</v>
      </c>
      <c r="D4" s="34">
        <v>45673</v>
      </c>
      <c r="E4" s="34">
        <v>45688</v>
      </c>
      <c r="F4" s="35">
        <v>6</v>
      </c>
      <c r="G4" s="35">
        <v>2</v>
      </c>
      <c r="H4" s="36" t="s">
        <v>67</v>
      </c>
      <c r="I4" s="37"/>
      <c r="Z4" s="28">
        <f t="shared" ref="Z4:Z26" si="0">IFERROR(--$A4, DATEVALUE($A4))</f>
        <v>45679</v>
      </c>
      <c r="AA4" s="28" t="b">
        <f t="shared" ref="AA4:AA26" ca="1" si="1">AND($A4&gt;=DATE(YEAR(TODAY()),1,1), $Z4&lt;=DATE(YEAR(TODAY()),12,31))</f>
        <v>1</v>
      </c>
    </row>
    <row r="5" spans="1:27" x14ac:dyDescent="0.35">
      <c r="A5" s="32">
        <v>45693</v>
      </c>
      <c r="B5" s="32">
        <v>45698</v>
      </c>
      <c r="C5" s="33">
        <v>45701</v>
      </c>
      <c r="D5" s="34">
        <v>45689</v>
      </c>
      <c r="E5" s="34">
        <v>45703</v>
      </c>
      <c r="F5" s="35">
        <v>8</v>
      </c>
      <c r="G5" s="35">
        <v>3</v>
      </c>
      <c r="H5" s="32"/>
      <c r="I5" s="37"/>
      <c r="Z5" s="28">
        <f t="shared" si="0"/>
        <v>45693</v>
      </c>
      <c r="AA5" s="28" t="b">
        <f t="shared" ca="1" si="1"/>
        <v>1</v>
      </c>
    </row>
    <row r="6" spans="1:27" x14ac:dyDescent="0.35">
      <c r="A6" s="32">
        <v>45707</v>
      </c>
      <c r="B6" s="32">
        <v>45712</v>
      </c>
      <c r="C6" s="33">
        <v>45715</v>
      </c>
      <c r="D6" s="34">
        <v>45704</v>
      </c>
      <c r="E6" s="34">
        <v>45716</v>
      </c>
      <c r="F6" s="35">
        <v>10</v>
      </c>
      <c r="G6" s="35">
        <v>4</v>
      </c>
      <c r="H6" s="36" t="s">
        <v>68</v>
      </c>
      <c r="I6" s="37"/>
      <c r="Z6" s="28">
        <f t="shared" si="0"/>
        <v>45707</v>
      </c>
      <c r="AA6" s="28" t="b">
        <f t="shared" ca="1" si="1"/>
        <v>1</v>
      </c>
    </row>
    <row r="7" spans="1:27" x14ac:dyDescent="0.35">
      <c r="A7" s="32">
        <v>45721</v>
      </c>
      <c r="B7" s="32">
        <v>45726</v>
      </c>
      <c r="C7" s="33">
        <v>45729</v>
      </c>
      <c r="D7" s="34">
        <v>45717</v>
      </c>
      <c r="E7" s="34">
        <v>45731</v>
      </c>
      <c r="F7" s="35">
        <v>12</v>
      </c>
      <c r="G7" s="35">
        <v>5</v>
      </c>
      <c r="H7" s="32"/>
      <c r="I7" s="37"/>
      <c r="Z7" s="28">
        <f t="shared" si="0"/>
        <v>45721</v>
      </c>
      <c r="AA7" s="28" t="b">
        <f t="shared" ca="1" si="1"/>
        <v>1</v>
      </c>
    </row>
    <row r="8" spans="1:27" ht="15" thickBot="1" x14ac:dyDescent="0.4">
      <c r="A8" s="38">
        <v>45739</v>
      </c>
      <c r="B8" s="38">
        <v>45742</v>
      </c>
      <c r="C8" s="39">
        <v>45747</v>
      </c>
      <c r="D8" s="40">
        <v>45732</v>
      </c>
      <c r="E8" s="40">
        <v>45747</v>
      </c>
      <c r="F8" s="41">
        <v>14</v>
      </c>
      <c r="G8" s="41">
        <v>6</v>
      </c>
      <c r="H8" s="38"/>
      <c r="I8" s="42" t="s">
        <v>69</v>
      </c>
      <c r="Z8" s="28">
        <f t="shared" si="0"/>
        <v>45739</v>
      </c>
      <c r="AA8" s="28" t="b">
        <f t="shared" ca="1" si="1"/>
        <v>1</v>
      </c>
    </row>
    <row r="9" spans="1:27" ht="15" thickTop="1" x14ac:dyDescent="0.35">
      <c r="A9" s="43">
        <v>45754</v>
      </c>
      <c r="B9" s="43">
        <v>45757</v>
      </c>
      <c r="C9" s="44">
        <v>45762</v>
      </c>
      <c r="D9" s="45">
        <v>45748</v>
      </c>
      <c r="E9" s="45">
        <v>45762</v>
      </c>
      <c r="F9" s="46">
        <v>16</v>
      </c>
      <c r="G9" s="46">
        <v>7</v>
      </c>
      <c r="H9" s="43"/>
      <c r="I9" s="37"/>
      <c r="Z9" s="28">
        <f t="shared" si="0"/>
        <v>45754</v>
      </c>
      <c r="AA9" s="28" t="b">
        <f t="shared" ca="1" si="1"/>
        <v>1</v>
      </c>
    </row>
    <row r="10" spans="1:27" x14ac:dyDescent="0.35">
      <c r="A10" s="32">
        <v>45769</v>
      </c>
      <c r="B10" s="32">
        <v>45772</v>
      </c>
      <c r="C10" s="33">
        <v>45777</v>
      </c>
      <c r="D10" s="34">
        <v>45763</v>
      </c>
      <c r="E10" s="34">
        <v>45777</v>
      </c>
      <c r="F10" s="35">
        <v>18</v>
      </c>
      <c r="G10" s="35">
        <v>8</v>
      </c>
      <c r="H10" s="32"/>
      <c r="I10" s="37"/>
      <c r="Z10" s="28">
        <f t="shared" si="0"/>
        <v>45769</v>
      </c>
      <c r="AA10" s="28" t="b">
        <f t="shared" ca="1" si="1"/>
        <v>1</v>
      </c>
    </row>
    <row r="11" spans="1:27" x14ac:dyDescent="0.35">
      <c r="A11" s="32">
        <v>45784</v>
      </c>
      <c r="B11" s="32">
        <v>45789</v>
      </c>
      <c r="C11" s="33">
        <v>45792</v>
      </c>
      <c r="D11" s="34">
        <v>45778</v>
      </c>
      <c r="E11" s="34">
        <v>45792</v>
      </c>
      <c r="F11" s="35">
        <v>21</v>
      </c>
      <c r="G11" s="35">
        <v>9</v>
      </c>
      <c r="H11" s="32"/>
      <c r="I11" s="37"/>
      <c r="Z11" s="28">
        <f t="shared" si="0"/>
        <v>45784</v>
      </c>
      <c r="AA11" s="28" t="b">
        <f t="shared" ca="1" si="1"/>
        <v>1</v>
      </c>
    </row>
    <row r="12" spans="1:27" x14ac:dyDescent="0.35">
      <c r="A12" s="32">
        <v>45797</v>
      </c>
      <c r="B12" s="32">
        <v>45803</v>
      </c>
      <c r="C12" s="33">
        <v>45806</v>
      </c>
      <c r="D12" s="34">
        <v>45793</v>
      </c>
      <c r="E12" s="34">
        <v>45808</v>
      </c>
      <c r="F12" s="35">
        <v>23</v>
      </c>
      <c r="G12" s="35">
        <v>10</v>
      </c>
      <c r="H12" s="36" t="s">
        <v>70</v>
      </c>
      <c r="I12" s="37"/>
      <c r="Z12" s="28">
        <f t="shared" si="0"/>
        <v>45797</v>
      </c>
      <c r="AA12" s="28" t="b">
        <f t="shared" ca="1" si="1"/>
        <v>1</v>
      </c>
    </row>
    <row r="13" spans="1:27" x14ac:dyDescent="0.35">
      <c r="A13" s="32">
        <v>45813</v>
      </c>
      <c r="B13" s="32">
        <v>45818</v>
      </c>
      <c r="C13" s="33">
        <v>45821</v>
      </c>
      <c r="D13" s="34">
        <v>45809</v>
      </c>
      <c r="E13" s="34">
        <v>45823</v>
      </c>
      <c r="F13" s="35">
        <v>25</v>
      </c>
      <c r="G13" s="35">
        <v>11</v>
      </c>
      <c r="H13" s="32"/>
      <c r="I13" s="37"/>
      <c r="Z13" s="28">
        <f t="shared" si="0"/>
        <v>45813</v>
      </c>
      <c r="AA13" s="28" t="b">
        <f t="shared" ca="1" si="1"/>
        <v>1</v>
      </c>
    </row>
    <row r="14" spans="1:27" ht="15" thickBot="1" x14ac:dyDescent="0.4">
      <c r="A14" s="38">
        <v>45828</v>
      </c>
      <c r="B14" s="38">
        <v>45833</v>
      </c>
      <c r="C14" s="39">
        <v>45838</v>
      </c>
      <c r="D14" s="40">
        <v>45824</v>
      </c>
      <c r="E14" s="40">
        <v>45838</v>
      </c>
      <c r="F14" s="41">
        <v>27</v>
      </c>
      <c r="G14" s="41">
        <v>12</v>
      </c>
      <c r="H14" s="47" t="s">
        <v>71</v>
      </c>
      <c r="I14" s="42" t="s">
        <v>72</v>
      </c>
      <c r="Z14" s="28">
        <f t="shared" si="0"/>
        <v>45828</v>
      </c>
      <c r="AA14" s="28" t="b">
        <f t="shared" ca="1" si="1"/>
        <v>1</v>
      </c>
    </row>
    <row r="15" spans="1:27" ht="15" thickTop="1" x14ac:dyDescent="0.35">
      <c r="A15" s="43">
        <v>45845</v>
      </c>
      <c r="B15" s="43">
        <v>45848</v>
      </c>
      <c r="C15" s="44">
        <v>45853</v>
      </c>
      <c r="D15" s="45">
        <v>45839</v>
      </c>
      <c r="E15" s="45">
        <v>45853</v>
      </c>
      <c r="F15" s="46">
        <v>29</v>
      </c>
      <c r="G15" s="46">
        <v>13</v>
      </c>
      <c r="H15" s="48" t="s">
        <v>73</v>
      </c>
      <c r="I15" s="37"/>
      <c r="Z15" s="28">
        <f t="shared" si="0"/>
        <v>45845</v>
      </c>
      <c r="AA15" s="28" t="b">
        <f t="shared" ca="1" si="1"/>
        <v>1</v>
      </c>
    </row>
    <row r="16" spans="1:27" x14ac:dyDescent="0.35">
      <c r="A16" s="32">
        <v>45861</v>
      </c>
      <c r="B16" s="32">
        <v>45866</v>
      </c>
      <c r="C16" s="33">
        <v>45869</v>
      </c>
      <c r="D16" s="34">
        <v>45854</v>
      </c>
      <c r="E16" s="34">
        <v>45869</v>
      </c>
      <c r="F16" s="35">
        <v>32</v>
      </c>
      <c r="G16" s="35">
        <v>14</v>
      </c>
      <c r="H16" s="32"/>
      <c r="I16" s="37"/>
      <c r="Z16" s="28">
        <f t="shared" si="0"/>
        <v>45861</v>
      </c>
      <c r="AA16" s="28" t="b">
        <f t="shared" ca="1" si="1"/>
        <v>1</v>
      </c>
    </row>
    <row r="17" spans="1:27" x14ac:dyDescent="0.35">
      <c r="A17" s="32">
        <v>45875</v>
      </c>
      <c r="B17" s="32">
        <v>45880</v>
      </c>
      <c r="C17" s="33">
        <v>45883</v>
      </c>
      <c r="D17" s="34">
        <v>45870</v>
      </c>
      <c r="E17" s="34">
        <v>45884</v>
      </c>
      <c r="F17" s="35">
        <v>34</v>
      </c>
      <c r="G17" s="35">
        <v>15</v>
      </c>
      <c r="H17" s="32"/>
      <c r="I17" s="37"/>
      <c r="Z17" s="28">
        <f t="shared" si="0"/>
        <v>45875</v>
      </c>
      <c r="AA17" s="28" t="b">
        <f t="shared" ca="1" si="1"/>
        <v>1</v>
      </c>
    </row>
    <row r="18" spans="1:27" x14ac:dyDescent="0.35">
      <c r="A18" s="32">
        <v>45890</v>
      </c>
      <c r="B18" s="32">
        <v>45895</v>
      </c>
      <c r="C18" s="33">
        <v>45898</v>
      </c>
      <c r="D18" s="34">
        <v>45885</v>
      </c>
      <c r="E18" s="34">
        <v>45900</v>
      </c>
      <c r="F18" s="35">
        <v>36</v>
      </c>
      <c r="G18" s="35">
        <v>16</v>
      </c>
      <c r="H18" s="32"/>
      <c r="I18" s="37"/>
      <c r="Z18" s="28">
        <f t="shared" si="0"/>
        <v>45890</v>
      </c>
      <c r="AA18" s="28" t="b">
        <f t="shared" ca="1" si="1"/>
        <v>1</v>
      </c>
    </row>
    <row r="19" spans="1:27" x14ac:dyDescent="0.35">
      <c r="A19" s="32">
        <v>45904</v>
      </c>
      <c r="B19" s="32">
        <v>45910</v>
      </c>
      <c r="C19" s="33">
        <v>45915</v>
      </c>
      <c r="D19" s="34">
        <v>45901</v>
      </c>
      <c r="E19" s="34">
        <v>45915</v>
      </c>
      <c r="F19" s="35">
        <v>38</v>
      </c>
      <c r="G19" s="35">
        <v>17</v>
      </c>
      <c r="H19" s="36" t="s">
        <v>74</v>
      </c>
      <c r="I19" s="37"/>
      <c r="Z19" s="28">
        <f t="shared" si="0"/>
        <v>45904</v>
      </c>
      <c r="AA19" s="28" t="b">
        <f t="shared" ca="1" si="1"/>
        <v>1</v>
      </c>
    </row>
    <row r="20" spans="1:27" ht="15" thickBot="1" x14ac:dyDescent="0.4">
      <c r="A20" s="38">
        <v>45922</v>
      </c>
      <c r="B20" s="38">
        <v>45925</v>
      </c>
      <c r="C20" s="39">
        <v>45930</v>
      </c>
      <c r="D20" s="40">
        <v>45916</v>
      </c>
      <c r="E20" s="40">
        <v>45930</v>
      </c>
      <c r="F20" s="41">
        <v>40</v>
      </c>
      <c r="G20" s="41">
        <v>18</v>
      </c>
      <c r="H20" s="38"/>
      <c r="I20" s="42" t="s">
        <v>75</v>
      </c>
      <c r="Z20" s="28">
        <f t="shared" si="0"/>
        <v>45922</v>
      </c>
      <c r="AA20" s="28" t="b">
        <f t="shared" ca="1" si="1"/>
        <v>1</v>
      </c>
    </row>
    <row r="21" spans="1:27" ht="15" thickTop="1" x14ac:dyDescent="0.35">
      <c r="A21" s="43">
        <v>45936</v>
      </c>
      <c r="B21" s="43">
        <v>45939</v>
      </c>
      <c r="C21" s="44">
        <v>45945</v>
      </c>
      <c r="D21" s="45">
        <v>45931</v>
      </c>
      <c r="E21" s="45">
        <v>45945</v>
      </c>
      <c r="F21" s="46">
        <v>42</v>
      </c>
      <c r="G21" s="46">
        <v>19</v>
      </c>
      <c r="H21" s="48" t="s">
        <v>76</v>
      </c>
      <c r="I21" s="37"/>
      <c r="Z21" s="28">
        <f t="shared" si="0"/>
        <v>45936</v>
      </c>
      <c r="AA21" s="28" t="b">
        <f t="shared" ca="1" si="1"/>
        <v>1</v>
      </c>
    </row>
    <row r="22" spans="1:27" x14ac:dyDescent="0.35">
      <c r="A22" s="32">
        <v>45953</v>
      </c>
      <c r="B22" s="32">
        <v>45958</v>
      </c>
      <c r="C22" s="33">
        <v>45961</v>
      </c>
      <c r="D22" s="34">
        <v>45946</v>
      </c>
      <c r="E22" s="34">
        <v>45961</v>
      </c>
      <c r="F22" s="35">
        <v>45</v>
      </c>
      <c r="G22" s="35">
        <v>20</v>
      </c>
      <c r="H22" s="32"/>
      <c r="I22" s="37"/>
      <c r="Z22" s="28">
        <f t="shared" si="0"/>
        <v>45953</v>
      </c>
      <c r="AA22" s="28" t="b">
        <f t="shared" ca="1" si="1"/>
        <v>1</v>
      </c>
    </row>
    <row r="23" spans="1:27" x14ac:dyDescent="0.35">
      <c r="A23" s="73">
        <v>45966</v>
      </c>
      <c r="B23" s="73">
        <v>45971</v>
      </c>
      <c r="C23" s="33">
        <v>45975</v>
      </c>
      <c r="D23" s="34">
        <v>45962</v>
      </c>
      <c r="E23" s="34">
        <v>45976</v>
      </c>
      <c r="F23" s="35">
        <v>47</v>
      </c>
      <c r="G23" s="35">
        <v>21</v>
      </c>
      <c r="H23" s="36" t="s">
        <v>77</v>
      </c>
      <c r="I23" s="37"/>
      <c r="Z23" s="28">
        <f t="shared" si="0"/>
        <v>45966</v>
      </c>
      <c r="AA23" s="28" t="b">
        <f t="shared" ca="1" si="1"/>
        <v>1</v>
      </c>
    </row>
    <row r="24" spans="1:27" ht="26" x14ac:dyDescent="0.35">
      <c r="A24" s="59">
        <v>45980</v>
      </c>
      <c r="B24" s="49">
        <v>45985</v>
      </c>
      <c r="C24" s="50">
        <v>45989</v>
      </c>
      <c r="D24" s="51">
        <v>45977</v>
      </c>
      <c r="E24" s="51">
        <v>45991</v>
      </c>
      <c r="F24" s="52">
        <v>49</v>
      </c>
      <c r="G24" s="52">
        <v>22</v>
      </c>
      <c r="H24" s="53" t="s">
        <v>78</v>
      </c>
      <c r="I24" s="37"/>
      <c r="Z24" s="28">
        <f t="shared" si="0"/>
        <v>45980</v>
      </c>
      <c r="AA24" s="28" t="b">
        <f t="shared" ca="1" si="1"/>
        <v>1</v>
      </c>
    </row>
    <row r="25" spans="1:27" x14ac:dyDescent="0.35">
      <c r="A25" s="32">
        <v>45996</v>
      </c>
      <c r="B25" s="32">
        <v>46001</v>
      </c>
      <c r="C25" s="33">
        <v>46006</v>
      </c>
      <c r="D25" s="34">
        <v>45992</v>
      </c>
      <c r="E25" s="34">
        <v>46006</v>
      </c>
      <c r="F25" s="35">
        <v>51</v>
      </c>
      <c r="G25" s="35">
        <v>23</v>
      </c>
      <c r="H25" s="32"/>
      <c r="I25" s="37"/>
      <c r="Z25" s="28">
        <f t="shared" si="0"/>
        <v>45996</v>
      </c>
      <c r="AA25" s="28" t="b">
        <f t="shared" ca="1" si="1"/>
        <v>1</v>
      </c>
    </row>
    <row r="26" spans="1:27" ht="15" thickBot="1" x14ac:dyDescent="0.4">
      <c r="A26" s="60">
        <v>46010</v>
      </c>
      <c r="B26" s="38">
        <v>46017</v>
      </c>
      <c r="C26" s="39">
        <v>46022</v>
      </c>
      <c r="D26" s="40">
        <v>46007</v>
      </c>
      <c r="E26" s="40">
        <v>46022</v>
      </c>
      <c r="F26" s="41">
        <v>53</v>
      </c>
      <c r="G26" s="41">
        <v>24</v>
      </c>
      <c r="H26" s="47" t="s">
        <v>79</v>
      </c>
      <c r="I26" s="42" t="s">
        <v>80</v>
      </c>
      <c r="Z26" s="28">
        <f t="shared" si="0"/>
        <v>46010</v>
      </c>
      <c r="AA26" s="28" t="b">
        <f t="shared" ca="1" si="1"/>
        <v>1</v>
      </c>
    </row>
    <row r="27" spans="1:27" ht="15" thickTop="1" x14ac:dyDescent="0.35"/>
    <row r="30" spans="1:27" x14ac:dyDescent="0.35">
      <c r="A30" s="54" t="e">
        <f ca="1">YEAR($A2)&lt;&gt;YEAR(TODAY())</f>
        <v>#VALUE!</v>
      </c>
    </row>
  </sheetData>
  <mergeCells count="1">
    <mergeCell ref="A1:E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966EB-8BA6-499A-B7D7-C469EB770159}">
  <dimension ref="A1:AA29"/>
  <sheetViews>
    <sheetView zoomScaleNormal="100" workbookViewId="0">
      <selection activeCell="K30" sqref="K30"/>
    </sheetView>
  </sheetViews>
  <sheetFormatPr defaultRowHeight="14.5" x14ac:dyDescent="0.35"/>
  <cols>
    <col min="1" max="1" width="28.08984375" style="54" bestFit="1" customWidth="1"/>
    <col min="2" max="2" width="27" style="54" customWidth="1"/>
    <col min="3" max="3" width="33.90625" style="55" bestFit="1" customWidth="1"/>
    <col min="4" max="4" width="28.36328125" style="55" bestFit="1" customWidth="1"/>
    <col min="5" max="5" width="13.453125" style="54" customWidth="1"/>
    <col min="6" max="6" width="12.7265625" style="54" customWidth="1"/>
    <col min="7" max="8" width="10.54296875" style="55" customWidth="1"/>
    <col min="9" max="9" width="81.90625" style="28" bestFit="1" customWidth="1"/>
    <col min="10" max="10" width="8.7265625" style="28"/>
    <col min="11" max="12" width="10.08984375" style="28" bestFit="1" customWidth="1"/>
    <col min="13" max="14" width="8.7265625" style="28"/>
    <col min="15" max="25" width="0" style="28" hidden="1" customWidth="1"/>
    <col min="26" max="16384" width="8.7265625" style="28"/>
  </cols>
  <sheetData>
    <row r="1" spans="1:27" ht="21" x14ac:dyDescent="0.5">
      <c r="A1" s="150" t="s">
        <v>119</v>
      </c>
      <c r="B1" s="150"/>
      <c r="C1" s="150"/>
      <c r="D1" s="150"/>
      <c r="E1" s="150"/>
      <c r="F1" s="150"/>
      <c r="G1" s="26"/>
      <c r="H1" s="26"/>
      <c r="I1" s="27"/>
      <c r="J1" s="151" t="s">
        <v>81</v>
      </c>
      <c r="K1" s="151"/>
      <c r="L1" s="151"/>
      <c r="M1" s="56"/>
    </row>
    <row r="2" spans="1:27" s="31" customFormat="1" ht="29" customHeight="1" x14ac:dyDescent="0.35">
      <c r="A2" s="29" t="s">
        <v>57</v>
      </c>
      <c r="B2" s="29" t="s">
        <v>82</v>
      </c>
      <c r="C2" s="30" t="s">
        <v>83</v>
      </c>
      <c r="D2" s="30" t="s">
        <v>59</v>
      </c>
      <c r="E2" s="29" t="s">
        <v>60</v>
      </c>
      <c r="F2" s="29" t="s">
        <v>61</v>
      </c>
      <c r="G2" s="29" t="s">
        <v>62</v>
      </c>
      <c r="H2" s="29" t="s">
        <v>63</v>
      </c>
      <c r="I2" s="29" t="s">
        <v>64</v>
      </c>
      <c r="J2" s="29" t="s">
        <v>84</v>
      </c>
      <c r="K2" s="29" t="s">
        <v>85</v>
      </c>
      <c r="L2" s="29" t="s">
        <v>86</v>
      </c>
      <c r="M2" s="29" t="s">
        <v>65</v>
      </c>
      <c r="Z2" s="31" t="s">
        <v>126</v>
      </c>
    </row>
    <row r="3" spans="1:27" x14ac:dyDescent="0.35">
      <c r="A3" s="32">
        <v>45657</v>
      </c>
      <c r="B3" s="32">
        <f>C3-1</f>
        <v>45662</v>
      </c>
      <c r="C3" s="32">
        <v>45663</v>
      </c>
      <c r="D3" s="33">
        <v>45667</v>
      </c>
      <c r="E3" s="34">
        <v>46012</v>
      </c>
      <c r="F3" s="34">
        <v>45660</v>
      </c>
      <c r="G3" s="35">
        <v>3</v>
      </c>
      <c r="H3" s="35">
        <v>1</v>
      </c>
      <c r="I3" s="36" t="s">
        <v>66</v>
      </c>
      <c r="J3" s="35"/>
      <c r="K3" s="34"/>
      <c r="L3" s="34"/>
      <c r="M3" s="57"/>
      <c r="Z3" s="79">
        <f>IFERROR(--$A3, DATEVALUE($A3))</f>
        <v>45657</v>
      </c>
      <c r="AA3" s="79" t="b">
        <f ca="1">AND($A3&gt;=DATE(YEAR(TODAY()),1,1), $Z3&lt;=DATE(YEAR(TODAY()),12,31))</f>
        <v>0</v>
      </c>
    </row>
    <row r="4" spans="1:27" x14ac:dyDescent="0.35">
      <c r="A4" s="32">
        <v>45671</v>
      </c>
      <c r="B4" s="32">
        <f t="shared" ref="B4:B27" si="0">C4-1</f>
        <v>45676</v>
      </c>
      <c r="C4" s="32">
        <v>45677</v>
      </c>
      <c r="D4" s="33">
        <v>45681</v>
      </c>
      <c r="E4" s="34">
        <v>45661</v>
      </c>
      <c r="F4" s="34">
        <v>45674</v>
      </c>
      <c r="G4" s="35">
        <v>5</v>
      </c>
      <c r="H4" s="35">
        <v>2</v>
      </c>
      <c r="I4" s="32"/>
      <c r="J4" s="35">
        <f>NETWORKDAYS(K4,L4)</f>
        <v>10</v>
      </c>
      <c r="K4" s="34">
        <f>E5</f>
        <v>45675</v>
      </c>
      <c r="L4" s="34">
        <f>EOMONTH(F4,0)</f>
        <v>45688</v>
      </c>
      <c r="M4" s="57"/>
      <c r="Z4" s="79">
        <f t="shared" ref="Z4:Z28" si="1">IFERROR(--$A4, DATEVALUE($A4))</f>
        <v>45671</v>
      </c>
      <c r="AA4" s="79" t="b">
        <f t="shared" ref="AA4:AA28" ca="1" si="2">AND($A4&gt;=DATE(YEAR(TODAY()),1,1), $Z4&lt;=DATE(YEAR(TODAY()),12,31))</f>
        <v>1</v>
      </c>
    </row>
    <row r="5" spans="1:27" x14ac:dyDescent="0.35">
      <c r="A5" s="32">
        <v>45686</v>
      </c>
      <c r="B5" s="32">
        <f t="shared" si="0"/>
        <v>45690</v>
      </c>
      <c r="C5" s="32">
        <v>45691</v>
      </c>
      <c r="D5" s="33">
        <v>45694</v>
      </c>
      <c r="E5" s="34">
        <v>45675</v>
      </c>
      <c r="F5" s="34">
        <v>45688</v>
      </c>
      <c r="G5" s="35">
        <v>7</v>
      </c>
      <c r="H5" s="35">
        <v>3</v>
      </c>
      <c r="I5" s="36" t="s">
        <v>67</v>
      </c>
      <c r="J5" s="35"/>
      <c r="K5" s="34"/>
      <c r="L5" s="34"/>
      <c r="M5" s="57"/>
      <c r="Z5" s="79">
        <f t="shared" si="1"/>
        <v>45686</v>
      </c>
      <c r="AA5" s="79" t="b">
        <f t="shared" ca="1" si="2"/>
        <v>1</v>
      </c>
    </row>
    <row r="6" spans="1:27" x14ac:dyDescent="0.35">
      <c r="A6" s="32">
        <v>45699</v>
      </c>
      <c r="B6" s="32">
        <f t="shared" si="0"/>
        <v>45704</v>
      </c>
      <c r="C6" s="32">
        <v>45705</v>
      </c>
      <c r="D6" s="33">
        <v>45708</v>
      </c>
      <c r="E6" s="34">
        <v>45689</v>
      </c>
      <c r="F6" s="34">
        <v>45702</v>
      </c>
      <c r="G6" s="35">
        <v>9</v>
      </c>
      <c r="H6" s="35">
        <v>4</v>
      </c>
      <c r="I6" s="36" t="s">
        <v>68</v>
      </c>
      <c r="J6" s="35">
        <f>NETWORKDAYS(K6,L6)</f>
        <v>10</v>
      </c>
      <c r="K6" s="34">
        <f>E7</f>
        <v>45703</v>
      </c>
      <c r="L6" s="34">
        <f>EOMONTH(F6,0)</f>
        <v>45716</v>
      </c>
      <c r="M6" s="57"/>
      <c r="Z6" s="79">
        <f t="shared" si="1"/>
        <v>45699</v>
      </c>
      <c r="AA6" s="79" t="b">
        <f t="shared" ca="1" si="2"/>
        <v>1</v>
      </c>
    </row>
    <row r="7" spans="1:27" x14ac:dyDescent="0.35">
      <c r="A7" s="32">
        <v>45714</v>
      </c>
      <c r="B7" s="32">
        <f t="shared" si="0"/>
        <v>45718</v>
      </c>
      <c r="C7" s="32">
        <v>45719</v>
      </c>
      <c r="D7" s="33">
        <v>45722</v>
      </c>
      <c r="E7" s="34">
        <v>45703</v>
      </c>
      <c r="F7" s="34">
        <v>45716</v>
      </c>
      <c r="G7" s="35">
        <v>11</v>
      </c>
      <c r="H7" s="35">
        <v>5</v>
      </c>
      <c r="I7" s="32"/>
      <c r="J7" s="35"/>
      <c r="K7" s="34"/>
      <c r="L7" s="34"/>
      <c r="M7" s="57"/>
      <c r="Z7" s="79">
        <f t="shared" si="1"/>
        <v>45714</v>
      </c>
      <c r="AA7" s="79" t="b">
        <f t="shared" ca="1" si="2"/>
        <v>1</v>
      </c>
    </row>
    <row r="8" spans="1:27" ht="15" thickBot="1" x14ac:dyDescent="0.4">
      <c r="A8" s="38">
        <v>45728</v>
      </c>
      <c r="B8" s="38">
        <f t="shared" si="0"/>
        <v>45732</v>
      </c>
      <c r="C8" s="38">
        <v>45733</v>
      </c>
      <c r="D8" s="39">
        <v>45736</v>
      </c>
      <c r="E8" s="40">
        <v>45717</v>
      </c>
      <c r="F8" s="40">
        <v>45730</v>
      </c>
      <c r="G8" s="41">
        <v>13</v>
      </c>
      <c r="H8" s="41">
        <v>6</v>
      </c>
      <c r="I8" s="38"/>
      <c r="J8" s="41">
        <f>NETWORKDAYS(K8,L8)</f>
        <v>11</v>
      </c>
      <c r="K8" s="40">
        <f>E9</f>
        <v>45731</v>
      </c>
      <c r="L8" s="40">
        <f>EOMONTH(F8,0)</f>
        <v>45747</v>
      </c>
      <c r="M8" s="58" t="s">
        <v>69</v>
      </c>
      <c r="Z8" s="79">
        <f t="shared" si="1"/>
        <v>45728</v>
      </c>
      <c r="AA8" s="79" t="b">
        <f t="shared" ca="1" si="2"/>
        <v>1</v>
      </c>
    </row>
    <row r="9" spans="1:27" ht="15" thickTop="1" x14ac:dyDescent="0.35">
      <c r="A9" s="43">
        <v>45742</v>
      </c>
      <c r="B9" s="43">
        <f t="shared" si="0"/>
        <v>45746</v>
      </c>
      <c r="C9" s="43">
        <v>45747</v>
      </c>
      <c r="D9" s="44">
        <v>45750</v>
      </c>
      <c r="E9" s="45">
        <v>45731</v>
      </c>
      <c r="F9" s="45">
        <v>45744</v>
      </c>
      <c r="G9" s="46">
        <v>15</v>
      </c>
      <c r="H9" s="46">
        <v>7</v>
      </c>
      <c r="I9" s="43"/>
      <c r="J9" s="46"/>
      <c r="K9" s="45"/>
      <c r="L9" s="45"/>
      <c r="M9" s="57"/>
      <c r="Z9" s="79">
        <f t="shared" si="1"/>
        <v>45742</v>
      </c>
      <c r="AA9" s="79" t="b">
        <f t="shared" ca="1" si="2"/>
        <v>1</v>
      </c>
    </row>
    <row r="10" spans="1:27" x14ac:dyDescent="0.35">
      <c r="A10" s="32">
        <v>45756</v>
      </c>
      <c r="B10" s="32">
        <f t="shared" si="0"/>
        <v>45760</v>
      </c>
      <c r="C10" s="32">
        <v>45761</v>
      </c>
      <c r="D10" s="33">
        <v>45764</v>
      </c>
      <c r="E10" s="34">
        <v>45745</v>
      </c>
      <c r="F10" s="34">
        <v>45758</v>
      </c>
      <c r="G10" s="35">
        <v>17</v>
      </c>
      <c r="H10" s="35">
        <v>8</v>
      </c>
      <c r="I10" s="32"/>
      <c r="J10" s="35">
        <f>NETWORKDAYS(K10,L10)</f>
        <v>13</v>
      </c>
      <c r="K10" s="34">
        <f>E11</f>
        <v>45759</v>
      </c>
      <c r="L10" s="34">
        <f>EOMONTH(F10,0)</f>
        <v>45777</v>
      </c>
      <c r="M10" s="57"/>
      <c r="Z10" s="79">
        <f t="shared" si="1"/>
        <v>45756</v>
      </c>
      <c r="AA10" s="79" t="b">
        <f t="shared" ca="1" si="2"/>
        <v>1</v>
      </c>
    </row>
    <row r="11" spans="1:27" x14ac:dyDescent="0.35">
      <c r="A11" s="32">
        <v>45770</v>
      </c>
      <c r="B11" s="32">
        <f t="shared" si="0"/>
        <v>45774</v>
      </c>
      <c r="C11" s="32">
        <v>45775</v>
      </c>
      <c r="D11" s="33">
        <v>45778</v>
      </c>
      <c r="E11" s="34">
        <v>45759</v>
      </c>
      <c r="F11" s="34">
        <v>45772</v>
      </c>
      <c r="G11" s="35">
        <v>19</v>
      </c>
      <c r="H11" s="35">
        <v>9</v>
      </c>
      <c r="I11" s="32"/>
      <c r="J11" s="35"/>
      <c r="K11" s="34"/>
      <c r="L11" s="34"/>
      <c r="M11" s="57"/>
      <c r="Z11" s="79">
        <f t="shared" si="1"/>
        <v>45770</v>
      </c>
      <c r="AA11" s="79" t="b">
        <f t="shared" ca="1" si="2"/>
        <v>1</v>
      </c>
    </row>
    <row r="12" spans="1:27" x14ac:dyDescent="0.35">
      <c r="A12" s="32">
        <v>45784</v>
      </c>
      <c r="B12" s="32">
        <f t="shared" si="0"/>
        <v>45788</v>
      </c>
      <c r="C12" s="32">
        <v>45789</v>
      </c>
      <c r="D12" s="33">
        <v>45792</v>
      </c>
      <c r="E12" s="34">
        <v>45773</v>
      </c>
      <c r="F12" s="34">
        <v>45786</v>
      </c>
      <c r="G12" s="35">
        <v>21</v>
      </c>
      <c r="H12" s="35">
        <v>10</v>
      </c>
      <c r="I12" s="32"/>
      <c r="J12" s="35"/>
      <c r="K12" s="34"/>
      <c r="L12" s="34"/>
      <c r="M12" s="57"/>
      <c r="Z12" s="79">
        <f t="shared" si="1"/>
        <v>45784</v>
      </c>
      <c r="AA12" s="79" t="b">
        <f t="shared" ca="1" si="2"/>
        <v>1</v>
      </c>
    </row>
    <row r="13" spans="1:27" x14ac:dyDescent="0.35">
      <c r="A13" s="32">
        <v>45797</v>
      </c>
      <c r="B13" s="32">
        <f t="shared" si="0"/>
        <v>45802</v>
      </c>
      <c r="C13" s="32">
        <v>45803</v>
      </c>
      <c r="D13" s="33">
        <v>45806</v>
      </c>
      <c r="E13" s="34">
        <v>45787</v>
      </c>
      <c r="F13" s="34">
        <v>45800</v>
      </c>
      <c r="G13" s="35">
        <v>23</v>
      </c>
      <c r="H13" s="35">
        <v>11</v>
      </c>
      <c r="I13" s="36" t="s">
        <v>70</v>
      </c>
      <c r="J13" s="35">
        <f>NETWORKDAYS(K13,L13)</f>
        <v>5</v>
      </c>
      <c r="K13" s="34">
        <f>E14</f>
        <v>45801</v>
      </c>
      <c r="L13" s="34">
        <f>EOMONTH(F13,0)</f>
        <v>45808</v>
      </c>
      <c r="M13" s="57"/>
      <c r="Z13" s="79">
        <f t="shared" si="1"/>
        <v>45797</v>
      </c>
      <c r="AA13" s="79" t="b">
        <f t="shared" ca="1" si="2"/>
        <v>1</v>
      </c>
    </row>
    <row r="14" spans="1:27" x14ac:dyDescent="0.35">
      <c r="A14" s="32">
        <v>45812</v>
      </c>
      <c r="B14" s="32">
        <f t="shared" si="0"/>
        <v>45816</v>
      </c>
      <c r="C14" s="32">
        <v>45817</v>
      </c>
      <c r="D14" s="33">
        <v>45820</v>
      </c>
      <c r="E14" s="34">
        <v>45801</v>
      </c>
      <c r="F14" s="34">
        <v>45814</v>
      </c>
      <c r="G14" s="35">
        <v>25</v>
      </c>
      <c r="H14" s="35">
        <v>12</v>
      </c>
      <c r="I14" s="32"/>
      <c r="J14" s="35"/>
      <c r="K14" s="34"/>
      <c r="L14" s="34"/>
      <c r="M14" s="57"/>
      <c r="Z14" s="79">
        <f t="shared" si="1"/>
        <v>45812</v>
      </c>
      <c r="AA14" s="79" t="b">
        <f t="shared" ca="1" si="2"/>
        <v>1</v>
      </c>
    </row>
    <row r="15" spans="1:27" ht="15" thickBot="1" x14ac:dyDescent="0.4">
      <c r="A15" s="38">
        <v>45825</v>
      </c>
      <c r="B15" s="38">
        <f t="shared" si="0"/>
        <v>45830</v>
      </c>
      <c r="C15" s="38">
        <v>45831</v>
      </c>
      <c r="D15" s="39">
        <v>45834</v>
      </c>
      <c r="E15" s="40">
        <v>45815</v>
      </c>
      <c r="F15" s="40">
        <v>45828</v>
      </c>
      <c r="G15" s="41">
        <v>27</v>
      </c>
      <c r="H15" s="41">
        <v>13</v>
      </c>
      <c r="I15" s="47" t="s">
        <v>71</v>
      </c>
      <c r="J15" s="41">
        <f>NETWORKDAYS(K15,L15)</f>
        <v>6</v>
      </c>
      <c r="K15" s="40">
        <f>E16</f>
        <v>45829</v>
      </c>
      <c r="L15" s="40">
        <f>EOMONTH(F15,0)</f>
        <v>45838</v>
      </c>
      <c r="M15" s="58" t="s">
        <v>72</v>
      </c>
      <c r="Z15" s="79">
        <f t="shared" si="1"/>
        <v>45825</v>
      </c>
      <c r="AA15" s="79" t="b">
        <f t="shared" ca="1" si="2"/>
        <v>1</v>
      </c>
    </row>
    <row r="16" spans="1:27" ht="15" thickTop="1" x14ac:dyDescent="0.35">
      <c r="A16" s="43">
        <v>45839</v>
      </c>
      <c r="B16" s="43">
        <f t="shared" si="0"/>
        <v>45844</v>
      </c>
      <c r="C16" s="43">
        <v>45845</v>
      </c>
      <c r="D16" s="44">
        <v>45848</v>
      </c>
      <c r="E16" s="45">
        <v>45829</v>
      </c>
      <c r="F16" s="45">
        <v>45842</v>
      </c>
      <c r="G16" s="46">
        <v>29</v>
      </c>
      <c r="H16" s="46">
        <v>14</v>
      </c>
      <c r="I16" s="48" t="s">
        <v>73</v>
      </c>
      <c r="J16" s="46"/>
      <c r="K16" s="45"/>
      <c r="L16" s="45"/>
      <c r="M16" s="57"/>
      <c r="Z16" s="79">
        <f t="shared" si="1"/>
        <v>45839</v>
      </c>
      <c r="AA16" s="79" t="b">
        <f t="shared" ca="1" si="2"/>
        <v>1</v>
      </c>
    </row>
    <row r="17" spans="1:27" x14ac:dyDescent="0.35">
      <c r="A17" s="32">
        <v>45854</v>
      </c>
      <c r="B17" s="32">
        <f t="shared" si="0"/>
        <v>45858</v>
      </c>
      <c r="C17" s="32">
        <v>45859</v>
      </c>
      <c r="D17" s="33">
        <v>45862</v>
      </c>
      <c r="E17" s="34">
        <v>45843</v>
      </c>
      <c r="F17" s="34">
        <v>45856</v>
      </c>
      <c r="G17" s="35">
        <v>31</v>
      </c>
      <c r="H17" s="35">
        <v>15</v>
      </c>
      <c r="I17" s="32"/>
      <c r="J17" s="35">
        <f>NETWORKDAYS(K17,L17)</f>
        <v>9</v>
      </c>
      <c r="K17" s="34">
        <f>E18</f>
        <v>45857</v>
      </c>
      <c r="L17" s="34">
        <f>EOMONTH(F17,0)</f>
        <v>45869</v>
      </c>
      <c r="M17" s="57"/>
      <c r="Z17" s="79">
        <f t="shared" si="1"/>
        <v>45854</v>
      </c>
      <c r="AA17" s="79" t="b">
        <f t="shared" ca="1" si="2"/>
        <v>1</v>
      </c>
    </row>
    <row r="18" spans="1:27" x14ac:dyDescent="0.35">
      <c r="A18" s="32">
        <v>45868</v>
      </c>
      <c r="B18" s="32">
        <f t="shared" si="0"/>
        <v>45872</v>
      </c>
      <c r="C18" s="32">
        <v>45873</v>
      </c>
      <c r="D18" s="33">
        <v>45876</v>
      </c>
      <c r="E18" s="34">
        <v>45857</v>
      </c>
      <c r="F18" s="34">
        <v>45870</v>
      </c>
      <c r="G18" s="35">
        <v>33</v>
      </c>
      <c r="H18" s="35">
        <v>16</v>
      </c>
      <c r="I18" s="32"/>
      <c r="J18" s="35"/>
      <c r="K18" s="34"/>
      <c r="L18" s="34"/>
      <c r="M18" s="57"/>
      <c r="Z18" s="79">
        <f t="shared" si="1"/>
        <v>45868</v>
      </c>
      <c r="AA18" s="79" t="b">
        <f t="shared" ca="1" si="2"/>
        <v>1</v>
      </c>
    </row>
    <row r="19" spans="1:27" x14ac:dyDescent="0.35">
      <c r="A19" s="32">
        <v>45882</v>
      </c>
      <c r="B19" s="32">
        <f t="shared" si="0"/>
        <v>45886</v>
      </c>
      <c r="C19" s="32">
        <v>45887</v>
      </c>
      <c r="D19" s="33">
        <v>45890</v>
      </c>
      <c r="E19" s="34">
        <v>45871</v>
      </c>
      <c r="F19" s="34">
        <v>45884</v>
      </c>
      <c r="G19" s="35">
        <v>35</v>
      </c>
      <c r="H19" s="35">
        <v>17</v>
      </c>
      <c r="I19" s="32"/>
      <c r="J19" s="35">
        <f>NETWORKDAYS(K19,L19)</f>
        <v>10</v>
      </c>
      <c r="K19" s="34">
        <f>E20</f>
        <v>45885</v>
      </c>
      <c r="L19" s="34">
        <f>EOMONTH(F19,0)</f>
        <v>45900</v>
      </c>
      <c r="M19" s="57"/>
      <c r="Z19" s="79">
        <f t="shared" si="1"/>
        <v>45882</v>
      </c>
      <c r="AA19" s="79" t="b">
        <f t="shared" ca="1" si="2"/>
        <v>1</v>
      </c>
    </row>
    <row r="20" spans="1:27" x14ac:dyDescent="0.35">
      <c r="A20" s="32">
        <v>45896</v>
      </c>
      <c r="B20" s="32">
        <f t="shared" si="0"/>
        <v>45900</v>
      </c>
      <c r="C20" s="32">
        <v>45901</v>
      </c>
      <c r="D20" s="33">
        <v>45904</v>
      </c>
      <c r="E20" s="34">
        <v>45885</v>
      </c>
      <c r="F20" s="34">
        <v>45898</v>
      </c>
      <c r="G20" s="35">
        <v>37</v>
      </c>
      <c r="H20" s="35">
        <v>18</v>
      </c>
      <c r="I20" s="32"/>
      <c r="J20" s="35"/>
      <c r="K20" s="34"/>
      <c r="L20" s="34"/>
      <c r="M20" s="57"/>
      <c r="Z20" s="79">
        <f t="shared" si="1"/>
        <v>45896</v>
      </c>
      <c r="AA20" s="79" t="b">
        <f t="shared" ca="1" si="2"/>
        <v>1</v>
      </c>
    </row>
    <row r="21" spans="1:27" ht="15" thickBot="1" x14ac:dyDescent="0.4">
      <c r="A21" s="38">
        <v>45910</v>
      </c>
      <c r="B21" s="38">
        <f t="shared" si="0"/>
        <v>45914</v>
      </c>
      <c r="C21" s="38">
        <v>45915</v>
      </c>
      <c r="D21" s="39">
        <v>45918</v>
      </c>
      <c r="E21" s="40">
        <v>45899</v>
      </c>
      <c r="F21" s="40">
        <v>45912</v>
      </c>
      <c r="G21" s="41">
        <v>39</v>
      </c>
      <c r="H21" s="41">
        <v>19</v>
      </c>
      <c r="I21" s="47" t="s">
        <v>74</v>
      </c>
      <c r="J21" s="41">
        <f>NETWORKDAYS(K21,L21)</f>
        <v>12</v>
      </c>
      <c r="K21" s="40">
        <f>E22</f>
        <v>45913</v>
      </c>
      <c r="L21" s="40">
        <f>EOMONTH(F21,0)</f>
        <v>45930</v>
      </c>
      <c r="M21" s="58" t="s">
        <v>75</v>
      </c>
      <c r="Z21" s="79">
        <f t="shared" si="1"/>
        <v>45910</v>
      </c>
      <c r="AA21" s="79" t="b">
        <f t="shared" ca="1" si="2"/>
        <v>1</v>
      </c>
    </row>
    <row r="22" spans="1:27" ht="15" thickTop="1" x14ac:dyDescent="0.35">
      <c r="A22" s="43">
        <v>45924</v>
      </c>
      <c r="B22" s="43">
        <f t="shared" si="0"/>
        <v>45929</v>
      </c>
      <c r="C22" s="43">
        <v>45930</v>
      </c>
      <c r="D22" s="44">
        <v>45933</v>
      </c>
      <c r="E22" s="45">
        <v>45913</v>
      </c>
      <c r="F22" s="45">
        <v>45926</v>
      </c>
      <c r="G22" s="46">
        <v>41</v>
      </c>
      <c r="H22" s="46">
        <v>20</v>
      </c>
      <c r="I22" s="43"/>
      <c r="J22" s="46"/>
      <c r="K22" s="45"/>
      <c r="L22" s="45"/>
      <c r="M22" s="57"/>
      <c r="Z22" s="79">
        <f t="shared" si="1"/>
        <v>45924</v>
      </c>
      <c r="AA22" s="79" t="b">
        <f t="shared" ca="1" si="2"/>
        <v>1</v>
      </c>
    </row>
    <row r="23" spans="1:27" x14ac:dyDescent="0.35">
      <c r="A23" s="32">
        <v>45939</v>
      </c>
      <c r="B23" s="32">
        <f t="shared" si="0"/>
        <v>45943</v>
      </c>
      <c r="C23" s="32">
        <v>45944</v>
      </c>
      <c r="D23" s="33">
        <v>45947</v>
      </c>
      <c r="E23" s="34">
        <v>45927</v>
      </c>
      <c r="F23" s="34">
        <v>45940</v>
      </c>
      <c r="G23" s="35">
        <v>43</v>
      </c>
      <c r="H23" s="35">
        <v>21</v>
      </c>
      <c r="I23" s="36" t="s">
        <v>76</v>
      </c>
      <c r="J23" s="46"/>
      <c r="K23" s="45"/>
      <c r="L23" s="45"/>
      <c r="M23" s="57"/>
      <c r="Z23" s="79">
        <f t="shared" si="1"/>
        <v>45939</v>
      </c>
      <c r="AA23" s="79" t="b">
        <f t="shared" ca="1" si="2"/>
        <v>1</v>
      </c>
    </row>
    <row r="24" spans="1:27" x14ac:dyDescent="0.35">
      <c r="A24" s="32">
        <v>45953</v>
      </c>
      <c r="B24" s="32">
        <f t="shared" si="0"/>
        <v>45957</v>
      </c>
      <c r="C24" s="32">
        <v>45958</v>
      </c>
      <c r="D24" s="33">
        <v>45961</v>
      </c>
      <c r="E24" s="34">
        <v>45941</v>
      </c>
      <c r="F24" s="34">
        <v>45954</v>
      </c>
      <c r="G24" s="35">
        <v>45</v>
      </c>
      <c r="H24" s="35">
        <v>22</v>
      </c>
      <c r="I24" s="36"/>
      <c r="J24" s="35">
        <f>NETWORKDAYS(K24,L24)</f>
        <v>5</v>
      </c>
      <c r="K24" s="34">
        <f>E25</f>
        <v>45955</v>
      </c>
      <c r="L24" s="34">
        <f>EOMONTH(F24,0)</f>
        <v>45961</v>
      </c>
      <c r="M24" s="57"/>
      <c r="Z24" s="79">
        <f t="shared" si="1"/>
        <v>45953</v>
      </c>
      <c r="AA24" s="79" t="b">
        <f t="shared" ca="1" si="2"/>
        <v>1</v>
      </c>
    </row>
    <row r="25" spans="1:27" x14ac:dyDescent="0.35">
      <c r="A25" s="32">
        <v>45967</v>
      </c>
      <c r="B25" s="32">
        <f t="shared" si="0"/>
        <v>45971</v>
      </c>
      <c r="C25" s="32">
        <v>45972</v>
      </c>
      <c r="D25" s="33">
        <v>45975</v>
      </c>
      <c r="E25" s="34">
        <v>45955</v>
      </c>
      <c r="F25" s="34">
        <v>45968</v>
      </c>
      <c r="G25" s="35">
        <v>47</v>
      </c>
      <c r="H25" s="35">
        <v>23</v>
      </c>
      <c r="I25" s="36" t="s">
        <v>77</v>
      </c>
      <c r="J25" s="46"/>
      <c r="K25" s="45"/>
      <c r="L25" s="45"/>
      <c r="M25" s="57"/>
      <c r="Z25" s="79">
        <f t="shared" si="1"/>
        <v>45967</v>
      </c>
      <c r="AA25" s="79" t="b">
        <f t="shared" ca="1" si="2"/>
        <v>1</v>
      </c>
    </row>
    <row r="26" spans="1:27" ht="26" x14ac:dyDescent="0.35">
      <c r="A26" s="49">
        <v>45980</v>
      </c>
      <c r="B26" s="59">
        <f>C26-3</f>
        <v>45982</v>
      </c>
      <c r="C26" s="49">
        <v>45985</v>
      </c>
      <c r="D26" s="50">
        <v>45989</v>
      </c>
      <c r="E26" s="51">
        <v>45969</v>
      </c>
      <c r="F26" s="51">
        <v>45982</v>
      </c>
      <c r="G26" s="52">
        <v>49</v>
      </c>
      <c r="H26" s="52">
        <v>24</v>
      </c>
      <c r="I26" s="53" t="s">
        <v>78</v>
      </c>
      <c r="J26" s="35">
        <f>NETWORKDAYS(K26,L26)</f>
        <v>5</v>
      </c>
      <c r="K26" s="34">
        <f>E27</f>
        <v>45983</v>
      </c>
      <c r="L26" s="34">
        <f>EOMONTH(F26,0)</f>
        <v>45991</v>
      </c>
      <c r="M26" s="57"/>
      <c r="Z26" s="79">
        <f t="shared" si="1"/>
        <v>45980</v>
      </c>
      <c r="AA26" s="79" t="b">
        <f t="shared" ca="1" si="2"/>
        <v>1</v>
      </c>
    </row>
    <row r="27" spans="1:27" x14ac:dyDescent="0.35">
      <c r="A27" s="32">
        <v>45995</v>
      </c>
      <c r="B27" s="32">
        <f t="shared" si="0"/>
        <v>45999</v>
      </c>
      <c r="C27" s="32">
        <v>46000</v>
      </c>
      <c r="D27" s="33">
        <v>46003</v>
      </c>
      <c r="E27" s="34">
        <v>45983</v>
      </c>
      <c r="F27" s="34">
        <v>45996</v>
      </c>
      <c r="G27" s="35">
        <v>51</v>
      </c>
      <c r="H27" s="35">
        <v>25</v>
      </c>
      <c r="I27" s="36"/>
      <c r="J27" s="35"/>
      <c r="K27" s="34"/>
      <c r="L27" s="34"/>
      <c r="M27" s="57"/>
      <c r="Z27" s="79">
        <f t="shared" si="1"/>
        <v>45995</v>
      </c>
      <c r="AA27" s="79" t="b">
        <f t="shared" ca="1" si="2"/>
        <v>1</v>
      </c>
    </row>
    <row r="28" spans="1:27" ht="15" thickBot="1" x14ac:dyDescent="0.4">
      <c r="A28" s="38">
        <v>46006</v>
      </c>
      <c r="B28" s="60">
        <f>C28-3</f>
        <v>46010</v>
      </c>
      <c r="C28" s="38">
        <v>46013</v>
      </c>
      <c r="D28" s="39">
        <v>46017</v>
      </c>
      <c r="E28" s="40">
        <v>45997</v>
      </c>
      <c r="F28" s="40">
        <v>46010</v>
      </c>
      <c r="G28" s="41">
        <v>53</v>
      </c>
      <c r="H28" s="41">
        <v>26</v>
      </c>
      <c r="I28" s="47" t="s">
        <v>79</v>
      </c>
      <c r="J28" s="41">
        <f>NETWORKDAYS(K28,L28)</f>
        <v>-253</v>
      </c>
      <c r="K28" s="40">
        <v>46376</v>
      </c>
      <c r="L28" s="40">
        <f>EOMONTH(F28,0)</f>
        <v>46022</v>
      </c>
      <c r="M28" s="58" t="s">
        <v>80</v>
      </c>
      <c r="Z28" s="79">
        <f t="shared" si="1"/>
        <v>46006</v>
      </c>
      <c r="AA28" s="79" t="b">
        <f t="shared" ca="1" si="2"/>
        <v>1</v>
      </c>
    </row>
    <row r="29" spans="1:27" ht="15" thickTop="1" x14ac:dyDescent="0.35"/>
  </sheetData>
  <mergeCells count="2">
    <mergeCell ref="A1:F1"/>
    <mergeCell ref="J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HSA Calculator</vt:lpstr>
      <vt:lpstr>IRS Rules</vt:lpstr>
      <vt:lpstr>Tables</vt:lpstr>
      <vt:lpstr>Semi-Monthly Schedule</vt:lpstr>
      <vt:lpstr>Bi-Weekly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Samantha Horst</dc:creator>
  <cp:lastModifiedBy>Samantha Horst</cp:lastModifiedBy>
  <dcterms:created xsi:type="dcterms:W3CDTF">2025-10-11T13:54:05Z</dcterms:created>
  <dcterms:modified xsi:type="dcterms:W3CDTF">2025-10-31T20:08:18Z</dcterms:modified>
</cp:coreProperties>
</file>