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Group\Payroll\2025 Payroll\2025 Audit\Benefits\"/>
    </mc:Choice>
  </mc:AlternateContent>
  <xr:revisionPtr revIDLastSave="0" documentId="13_ncr:1_{DFA11A7C-3882-40C8-BFDB-B96026307708}" xr6:coauthVersionLast="47" xr6:coauthVersionMax="47" xr10:uidLastSave="{00000000-0000-0000-0000-000000000000}"/>
  <bookViews>
    <workbookView xWindow="57490" yWindow="-110" windowWidth="29020" windowHeight="15820" xr2:uid="{3A7BC0D5-414A-49BB-AB3A-7A5C090710BE}"/>
  </bookViews>
  <sheets>
    <sheet name="2025 Finaliz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 s="1"/>
  <c r="K33" i="1" s="1"/>
  <c r="K35" i="1" s="1"/>
  <c r="F33" i="1"/>
  <c r="K34" i="1" s="1"/>
  <c r="H30" i="1"/>
  <c r="G30" i="1"/>
  <c r="K28" i="1"/>
  <c r="J28" i="1"/>
  <c r="G28" i="1"/>
  <c r="H28" i="1" s="1"/>
  <c r="K26" i="1"/>
  <c r="J26" i="1"/>
  <c r="K24" i="1"/>
  <c r="J24" i="1"/>
  <c r="J33" i="1" s="1"/>
  <c r="H24" i="1"/>
  <c r="G24" i="1"/>
  <c r="G21" i="1"/>
  <c r="AI19" i="1"/>
  <c r="F19" i="1"/>
  <c r="E19" i="1"/>
  <c r="AF18" i="1"/>
  <c r="AD18" i="1"/>
  <c r="AC18" i="1"/>
  <c r="AF17" i="1"/>
  <c r="AD17" i="1"/>
  <c r="AC17" i="1"/>
  <c r="F17" i="1"/>
  <c r="AF16" i="1"/>
  <c r="AD16" i="1"/>
  <c r="AC16" i="1"/>
  <c r="Y8" i="1"/>
  <c r="E7" i="1"/>
  <c r="H7" i="1" s="1"/>
  <c r="H6" i="1"/>
  <c r="E6" i="1"/>
  <c r="E5" i="1"/>
  <c r="H5" i="1" s="1"/>
</calcChain>
</file>

<file path=xl/sharedStrings.xml><?xml version="1.0" encoding="utf-8"?>
<sst xmlns="http://schemas.openxmlformats.org/spreadsheetml/2006/main" count="44" uniqueCount="43">
  <si>
    <t>proofpoint       401k Contribution % Calculator</t>
  </si>
  <si>
    <t>Participant Age as of Dec 31, 2025</t>
  </si>
  <si>
    <t>2025 Standard Annual Deferral Combined Limit</t>
  </si>
  <si>
    <t>2025 Catch-up Contribution</t>
  </si>
  <si>
    <t>Total 2025 Annual Contribution Limit</t>
  </si>
  <si>
    <r>
      <t xml:space="preserve">ER 401(k) Match Contribution
</t>
    </r>
    <r>
      <rPr>
        <sz val="9"/>
        <color theme="1"/>
        <rFont val="Aptos Narrow"/>
        <family val="2"/>
      </rPr>
      <t>Excluded from individual 401(k) limit</t>
    </r>
  </si>
  <si>
    <t>2025 415(c) After-Tax Contribution</t>
  </si>
  <si>
    <r>
      <t xml:space="preserve">Combined Total 2025 415(c) Plan IRS Limit
</t>
    </r>
    <r>
      <rPr>
        <sz val="9"/>
        <color theme="1"/>
        <rFont val="Aptos Narrow"/>
        <family val="2"/>
      </rPr>
      <t>Includes 401(k) &amp; 403(b)</t>
    </r>
  </si>
  <si>
    <t>21 - 49</t>
  </si>
  <si>
    <r>
      <t xml:space="preserve">50 - 59 </t>
    </r>
    <r>
      <rPr>
        <b/>
        <i/>
        <sz val="11"/>
        <color theme="1"/>
        <rFont val="Aptos Narrow"/>
        <family val="2"/>
      </rPr>
      <t>OR</t>
    </r>
    <r>
      <rPr>
        <sz val="11"/>
        <color theme="1"/>
        <rFont val="Aptos Narrow"/>
        <family val="2"/>
      </rPr>
      <t>;
64 or older</t>
    </r>
  </si>
  <si>
    <t>60 - 63</t>
  </si>
  <si>
    <t>*Limit if maxing out on other contributions</t>
  </si>
  <si>
    <t>=TODAY()</t>
  </si>
  <si>
    <t>Are you paid Bi-Weekly or Semi-Monthly?</t>
  </si>
  <si>
    <t>Select One</t>
  </si>
  <si>
    <t>2025 Pay Dates - Semi-Monthly</t>
  </si>
  <si>
    <t>2025 Pay Dates - Bi-Weekly</t>
  </si>
  <si>
    <r>
      <rPr>
        <b/>
        <sz val="11"/>
        <color rgb="FFCC0099"/>
        <rFont val="Aptos Narrow"/>
        <family val="2"/>
      </rPr>
      <t>Enter</t>
    </r>
    <r>
      <rPr>
        <sz val="11"/>
        <color rgb="FFCC0099"/>
        <rFont val="Aptos Narrow"/>
        <family val="2"/>
      </rPr>
      <t xml:space="preserve"> your pay check gross pay:</t>
    </r>
  </si>
  <si>
    <r>
      <rPr>
        <b/>
        <sz val="11"/>
        <color rgb="FFCC0099"/>
        <rFont val="Aptos Narrow"/>
        <family val="2"/>
      </rPr>
      <t>Enter Current</t>
    </r>
    <r>
      <rPr>
        <sz val="11"/>
        <color rgb="FFCC0099"/>
        <rFont val="Aptos Narrow"/>
        <family val="2"/>
      </rPr>
      <t xml:space="preserve"> </t>
    </r>
    <r>
      <rPr>
        <b/>
        <sz val="11"/>
        <color rgb="FFCC0099"/>
        <rFont val="Aptos Narrow"/>
        <family val="2"/>
      </rPr>
      <t>%</t>
    </r>
    <r>
      <rPr>
        <sz val="11"/>
        <color rgb="FFCC0099"/>
        <rFont val="Aptos Narrow"/>
        <family val="2"/>
      </rPr>
      <t xml:space="preserve"> contributing?:</t>
    </r>
  </si>
  <si>
    <t>=IF($D$13&lt;50,"Under Age 50","")</t>
  </si>
  <si>
    <t>=IF($D$13&lt;50,"Under Age 50","Age 50+")</t>
  </si>
  <si>
    <t>Calculated Contribution per Pay:</t>
  </si>
  <si>
    <t/>
  </si>
  <si>
    <r>
      <rPr>
        <b/>
        <sz val="11"/>
        <color rgb="FFCC0099"/>
        <rFont val="Aptos Narrow"/>
        <family val="2"/>
      </rPr>
      <t>Enter</t>
    </r>
    <r>
      <rPr>
        <sz val="11"/>
        <color rgb="FFCC0099"/>
        <rFont val="Aptos Narrow"/>
        <family val="2"/>
      </rPr>
      <t xml:space="preserve"> your age as of Dec 31st for the current Year:</t>
    </r>
  </si>
  <si>
    <t>Did you already contribute ?</t>
  </si>
  <si>
    <t>Enter your YTD Contributions below:</t>
  </si>
  <si>
    <t>Limits</t>
  </si>
  <si>
    <t>Available to Contribute</t>
  </si>
  <si>
    <t>Enter % you want to Contribute</t>
  </si>
  <si>
    <t>Total Future Contribution per Pay</t>
  </si>
  <si>
    <t>Total Contribution Remainder of Year</t>
  </si>
  <si>
    <r>
      <rPr>
        <b/>
        <sz val="11"/>
        <color rgb="FFCC0099"/>
        <rFont val="Aptos Narrow"/>
        <family val="2"/>
      </rPr>
      <t>Enter</t>
    </r>
    <r>
      <rPr>
        <sz val="11"/>
        <color rgb="FFCC0099"/>
        <rFont val="Aptos Narrow"/>
        <family val="2"/>
      </rPr>
      <t xml:space="preserve"> 401(k) Pre-Tax Contributions YTD:</t>
    </r>
  </si>
  <si>
    <r>
      <rPr>
        <b/>
        <sz val="11"/>
        <color rgb="FFCC0099"/>
        <rFont val="Aptos Narrow"/>
        <family val="2"/>
      </rPr>
      <t>Enter</t>
    </r>
    <r>
      <rPr>
        <sz val="11"/>
        <color rgb="FFCC0099"/>
        <rFont val="Aptos Narrow"/>
        <family val="2"/>
      </rPr>
      <t xml:space="preserve"> Roth 401(k) Contributions YTD:</t>
    </r>
  </si>
  <si>
    <r>
      <rPr>
        <b/>
        <sz val="11"/>
        <color rgb="FFCC0099"/>
        <rFont val="Aptos Narrow"/>
        <family val="2"/>
      </rPr>
      <t>Enter</t>
    </r>
    <r>
      <rPr>
        <sz val="11"/>
        <color rgb="FFCC0099"/>
        <rFont val="Aptos Narrow"/>
        <family val="2"/>
      </rPr>
      <t xml:space="preserve"> After-Tax 415(c) Contributions YTD:</t>
    </r>
  </si>
  <si>
    <r>
      <rPr>
        <b/>
        <sz val="11"/>
        <color rgb="FFCC0099"/>
        <rFont val="Aptos Narrow"/>
        <family val="2"/>
      </rPr>
      <t>Enter</t>
    </r>
    <r>
      <rPr>
        <sz val="11"/>
        <color rgb="FFCC0099"/>
        <rFont val="Aptos Narrow"/>
        <family val="2"/>
      </rPr>
      <t xml:space="preserve"> Employer Match Contributions YTD:</t>
    </r>
  </si>
  <si>
    <t>Total YTD you have already contributed</t>
  </si>
  <si>
    <t>Max. Allowed to Contribute</t>
  </si>
  <si>
    <t>Remaining Availablility to Contribute</t>
  </si>
  <si>
    <t>Adjusted Per Pay Contribution Total</t>
  </si>
  <si>
    <t>Adjusted Additional Contribution</t>
  </si>
  <si>
    <t>PRIOR TOTAL 415(c) CONTRIBUTIONS:</t>
  </si>
  <si>
    <t>Prior contribution:</t>
  </si>
  <si>
    <t>TOTAL Adjusted Contribution: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</si>
</sst>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1" x14ac:knownFonts="1">
    <font>
      <sz val="10"/>
      <color theme="1"/>
      <name val="Arial"/>
      <family val="2"/>
    </font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b/>
      <sz val="11"/>
      <color theme="1"/>
      <name val="Aptos Narrow"/>
      <family val="2"/>
    </font>
    <font>
      <sz val="11"/>
      <color theme="0"/>
      <name val="Aptos Narrow"/>
      <family val="2"/>
    </font>
    <font>
      <sz val="10"/>
      <color theme="1"/>
      <name val="Arial"/>
      <family val="2"/>
    </font>
    <font>
      <b/>
      <sz val="20"/>
      <color theme="0"/>
      <name val="Arial"/>
      <family val="2"/>
    </font>
    <font>
      <sz val="9"/>
      <color theme="1"/>
      <name val="Aptos Narrow"/>
      <family val="2"/>
    </font>
    <font>
      <b/>
      <i/>
      <sz val="11"/>
      <color theme="1"/>
      <name val="Aptos Narrow"/>
      <family val="2"/>
    </font>
    <font>
      <i/>
      <sz val="9"/>
      <color rgb="FFCC0099"/>
      <name val="Aptos Narrow"/>
      <family val="2"/>
    </font>
    <font>
      <sz val="11"/>
      <color rgb="FF00B050"/>
      <name val="Aptos Narrow"/>
      <family val="2"/>
    </font>
    <font>
      <sz val="11"/>
      <name val="Aptos Narrow"/>
      <family val="2"/>
    </font>
    <font>
      <sz val="11"/>
      <color rgb="FFCC0099"/>
      <name val="Aptos Narrow"/>
      <family val="2"/>
    </font>
    <font>
      <sz val="11"/>
      <color theme="0" tint="-0.499984740745262"/>
      <name val="Aptos Narrow"/>
      <family val="2"/>
    </font>
    <font>
      <sz val="10"/>
      <color indexed="8"/>
      <name val="Arial"/>
      <family val="2"/>
    </font>
    <font>
      <b/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1"/>
      <color rgb="FFCC0099"/>
      <name val="Aptos Narrow"/>
      <family val="2"/>
    </font>
    <font>
      <i/>
      <sz val="11"/>
      <color theme="0" tint="-0.34998626667073579"/>
      <name val="Aptos Narrow"/>
      <family val="2"/>
    </font>
    <font>
      <sz val="11"/>
      <color rgb="FFD30F92"/>
      <name val="Aptos Narrow"/>
      <family val="2"/>
    </font>
    <font>
      <sz val="10"/>
      <color rgb="FFCC0099"/>
      <name val="Arial"/>
      <family val="2"/>
    </font>
    <font>
      <sz val="10"/>
      <name val="Aptos Narrow"/>
      <family val="2"/>
    </font>
    <font>
      <i/>
      <sz val="11"/>
      <name val="Aptos Narrow"/>
      <family val="2"/>
    </font>
    <font>
      <b/>
      <i/>
      <sz val="14"/>
      <name val="Aptos Narrow"/>
      <family val="2"/>
    </font>
    <font>
      <b/>
      <sz val="10"/>
      <color theme="0" tint="-0.499984740745262"/>
      <name val="Aptos Narrow"/>
      <family val="2"/>
    </font>
    <font>
      <b/>
      <sz val="11"/>
      <name val="Aptos Narrow"/>
      <family val="2"/>
    </font>
    <font>
      <b/>
      <sz val="11"/>
      <color rgb="FF00B050"/>
      <name val="Aptos Narrow"/>
      <family val="2"/>
    </font>
    <font>
      <sz val="10"/>
      <color theme="0" tint="-0.499984740745262"/>
      <name val="Aptos Narrow"/>
      <family val="2"/>
    </font>
    <font>
      <b/>
      <sz val="10"/>
      <color rgb="FF00B050"/>
      <name val="Aptos Narrow"/>
      <family val="2"/>
    </font>
    <font>
      <i/>
      <sz val="11"/>
      <color rgb="FFCC0099"/>
      <name val="Aptos Narrow"/>
      <family val="2"/>
    </font>
    <font>
      <b/>
      <sz val="12"/>
      <color theme="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4" fillId="0" borderId="0"/>
  </cellStyleXfs>
  <cellXfs count="92">
    <xf numFmtId="0" fontId="0" fillId="0" borderId="0" xfId="0"/>
    <xf numFmtId="0" fontId="6" fillId="2" borderId="0" xfId="0" applyFont="1" applyFill="1" applyAlignment="1">
      <alignment horizontal="left"/>
    </xf>
    <xf numFmtId="0" fontId="1" fillId="3" borderId="0" xfId="0" applyFont="1" applyFill="1"/>
    <xf numFmtId="0" fontId="3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/>
    </xf>
    <xf numFmtId="40" fontId="1" fillId="3" borderId="2" xfId="0" applyNumberFormat="1" applyFont="1" applyFill="1" applyBorder="1"/>
    <xf numFmtId="40" fontId="3" fillId="3" borderId="2" xfId="0" applyNumberFormat="1" applyFont="1" applyFill="1" applyBorder="1"/>
    <xf numFmtId="0" fontId="1" fillId="5" borderId="3" xfId="0" applyFont="1" applyFill="1" applyBorder="1" applyAlignment="1">
      <alignment horizontal="center" wrapText="1"/>
    </xf>
    <xf numFmtId="40" fontId="1" fillId="3" borderId="3" xfId="0" applyNumberFormat="1" applyFont="1" applyFill="1" applyBorder="1" applyAlignment="1">
      <alignment vertical="center"/>
    </xf>
    <xf numFmtId="40" fontId="1" fillId="3" borderId="2" xfId="0" applyNumberFormat="1" applyFont="1" applyFill="1" applyBorder="1" applyAlignment="1">
      <alignment horizontal="right" vertical="center"/>
    </xf>
    <xf numFmtId="40" fontId="3" fillId="3" borderId="3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40" fontId="1" fillId="3" borderId="3" xfId="0" applyNumberFormat="1" applyFont="1" applyFill="1" applyBorder="1"/>
    <xf numFmtId="40" fontId="3" fillId="3" borderId="3" xfId="0" applyNumberFormat="1" applyFont="1" applyFill="1" applyBorder="1"/>
    <xf numFmtId="40" fontId="1" fillId="3" borderId="0" xfId="0" applyNumberFormat="1" applyFont="1" applyFill="1"/>
    <xf numFmtId="0" fontId="9" fillId="0" borderId="0" xfId="0" applyFont="1"/>
    <xf numFmtId="14" fontId="1" fillId="3" borderId="0" xfId="0" applyNumberFormat="1" applyFont="1" applyFill="1"/>
    <xf numFmtId="0" fontId="10" fillId="3" borderId="0" xfId="0" quotePrefix="1" applyFont="1" applyFill="1"/>
    <xf numFmtId="0" fontId="11" fillId="3" borderId="0" xfId="0" applyFont="1" applyFill="1"/>
    <xf numFmtId="14" fontId="4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right"/>
    </xf>
    <xf numFmtId="0" fontId="13" fillId="6" borderId="0" xfId="0" applyFont="1" applyFill="1" applyAlignment="1" applyProtection="1">
      <alignment horizontal="center"/>
      <protection locked="0"/>
    </xf>
    <xf numFmtId="164" fontId="15" fillId="0" borderId="0" xfId="2" applyNumberFormat="1" applyFont="1" applyAlignment="1">
      <alignment horizontal="center" wrapText="1"/>
    </xf>
    <xf numFmtId="164" fontId="16" fillId="0" borderId="0" xfId="2" applyNumberFormat="1" applyFont="1" applyAlignment="1">
      <alignment horizontal="center" vertical="top"/>
    </xf>
    <xf numFmtId="43" fontId="1" fillId="6" borderId="0" xfId="1" applyFont="1" applyFill="1" applyBorder="1" applyProtection="1">
      <protection locked="0"/>
    </xf>
    <xf numFmtId="164" fontId="16" fillId="0" borderId="0" xfId="2" applyNumberFormat="1" applyFont="1" applyAlignment="1">
      <alignment horizontal="center"/>
    </xf>
    <xf numFmtId="0" fontId="1" fillId="3" borderId="0" xfId="0" applyFont="1" applyFill="1" applyAlignment="1">
      <alignment horizontal="right"/>
    </xf>
    <xf numFmtId="0" fontId="12" fillId="3" borderId="0" xfId="0" applyFont="1" applyFill="1" applyAlignment="1">
      <alignment horizontal="right" vertical="center" wrapText="1"/>
    </xf>
    <xf numFmtId="9" fontId="1" fillId="6" borderId="0" xfId="1" applyNumberFormat="1" applyFont="1" applyFill="1" applyAlignment="1" applyProtection="1">
      <alignment horizontal="center" vertical="center"/>
    </xf>
    <xf numFmtId="0" fontId="18" fillId="3" borderId="0" xfId="0" applyFont="1" applyFill="1" applyAlignment="1">
      <alignment vertical="center"/>
    </xf>
    <xf numFmtId="43" fontId="1" fillId="3" borderId="0" xfId="1" applyFont="1" applyFill="1" applyProtection="1"/>
    <xf numFmtId="0" fontId="19" fillId="3" borderId="0" xfId="0" quotePrefix="1" applyFont="1" applyFill="1"/>
    <xf numFmtId="0" fontId="12" fillId="3" borderId="0" xfId="0" applyFont="1" applyFill="1" applyAlignment="1">
      <alignment horizontal="right" vertical="center" wrapText="1"/>
    </xf>
    <xf numFmtId="0" fontId="1" fillId="0" borderId="0" xfId="0" applyFont="1"/>
    <xf numFmtId="0" fontId="19" fillId="0" borderId="0" xfId="0" applyFont="1" applyAlignment="1">
      <alignment horizontal="right"/>
    </xf>
    <xf numFmtId="43" fontId="1" fillId="7" borderId="0" xfId="1" applyFont="1" applyFill="1" applyAlignment="1" applyProtection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40" fontId="3" fillId="3" borderId="4" xfId="0" applyNumberFormat="1" applyFont="1" applyFill="1" applyBorder="1"/>
    <xf numFmtId="0" fontId="1" fillId="3" borderId="0" xfId="0" quotePrefix="1" applyFont="1" applyFill="1"/>
    <xf numFmtId="0" fontId="1" fillId="7" borderId="0" xfId="0" applyFont="1" applyFill="1"/>
    <xf numFmtId="0" fontId="19" fillId="7" borderId="0" xfId="0" quotePrefix="1" applyFont="1" applyFill="1"/>
    <xf numFmtId="43" fontId="3" fillId="3" borderId="0" xfId="0" applyNumberFormat="1" applyFont="1" applyFill="1"/>
    <xf numFmtId="0" fontId="1" fillId="3" borderId="0" xfId="0" quotePrefix="1" applyFont="1" applyFill="1" applyAlignment="1">
      <alignment horizontal="center"/>
    </xf>
    <xf numFmtId="0" fontId="10" fillId="3" borderId="0" xfId="0" quotePrefix="1" applyFont="1" applyFill="1" applyAlignment="1">
      <alignment horizontal="left"/>
    </xf>
    <xf numFmtId="40" fontId="20" fillId="0" borderId="0" xfId="1" applyNumberFormat="1" applyFont="1" applyFill="1" applyBorder="1" applyAlignment="1" applyProtection="1">
      <alignment horizontal="center" vertical="center"/>
    </xf>
    <xf numFmtId="1" fontId="1" fillId="3" borderId="0" xfId="0" quotePrefix="1" applyNumberFormat="1" applyFont="1" applyFill="1" applyAlignment="1">
      <alignment horizontal="center"/>
    </xf>
    <xf numFmtId="0" fontId="12" fillId="3" borderId="0" xfId="0" applyFont="1" applyFill="1" applyAlignment="1">
      <alignment horizontal="right" vertical="top" wrapText="1"/>
    </xf>
    <xf numFmtId="1" fontId="1" fillId="6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indent="1"/>
    </xf>
    <xf numFmtId="43" fontId="10" fillId="3" borderId="0" xfId="1" quotePrefix="1" applyFont="1" applyFill="1" applyAlignment="1" applyProtection="1"/>
    <xf numFmtId="0" fontId="12" fillId="3" borderId="0" xfId="0" applyFont="1" applyFill="1" applyAlignment="1">
      <alignment horizontal="center" wrapText="1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right" vertical="top"/>
    </xf>
    <xf numFmtId="0" fontId="3" fillId="6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5" fillId="3" borderId="0" xfId="0" applyFont="1" applyFill="1" applyAlignment="1">
      <alignment horizontal="center" wrapText="1"/>
    </xf>
    <xf numFmtId="40" fontId="11" fillId="8" borderId="0" xfId="1" applyNumberFormat="1" applyFont="1" applyFill="1" applyBorder="1" applyAlignment="1" applyProtection="1">
      <alignment horizontal="center" vertical="center"/>
      <protection locked="0"/>
    </xf>
    <xf numFmtId="43" fontId="13" fillId="0" borderId="0" xfId="1" applyFont="1" applyFill="1" applyAlignment="1" applyProtection="1">
      <alignment horizontal="right" vertical="center" wrapText="1"/>
    </xf>
    <xf numFmtId="39" fontId="1" fillId="3" borderId="0" xfId="0" applyNumberFormat="1" applyFont="1" applyFill="1" applyAlignment="1">
      <alignment horizontal="center" vertical="center"/>
    </xf>
    <xf numFmtId="9" fontId="4" fillId="9" borderId="0" xfId="0" applyNumberFormat="1" applyFont="1" applyFill="1" applyAlignment="1" applyProtection="1">
      <alignment horizontal="center" vertical="center"/>
      <protection locked="0"/>
    </xf>
    <xf numFmtId="4" fontId="1" fillId="3" borderId="0" xfId="0" applyNumberFormat="1" applyFont="1" applyFill="1" applyAlignment="1">
      <alignment horizontal="center" vertical="center"/>
    </xf>
    <xf numFmtId="43" fontId="26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center" vertical="center"/>
    </xf>
    <xf numFmtId="4" fontId="1" fillId="3" borderId="0" xfId="0" applyNumberFormat="1" applyFont="1" applyFill="1"/>
    <xf numFmtId="40" fontId="1" fillId="8" borderId="0" xfId="1" applyNumberFormat="1" applyFont="1" applyFill="1" applyBorder="1" applyAlignment="1" applyProtection="1">
      <alignment horizontal="center" vertical="center"/>
      <protection locked="0"/>
    </xf>
    <xf numFmtId="43" fontId="1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43" fontId="13" fillId="0" borderId="0" xfId="1" applyFont="1" applyFill="1" applyAlignment="1" applyProtection="1">
      <alignment horizontal="center" vertical="center"/>
    </xf>
    <xf numFmtId="39" fontId="1" fillId="3" borderId="0" xfId="0" applyNumberFormat="1" applyFont="1" applyFill="1" applyAlignment="1">
      <alignment horizontal="center" vertical="center"/>
    </xf>
    <xf numFmtId="40" fontId="13" fillId="0" borderId="0" xfId="0" applyNumberFormat="1" applyFont="1" applyAlignment="1">
      <alignment horizontal="right" vertical="center"/>
    </xf>
    <xf numFmtId="39" fontId="1" fillId="3" borderId="0" xfId="0" applyNumberFormat="1" applyFont="1" applyFill="1" applyAlignment="1">
      <alignment horizontal="left" vertical="center" indent="3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9" borderId="4" xfId="0" applyFont="1" applyFill="1" applyBorder="1" applyAlignment="1">
      <alignment horizontal="right" vertical="top" wrapText="1"/>
    </xf>
    <xf numFmtId="39" fontId="3" fillId="8" borderId="4" xfId="0" applyNumberFormat="1" applyFont="1" applyFill="1" applyBorder="1" applyAlignment="1">
      <alignment horizontal="center" vertical="center"/>
    </xf>
    <xf numFmtId="43" fontId="2" fillId="9" borderId="4" xfId="1" applyFont="1" applyFill="1" applyBorder="1" applyAlignment="1" applyProtection="1">
      <alignment horizontal="right" vertical="center" wrapText="1"/>
    </xf>
    <xf numFmtId="39" fontId="3" fillId="10" borderId="4" xfId="1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/>
    <xf numFmtId="39" fontId="3" fillId="3" borderId="4" xfId="0" applyNumberFormat="1" applyFont="1" applyFill="1" applyBorder="1" applyAlignment="1">
      <alignment horizontal="center" vertical="center"/>
    </xf>
    <xf numFmtId="43" fontId="26" fillId="0" borderId="4" xfId="0" applyNumberFormat="1" applyFont="1" applyBorder="1" applyAlignment="1">
      <alignment horizontal="center" vertical="center"/>
    </xf>
    <xf numFmtId="43" fontId="1" fillId="3" borderId="0" xfId="0" applyNumberFormat="1" applyFont="1" applyFill="1"/>
    <xf numFmtId="0" fontId="29" fillId="3" borderId="0" xfId="0" applyFont="1" applyFill="1" applyAlignment="1">
      <alignment horizontal="right"/>
    </xf>
    <xf numFmtId="39" fontId="29" fillId="3" borderId="0" xfId="0" applyNumberFormat="1" applyFont="1" applyFill="1"/>
    <xf numFmtId="0" fontId="30" fillId="9" borderId="4" xfId="0" applyFont="1" applyFill="1" applyBorder="1" applyAlignment="1">
      <alignment horizontal="right" wrapText="1"/>
    </xf>
    <xf numFmtId="39" fontId="30" fillId="9" borderId="4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vertical="top"/>
    </xf>
    <xf numFmtId="1" fontId="1" fillId="3" borderId="0" xfId="0" applyNumberFormat="1" applyFont="1" applyFill="1"/>
  </cellXfs>
  <cellStyles count="3">
    <cellStyle name="Comma" xfId="1" builtinId="3"/>
    <cellStyle name="Normal" xfId="0" builtinId="0"/>
    <cellStyle name="Normal 3" xfId="2" xr:uid="{96B0B286-BAEE-47D0-A9F2-258966E6D468}"/>
  </cellStyles>
  <dxfs count="12">
    <dxf>
      <font>
        <b/>
        <i val="0"/>
        <strike val="0"/>
      </font>
    </dxf>
    <dxf>
      <font>
        <color theme="0"/>
      </font>
      <fill>
        <patternFill>
          <bgColor rgb="FFCC0099"/>
        </patternFill>
      </fill>
    </dxf>
    <dxf>
      <font>
        <b val="0"/>
        <i val="0"/>
        <strike val="0"/>
      </font>
    </dxf>
    <dxf>
      <font>
        <color theme="0"/>
      </font>
      <fill>
        <patternFill>
          <bgColor rgb="FFCC0099"/>
        </patternFill>
      </fill>
    </dxf>
    <dxf>
      <font>
        <b/>
        <i val="0"/>
        <strike val="0"/>
      </font>
    </dxf>
    <dxf>
      <font>
        <color theme="0"/>
      </font>
      <fill>
        <patternFill>
          <bgColor rgb="FFCC0099"/>
        </patternFill>
      </fill>
    </dxf>
    <dxf>
      <font>
        <strike val="0"/>
        <color theme="0"/>
      </font>
      <fill>
        <patternFill>
          <bgColor rgb="FFCC0099"/>
        </patternFill>
      </fill>
    </dxf>
    <dxf>
      <font>
        <strike val="0"/>
        <color theme="0"/>
      </font>
      <fill>
        <patternFill>
          <bgColor rgb="FFCC0099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color theme="0"/>
      </font>
      <fill>
        <patternFill>
          <bgColor rgb="FFCC0099"/>
        </patternFill>
      </fill>
    </dxf>
    <dxf>
      <font>
        <color theme="0"/>
      </font>
      <fill>
        <patternFill>
          <bgColor rgb="FFCC00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7469</xdr:colOff>
      <xdr:row>23</xdr:row>
      <xdr:rowOff>224117</xdr:rowOff>
    </xdr:from>
    <xdr:to>
      <xdr:col>6</xdr:col>
      <xdr:colOff>351118</xdr:colOff>
      <xdr:row>25</xdr:row>
      <xdr:rowOff>216647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ABAC563A-AA6E-4B7C-936F-5E0B65C4E989}"/>
            </a:ext>
          </a:extLst>
        </xdr:cNvPr>
        <xdr:cNvSpPr/>
      </xdr:nvSpPr>
      <xdr:spPr>
        <a:xfrm>
          <a:off x="6255869" y="4891367"/>
          <a:ext cx="343649" cy="50688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948763</xdr:colOff>
      <xdr:row>23</xdr:row>
      <xdr:rowOff>224115</xdr:rowOff>
    </xdr:from>
    <xdr:to>
      <xdr:col>8</xdr:col>
      <xdr:colOff>22411</xdr:colOff>
      <xdr:row>25</xdr:row>
      <xdr:rowOff>216645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B73FFD2-7B81-45BC-A1D5-6D04D3A95921}"/>
            </a:ext>
          </a:extLst>
        </xdr:cNvPr>
        <xdr:cNvSpPr/>
      </xdr:nvSpPr>
      <xdr:spPr>
        <a:xfrm rot="10800000">
          <a:off x="8206813" y="4891365"/>
          <a:ext cx="330948" cy="50688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0</xdr:colOff>
      <xdr:row>23</xdr:row>
      <xdr:rowOff>201707</xdr:rowOff>
    </xdr:from>
    <xdr:to>
      <xdr:col>9</xdr:col>
      <xdr:colOff>343649</xdr:colOff>
      <xdr:row>25</xdr:row>
      <xdr:rowOff>194237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BA0B3EDA-EA5B-4F79-8DC7-05662A00AFF3}"/>
            </a:ext>
          </a:extLst>
        </xdr:cNvPr>
        <xdr:cNvSpPr/>
      </xdr:nvSpPr>
      <xdr:spPr>
        <a:xfrm>
          <a:off x="9620250" y="4868957"/>
          <a:ext cx="343649" cy="50688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DCF5-4118-4F6C-BBCC-09E406E3A73A}">
  <dimension ref="B1:AJ41"/>
  <sheetViews>
    <sheetView showGridLines="0" tabSelected="1" zoomScale="85" zoomScaleNormal="85" workbookViewId="0">
      <selection activeCell="F21" sqref="F21"/>
    </sheetView>
  </sheetViews>
  <sheetFormatPr defaultRowHeight="14.5" x14ac:dyDescent="0.35"/>
  <cols>
    <col min="1" max="1" width="6.26953125" style="2" customWidth="1"/>
    <col min="2" max="2" width="16.90625" style="2" customWidth="1"/>
    <col min="3" max="3" width="15.453125" style="2" customWidth="1"/>
    <col min="4" max="4" width="15.1796875" style="2" customWidth="1"/>
    <col min="5" max="5" width="16" style="2" customWidth="1"/>
    <col min="6" max="6" width="19.6328125" style="2" customWidth="1"/>
    <col min="7" max="7" width="14.453125" style="2" customWidth="1"/>
    <col min="8" max="8" width="18" style="2" customWidth="1"/>
    <col min="9" max="9" width="15.81640625" style="2" customWidth="1"/>
    <col min="10" max="10" width="18.90625" style="2" customWidth="1"/>
    <col min="11" max="11" width="18.81640625" style="2" customWidth="1"/>
    <col min="12" max="12" width="8.7265625" style="2"/>
    <col min="13" max="13" width="18" style="2" customWidth="1"/>
    <col min="14" max="14" width="9.54296875" style="2" bestFit="1" customWidth="1"/>
    <col min="15" max="22" width="8.7265625" style="2" customWidth="1"/>
    <col min="23" max="24" width="8.7265625" style="2" hidden="1" customWidth="1"/>
    <col min="25" max="26" width="25.36328125" style="2" hidden="1" customWidth="1"/>
    <col min="27" max="29" width="8.7265625" style="2" hidden="1" customWidth="1"/>
    <col min="30" max="30" width="10.81640625" style="2" hidden="1" customWidth="1"/>
    <col min="31" max="31" width="8.7265625" style="2" hidden="1" customWidth="1"/>
    <col min="32" max="32" width="10.81640625" style="2" hidden="1" customWidth="1"/>
    <col min="33" max="34" width="8.7265625" style="2" hidden="1" customWidth="1"/>
    <col min="35" max="35" width="9.54296875" style="2" hidden="1" customWidth="1"/>
    <col min="36" max="36" width="8.7265625" style="2" hidden="1" customWidth="1"/>
    <col min="37" max="37" width="0" style="2" hidden="1" customWidth="1"/>
    <col min="38" max="16384" width="8.7265625" style="2"/>
  </cols>
  <sheetData>
    <row r="1" spans="2:34" ht="33.5" customHeight="1" x14ac:dyDescent="0.5">
      <c r="B1" s="1" t="s">
        <v>0</v>
      </c>
      <c r="C1" s="1"/>
      <c r="D1" s="1"/>
      <c r="E1" s="1"/>
      <c r="F1" s="1"/>
      <c r="G1" s="1"/>
      <c r="H1" s="1"/>
    </row>
    <row r="2" spans="2:34" hidden="1" x14ac:dyDescent="0.35"/>
    <row r="4" spans="2:34" ht="58.5" thickBot="1" x14ac:dyDescent="0.4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2:34" x14ac:dyDescent="0.35">
      <c r="B5" s="5" t="s">
        <v>8</v>
      </c>
      <c r="C5" s="6">
        <v>23500</v>
      </c>
      <c r="D5" s="6">
        <v>0</v>
      </c>
      <c r="E5" s="6">
        <f>SUM(C5:D5)</f>
        <v>23500</v>
      </c>
      <c r="F5" s="6">
        <v>2000</v>
      </c>
      <c r="G5" s="6">
        <v>44500</v>
      </c>
      <c r="H5" s="7">
        <f>E5+F5+G5</f>
        <v>70000</v>
      </c>
    </row>
    <row r="6" spans="2:34" ht="29" x14ac:dyDescent="0.35">
      <c r="B6" s="8" t="s">
        <v>9</v>
      </c>
      <c r="C6" s="9">
        <v>23500</v>
      </c>
      <c r="D6" s="9">
        <v>7500</v>
      </c>
      <c r="E6" s="9">
        <f>SUM(C6:D6)</f>
        <v>31000</v>
      </c>
      <c r="F6" s="9">
        <v>2000</v>
      </c>
      <c r="G6" s="10">
        <v>44500</v>
      </c>
      <c r="H6" s="11">
        <f>E6+F6+G6</f>
        <v>77500</v>
      </c>
    </row>
    <row r="7" spans="2:34" x14ac:dyDescent="0.35">
      <c r="B7" s="12" t="s">
        <v>10</v>
      </c>
      <c r="C7" s="13">
        <v>23500</v>
      </c>
      <c r="D7" s="13">
        <v>11250</v>
      </c>
      <c r="E7" s="13">
        <f>SUM(C7:D7)</f>
        <v>34750</v>
      </c>
      <c r="F7" s="13">
        <v>2000</v>
      </c>
      <c r="G7" s="10">
        <v>44500</v>
      </c>
      <c r="H7" s="14">
        <f>E7+F7+G7</f>
        <v>81250</v>
      </c>
      <c r="K7" s="15"/>
    </row>
    <row r="8" spans="2:34" x14ac:dyDescent="0.35">
      <c r="G8" s="16" t="s">
        <v>11</v>
      </c>
      <c r="Y8" s="17">
        <f ca="1">TODAY()</f>
        <v>45727</v>
      </c>
      <c r="Z8" s="18" t="s">
        <v>12</v>
      </c>
    </row>
    <row r="9" spans="2:34" hidden="1" x14ac:dyDescent="0.35"/>
    <row r="10" spans="2:34" x14ac:dyDescent="0.35">
      <c r="M10" s="19"/>
      <c r="N10" s="19"/>
      <c r="O10" s="19"/>
    </row>
    <row r="11" spans="2:34" x14ac:dyDescent="0.35">
      <c r="D11" s="20"/>
      <c r="E11" s="21" t="s">
        <v>13</v>
      </c>
      <c r="F11" s="22" t="s">
        <v>14</v>
      </c>
      <c r="M11" s="19"/>
      <c r="N11" s="19"/>
      <c r="O11" s="19"/>
      <c r="Y11" s="23" t="s">
        <v>15</v>
      </c>
      <c r="Z11" s="23" t="s">
        <v>16</v>
      </c>
    </row>
    <row r="12" spans="2:34" x14ac:dyDescent="0.35">
      <c r="M12" s="19"/>
      <c r="N12" s="19"/>
      <c r="O12" s="19"/>
      <c r="Y12" s="24">
        <v>45672</v>
      </c>
      <c r="Z12" s="24">
        <v>45667</v>
      </c>
    </row>
    <row r="13" spans="2:34" ht="14.5" customHeight="1" x14ac:dyDescent="0.35">
      <c r="E13" s="21" t="s">
        <v>17</v>
      </c>
      <c r="F13" s="25">
        <v>0</v>
      </c>
      <c r="M13" s="19"/>
      <c r="N13" s="19"/>
      <c r="O13" s="19"/>
      <c r="Y13" s="26">
        <v>45688</v>
      </c>
      <c r="Z13" s="26">
        <v>45681</v>
      </c>
    </row>
    <row r="14" spans="2:34" ht="14.5" customHeight="1" x14ac:dyDescent="0.35">
      <c r="E14" s="27"/>
      <c r="F14" s="27"/>
      <c r="M14" s="19"/>
      <c r="N14" s="19"/>
      <c r="O14" s="19"/>
      <c r="Y14" s="26">
        <v>45702</v>
      </c>
      <c r="Z14" s="26">
        <v>45695</v>
      </c>
    </row>
    <row r="15" spans="2:34" ht="14.5" hidden="1" customHeight="1" x14ac:dyDescent="0.35">
      <c r="D15" s="28" t="s">
        <v>18</v>
      </c>
      <c r="E15" s="28"/>
      <c r="F15" s="29">
        <v>0</v>
      </c>
      <c r="G15" s="30"/>
      <c r="M15" s="19"/>
      <c r="N15" s="19"/>
      <c r="O15" s="19"/>
      <c r="Y15" s="26">
        <v>45716</v>
      </c>
      <c r="Z15" s="26">
        <v>45709</v>
      </c>
      <c r="AD15" s="31"/>
      <c r="AG15" s="2">
        <v>49</v>
      </c>
      <c r="AH15" s="32" t="s">
        <v>19</v>
      </c>
    </row>
    <row r="16" spans="2:34" ht="14.5" hidden="1" customHeight="1" x14ac:dyDescent="0.35">
      <c r="D16" s="33"/>
      <c r="E16" s="33"/>
      <c r="F16" s="33"/>
      <c r="G16" s="30"/>
      <c r="M16" s="19"/>
      <c r="N16" s="19"/>
      <c r="O16" s="19"/>
      <c r="Y16" s="26">
        <v>45730</v>
      </c>
      <c r="Z16" s="24">
        <v>45723</v>
      </c>
      <c r="AB16" s="34"/>
      <c r="AC16" s="35" t="str">
        <f>IF($AG$16&lt;50,"Under Age 50",
IF(AND($AG$16&gt;=50,$AG$16&lt;=59),"Age 50+",
IF(AND($AG$16&gt;=60,$AG$16&lt;=63),"Age 60-63 Catch-Up",
IF($AG$16&gt;=64,"Age 50+"))))</f>
        <v>Age 50+</v>
      </c>
      <c r="AD16" s="36">
        <f>IF($AG$15&lt;50,23500,
IF(AND($AG$15&gt;=50,$AG$15&lt;=59),31000,
IF(AND($AG$15&gt;=60,$AG$15&lt;=63),34750,
IF($AG$15&gt;=64,31000))))</f>
        <v>23500</v>
      </c>
      <c r="AF16" s="36" t="str">
        <f>IF($AG$16&lt;50,"70,000.00",
IF(AND($AG$16&gt;=50,$AG$16&lt;=59),"77,500.00",
IF(AND($AG$16&gt;=60,$AG$16&lt;=63),"81,250.00",
IF($AG$16&gt;=64,"70,000.00"))))</f>
        <v>77,500.00</v>
      </c>
      <c r="AG16" s="2">
        <v>53</v>
      </c>
      <c r="AH16" s="32" t="s">
        <v>20</v>
      </c>
    </row>
    <row r="17" spans="4:36" ht="15" hidden="1" customHeight="1" x14ac:dyDescent="0.35">
      <c r="D17" s="37"/>
      <c r="E17" s="38" t="s">
        <v>21</v>
      </c>
      <c r="F17" s="39">
        <f>$F$13*$F$15</f>
        <v>0</v>
      </c>
      <c r="G17" s="18"/>
      <c r="K17" s="40" t="s">
        <v>22</v>
      </c>
      <c r="M17" s="19"/>
      <c r="N17" s="19"/>
      <c r="O17" s="19"/>
      <c r="Y17" s="26">
        <v>45747</v>
      </c>
      <c r="Z17" s="26">
        <v>45737</v>
      </c>
      <c r="AB17" s="34"/>
      <c r="AC17" s="35" t="str">
        <f>IF($AG$16&lt;50,"Under Age 50",
IF(AND($AG$16&gt;=50,$AG$16&lt;=59),"Age 50+",
IF(AND($AG$16&gt;=60,$AG$16&lt;=63),"Age 60-63 Catch-Up",
IF($AG$16&gt;=64,"Age 50+"))))</f>
        <v>Age 50+</v>
      </c>
      <c r="AD17" s="36">
        <f>IF($AG$16&lt;50,23500,
IF(AND($AG$16&gt;=50,$AG$16&lt;=59),31000,
IF(AND($AG$16&gt;=60,$AG$16&lt;=63),34750,
IF($AG$16&gt;=64,31000))))</f>
        <v>31000</v>
      </c>
      <c r="AF17" s="36" t="str">
        <f>IF($AG$16&lt;50,"70,000.00",
IF(AND($AG$16&gt;=50,$AG$16&lt;=59),"77,500.00",
IF(AND($AG$16&gt;=60,$AG$16&lt;=63),"81,250.00",
IF($AG$16&gt;=64,"70,000.00"))))</f>
        <v>77,500.00</v>
      </c>
      <c r="AG17" s="41">
        <v>62</v>
      </c>
      <c r="AH17" s="42" t="s">
        <v>20</v>
      </c>
      <c r="AI17" s="41"/>
      <c r="AJ17" s="41"/>
    </row>
    <row r="18" spans="4:36" hidden="1" x14ac:dyDescent="0.35">
      <c r="D18" s="37"/>
      <c r="E18" s="38"/>
      <c r="F18" s="43"/>
      <c r="G18" s="40"/>
      <c r="M18" s="19"/>
      <c r="N18" s="19"/>
      <c r="O18" s="19"/>
      <c r="Y18" s="26">
        <v>45762</v>
      </c>
      <c r="Z18" s="26">
        <v>45751</v>
      </c>
      <c r="AB18" s="34"/>
      <c r="AC18" s="35" t="str">
        <f>IF($AG$17&lt;50,"Under Age 50",
IF(AND($AG$17&gt;=50,$AG$17&lt;=59),"Age 50+",
IF(AND($AG$17&gt;=60,$AG$17&lt;=63),"Age 60-63 Catch-Up",
IF($AG$17&gt;=64,"Age 50+"))))</f>
        <v>Age 60-63 Catch-Up</v>
      </c>
      <c r="AD18" s="36" t="str">
        <f>IF($AG$17&lt;50,"23,500.00",
IF(AND($AG$17&gt;=50,$AG$17&lt;=59),"31,000.00",
IF(AND($AG$17&gt;=60,$AG$17&lt;=63),"34,750.00",
IF($AG$17&gt;=64,"31,000.00"))))</f>
        <v>34,750.00</v>
      </c>
      <c r="AF18" s="36" t="str">
        <f>IF($AG17&lt;50,"70,000.00",
IF(AND($AG$17&gt;=50,$AG17&lt;=59),"77,500.00",
IF(AND($AG$17&gt;=60,$AG17&lt;=63),"81,250.00",
IF($AG17&gt;=64,"70,000.00"))))</f>
        <v>81,250.00</v>
      </c>
    </row>
    <row r="19" spans="4:36" x14ac:dyDescent="0.35">
      <c r="E19" s="27" t="str">
        <f>IF($F$11="Bi-Weekly","# of Bi-Weekly Pay Dates remaining for the year:","Semi-Monthly Pay Dates remaining for the year:")</f>
        <v>Semi-Monthly Pay Dates remaining for the year:</v>
      </c>
      <c r="F19" s="44">
        <f>IF($F$11="Semi-Monthly", COUNTIF($Y$12:$Y$36, "&gt;=" &amp; MAX($F$11, $Y$8)),
   IF($F$11="Bi-Weekly", COUNTIF($Z$12:$Z$38, "&gt;=" &amp; MAX($F$11, $Y$8)), 0))</f>
        <v>0</v>
      </c>
      <c r="G19" s="45"/>
      <c r="H19" s="40"/>
      <c r="M19" s="19"/>
      <c r="N19" s="19"/>
      <c r="O19" s="19"/>
      <c r="Y19" s="26">
        <v>45777</v>
      </c>
      <c r="Z19" s="26">
        <v>45765</v>
      </c>
      <c r="AI19" s="46">
        <f>IF($AG$16&lt;50,C5-AD15,IF($AG$16&gt;=50,SUM(C6+D6)-AD15))</f>
        <v>31000</v>
      </c>
    </row>
    <row r="20" spans="4:36" x14ac:dyDescent="0.35">
      <c r="E20" s="27"/>
      <c r="F20" s="47"/>
      <c r="M20" s="19"/>
      <c r="N20" s="19"/>
      <c r="O20" s="19"/>
      <c r="Y20" s="26">
        <v>45792</v>
      </c>
      <c r="Z20" s="24">
        <v>45779</v>
      </c>
    </row>
    <row r="21" spans="4:36" ht="14.5" customHeight="1" x14ac:dyDescent="0.35">
      <c r="D21" s="48" t="s">
        <v>23</v>
      </c>
      <c r="E21" s="48"/>
      <c r="F21" s="49">
        <v>0</v>
      </c>
      <c r="G21" s="50" t="str">
        <f>IF($F$21&lt;50,"Under Age 50",
IF(AND($F$21&gt;=50,$F$21&lt;=59),"Age 50+",
IF(AND($F$21&gt;=60,$F$21&lt;=63),"Age 60-63 Catch-Up",
IF($F$21&gt;=64,"Age 50+"))))</f>
        <v>Under Age 50</v>
      </c>
      <c r="H21" s="51"/>
      <c r="Y21" s="26">
        <v>45807</v>
      </c>
      <c r="Z21" s="26">
        <v>45793</v>
      </c>
    </row>
    <row r="22" spans="4:36" x14ac:dyDescent="0.35">
      <c r="D22" s="52"/>
      <c r="E22" s="52"/>
      <c r="F22" s="52"/>
      <c r="G22" s="53"/>
      <c r="Y22" s="26">
        <v>45821</v>
      </c>
      <c r="Z22" s="26">
        <v>45807</v>
      </c>
    </row>
    <row r="23" spans="4:36" ht="29" x14ac:dyDescent="0.35">
      <c r="D23" s="54"/>
      <c r="E23" s="55" t="s">
        <v>24</v>
      </c>
      <c r="F23" s="56" t="s">
        <v>25</v>
      </c>
      <c r="G23" s="57" t="s">
        <v>26</v>
      </c>
      <c r="H23" s="58" t="s">
        <v>27</v>
      </c>
      <c r="I23" s="56" t="s">
        <v>28</v>
      </c>
      <c r="J23" s="59" t="s">
        <v>29</v>
      </c>
      <c r="K23" s="59" t="s">
        <v>30</v>
      </c>
      <c r="Y23" s="26">
        <v>45838</v>
      </c>
      <c r="Z23" s="26">
        <v>45821</v>
      </c>
    </row>
    <row r="24" spans="4:36" ht="32.5" customHeight="1" x14ac:dyDescent="0.35">
      <c r="D24" s="48" t="s">
        <v>31</v>
      </c>
      <c r="E24" s="48"/>
      <c r="F24" s="60">
        <v>0</v>
      </c>
      <c r="G24" s="61">
        <f>IF($F$21&lt;50,23500,
IF(AND($F$21&gt;=50,$F$21&lt;=59),31000,
IF(AND($F$21&gt;=60,$F$21&lt;=63),34750,
IF($F$21&gt;=64,31000))))</f>
        <v>23500</v>
      </c>
      <c r="H24" s="62">
        <f>IF($F$21&lt;50,23500,
IF(AND($F$21&gt;=50,$F$21&lt;=59),31000,
IF(AND($F$21&gt;=60,$F$21&lt;=63),34750,
IF($F$21&gt;=64,31000)))) - SUM(F24:F26)</f>
        <v>23500</v>
      </c>
      <c r="I24" s="63">
        <v>0</v>
      </c>
      <c r="J24" s="64">
        <f>SUM($F$13*$I$24)</f>
        <v>0</v>
      </c>
      <c r="K24" s="65">
        <f>MIN($F$19 * $J$24, IF(ISNUMBER($H$24), $H$24, 0))</f>
        <v>0</v>
      </c>
      <c r="N24" s="40"/>
      <c r="Y24" s="26">
        <v>45853</v>
      </c>
      <c r="Z24" s="24">
        <v>45835</v>
      </c>
    </row>
    <row r="25" spans="4:36" ht="8" customHeight="1" x14ac:dyDescent="0.35">
      <c r="D25" s="66"/>
      <c r="E25" s="66"/>
      <c r="F25" s="66"/>
      <c r="G25" s="61"/>
      <c r="H25" s="62"/>
      <c r="I25" s="67"/>
      <c r="J25" s="68"/>
      <c r="K25" s="34"/>
      <c r="Y25" s="26">
        <v>45869</v>
      </c>
      <c r="Z25" s="26">
        <v>45849</v>
      </c>
    </row>
    <row r="26" spans="4:36" ht="31.5" customHeight="1" x14ac:dyDescent="0.35">
      <c r="D26" s="48" t="s">
        <v>32</v>
      </c>
      <c r="E26" s="48"/>
      <c r="F26" s="69">
        <v>0</v>
      </c>
      <c r="G26" s="61"/>
      <c r="H26" s="62"/>
      <c r="I26" s="63">
        <v>0</v>
      </c>
      <c r="J26" s="64">
        <f>SUM($F$13*$I$26)</f>
        <v>0</v>
      </c>
      <c r="K26" s="65">
        <f>IF($I$26&gt;0, MIN($F$19 * $J$26, MAX(0, $H$24 - $K$24)), 0)</f>
        <v>0</v>
      </c>
      <c r="M26" s="70"/>
      <c r="N26" s="40"/>
      <c r="Y26" s="26">
        <v>45884</v>
      </c>
      <c r="Z26" s="26">
        <v>45863</v>
      </c>
    </row>
    <row r="27" spans="4:36" ht="8" customHeight="1" x14ac:dyDescent="0.35">
      <c r="D27" s="66"/>
      <c r="E27" s="66"/>
      <c r="F27" s="66"/>
      <c r="G27" s="71"/>
      <c r="J27" s="68"/>
      <c r="K27" s="34"/>
      <c r="Y27" s="26">
        <v>45898</v>
      </c>
      <c r="Z27" s="26">
        <v>45877</v>
      </c>
    </row>
    <row r="28" spans="4:36" ht="31.5" customHeight="1" x14ac:dyDescent="0.35">
      <c r="D28" s="48" t="s">
        <v>33</v>
      </c>
      <c r="E28" s="48"/>
      <c r="F28" s="69">
        <v>0</v>
      </c>
      <c r="G28" s="72">
        <f>IF(F21&lt;50,70000,
IF(AND(F21&gt;=50,F21&lt;=59),77500,
IF(AND(F21&gt;=60,F21&lt;=63),81250,
IF(F21&gt;=64,77500))))-F24-F26</f>
        <v>70000</v>
      </c>
      <c r="H28" s="73">
        <f>G28-F28</f>
        <v>70000</v>
      </c>
      <c r="I28" s="63">
        <v>0</v>
      </c>
      <c r="J28" s="64">
        <f>SUM($F$13*$I$28)</f>
        <v>0</v>
      </c>
      <c r="K28" s="65">
        <f>IF($I$28&gt;0,MIN($F$19*$J$28,MAX(0,SUM($H$28:$H$30)-SUM($K$24:$K$26))),0)</f>
        <v>0</v>
      </c>
      <c r="Y28" s="26">
        <v>45915</v>
      </c>
      <c r="Z28" s="24">
        <v>45891</v>
      </c>
    </row>
    <row r="29" spans="4:36" ht="8" customHeight="1" x14ac:dyDescent="0.35">
      <c r="D29" s="66"/>
      <c r="E29" s="66"/>
      <c r="F29" s="66"/>
      <c r="G29" s="71"/>
      <c r="Y29" s="26">
        <v>45930</v>
      </c>
      <c r="Z29" s="26">
        <v>45905</v>
      </c>
    </row>
    <row r="30" spans="4:36" ht="31.5" customHeight="1" x14ac:dyDescent="0.35">
      <c r="D30" s="48" t="s">
        <v>34</v>
      </c>
      <c r="E30" s="48"/>
      <c r="F30" s="69">
        <v>0</v>
      </c>
      <c r="G30" s="74">
        <f>F6</f>
        <v>2000</v>
      </c>
      <c r="H30" s="75">
        <f>G30-F30</f>
        <v>2000</v>
      </c>
      <c r="K30" s="70">
        <v>0</v>
      </c>
      <c r="Y30" s="26">
        <v>45945</v>
      </c>
      <c r="Z30" s="26">
        <v>45919</v>
      </c>
    </row>
    <row r="31" spans="4:36" ht="9.5" customHeight="1" x14ac:dyDescent="0.35">
      <c r="D31" s="66"/>
      <c r="E31" s="66"/>
      <c r="F31" s="66"/>
      <c r="G31" s="66"/>
      <c r="H31" s="70"/>
      <c r="K31" s="70"/>
      <c r="Y31" s="26"/>
      <c r="Z31" s="26"/>
    </row>
    <row r="32" spans="4:36" ht="38" customHeight="1" x14ac:dyDescent="0.35">
      <c r="D32" s="66"/>
      <c r="E32" s="66"/>
      <c r="F32" s="52" t="s">
        <v>35</v>
      </c>
      <c r="G32" s="76" t="s">
        <v>36</v>
      </c>
      <c r="H32" s="76" t="s">
        <v>37</v>
      </c>
      <c r="J32" s="76" t="s">
        <v>38</v>
      </c>
      <c r="K32" s="77" t="s">
        <v>39</v>
      </c>
      <c r="Y32" s="26">
        <v>45961</v>
      </c>
      <c r="Z32" s="26">
        <v>45933</v>
      </c>
    </row>
    <row r="33" spans="4:26" ht="31.5" customHeight="1" thickBot="1" x14ac:dyDescent="0.4">
      <c r="D33" s="78" t="s">
        <v>40</v>
      </c>
      <c r="E33" s="78"/>
      <c r="F33" s="79">
        <f>SUM(F24:F30)</f>
        <v>0</v>
      </c>
      <c r="G33" s="80">
        <f>IF($F$21&lt;50,70000,
IF(AND($F$21&gt;=50,$F$21&lt;=59),77500,
IF(AND($F$21&gt;=60,$F$21&lt;=63),81250,
IF($F$21&gt;=64,77500))))</f>
        <v>70000</v>
      </c>
      <c r="H33" s="81">
        <f>G33-F33</f>
        <v>70000</v>
      </c>
      <c r="I33" s="82"/>
      <c r="J33" s="83">
        <f>SUM(J24:J32)</f>
        <v>0</v>
      </c>
      <c r="K33" s="84">
        <f>IF(H33&lt;=(SUM(K24:K32)),H33,(SUM(K24:K32)))</f>
        <v>0</v>
      </c>
      <c r="Y33" s="26">
        <v>45975</v>
      </c>
      <c r="Z33" s="24">
        <v>45947</v>
      </c>
    </row>
    <row r="34" spans="4:26" ht="15" thickTop="1" x14ac:dyDescent="0.35">
      <c r="E34" s="27"/>
      <c r="F34" s="85"/>
      <c r="G34" s="43"/>
      <c r="J34" s="86" t="s">
        <v>41</v>
      </c>
      <c r="K34" s="87">
        <f>F33</f>
        <v>0</v>
      </c>
      <c r="Y34" s="26">
        <v>45989</v>
      </c>
      <c r="Z34" s="26">
        <v>45961</v>
      </c>
    </row>
    <row r="35" spans="4:26" ht="28.5" customHeight="1" thickBot="1" x14ac:dyDescent="0.45">
      <c r="I35" s="88" t="s">
        <v>42</v>
      </c>
      <c r="J35" s="88"/>
      <c r="K35" s="89">
        <f>K33+F33</f>
        <v>0</v>
      </c>
      <c r="Y35" s="26">
        <v>46006</v>
      </c>
      <c r="Z35" s="26">
        <v>45975</v>
      </c>
    </row>
    <row r="36" spans="4:26" ht="15" thickTop="1" x14ac:dyDescent="0.35">
      <c r="D36" s="27"/>
      <c r="E36" s="90"/>
      <c r="F36" s="90"/>
      <c r="Y36" s="26">
        <v>46022</v>
      </c>
      <c r="Z36" s="26">
        <v>45989</v>
      </c>
    </row>
    <row r="37" spans="4:26" x14ac:dyDescent="0.35">
      <c r="Z37" s="24">
        <v>46003</v>
      </c>
    </row>
    <row r="38" spans="4:26" x14ac:dyDescent="0.35">
      <c r="J38" s="27"/>
      <c r="K38" s="91"/>
      <c r="Z38" s="26">
        <v>46017</v>
      </c>
    </row>
    <row r="39" spans="4:26" x14ac:dyDescent="0.35">
      <c r="J39" s="27"/>
      <c r="K39" s="85"/>
    </row>
    <row r="40" spans="4:26" x14ac:dyDescent="0.35">
      <c r="J40" s="27"/>
      <c r="K40" s="31"/>
    </row>
    <row r="41" spans="4:26" x14ac:dyDescent="0.35">
      <c r="J41" s="27"/>
      <c r="K41" s="31"/>
    </row>
  </sheetData>
  <sheetProtection algorithmName="SHA-512" hashValue="S0KsNZ0FQuOP8hm+41cuqmpQSpl+lnVFGfQpIlV3s2CV8P8A07uOXjZ3Qc9iLGX3xpaU3QKuROl/ePFOYftd1w==" saltValue="3dDMeVo0aSjgNKvXCpNPzQ==" spinCount="100000" sheet="1" selectLockedCells="1"/>
  <mergeCells count="11">
    <mergeCell ref="D28:E28"/>
    <mergeCell ref="D30:E30"/>
    <mergeCell ref="D33:E33"/>
    <mergeCell ref="I35:J35"/>
    <mergeCell ref="B1:H1"/>
    <mergeCell ref="D15:E15"/>
    <mergeCell ref="D21:E21"/>
    <mergeCell ref="D24:E24"/>
    <mergeCell ref="G24:G26"/>
    <mergeCell ref="H24:H26"/>
    <mergeCell ref="D26:E26"/>
  </mergeCells>
  <conditionalFormatting sqref="F11">
    <cfRule type="cellIs" dxfId="11" priority="10" operator="equal">
      <formula>"Select One"</formula>
    </cfRule>
  </conditionalFormatting>
  <conditionalFormatting sqref="F13">
    <cfRule type="cellIs" dxfId="10" priority="8" operator="equal">
      <formula>0</formula>
    </cfRule>
    <cfRule type="cellIs" dxfId="9" priority="9" operator="greaterThan">
      <formula>0</formula>
    </cfRule>
  </conditionalFormatting>
  <conditionalFormatting sqref="F15">
    <cfRule type="cellIs" dxfId="8" priority="6" operator="greaterThan">
      <formula>0</formula>
    </cfRule>
    <cfRule type="cellIs" dxfId="7" priority="7" operator="equal">
      <formula>0</formula>
    </cfRule>
  </conditionalFormatting>
  <conditionalFormatting sqref="F17">
    <cfRule type="cellIs" dxfId="6" priority="5" operator="greaterThan">
      <formula>0</formula>
    </cfRule>
  </conditionalFormatting>
  <conditionalFormatting sqref="F21">
    <cfRule type="cellIs" dxfId="5" priority="3" operator="equal">
      <formula>0</formula>
    </cfRule>
    <cfRule type="cellIs" dxfId="4" priority="4" operator="greaterThan">
      <formula>0</formula>
    </cfRule>
  </conditionalFormatting>
  <conditionalFormatting sqref="F24 F26 F28 F30">
    <cfRule type="cellIs" dxfId="3" priority="1" operator="equal">
      <formula>0</formula>
    </cfRule>
    <cfRule type="cellIs" dxfId="2" priority="2" operator="greaterThan">
      <formula>0</formula>
    </cfRule>
  </conditionalFormatting>
  <conditionalFormatting sqref="AI19">
    <cfRule type="cellIs" dxfId="1" priority="11" operator="equal">
      <formula>0</formula>
    </cfRule>
    <cfRule type="cellIs" dxfId="0" priority="12" operator="greaterThan">
      <formula>0</formula>
    </cfRule>
  </conditionalFormatting>
  <dataValidations count="1">
    <dataValidation type="list" allowBlank="1" showInputMessage="1" showErrorMessage="1" sqref="F11" xr:uid="{6EA51FD6-997C-47C4-9381-A81CD288D1C1}">
      <formula1>"Select One,Semi-Monthly,Bi-Weekly"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Finalized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Horst</dc:creator>
  <cp:lastModifiedBy>Samantha Horst</cp:lastModifiedBy>
  <dcterms:created xsi:type="dcterms:W3CDTF">2025-03-11T22:31:07Z</dcterms:created>
  <dcterms:modified xsi:type="dcterms:W3CDTF">2025-03-11T22:32:01Z</dcterms:modified>
</cp:coreProperties>
</file>