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Jak używać" sheetId="1" state="visible" r:id="rId3"/>
    <sheet name="Wyliczenie" sheetId="2" state="visible" r:id="rId4"/>
    <sheet name="Nota" sheetId="3" state="visible" r:id="rId5"/>
    <sheet name="Stawki" sheetId="4" state="visible" r:id="rId6"/>
    <sheet name="Obliczenia" sheetId="5" state="visible" r:id="rId7"/>
  </sheets>
  <definedNames>
    <definedName function="false" hidden="false" localSheetId="2" name="_xlnm.Print_Area" vbProcedure="false">Nota!$A$1:$E$56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<sst xmlns="http://schemas.openxmlformats.org/spreadsheetml/2006/main" count="119" uniqueCount="100">
  <si>
    <t xml:space="preserve">Kalkulator noty odsetkowej</t>
  </si>
  <si>
    <t xml:space="preserve">Jak korzystać z arkusza</t>
  </si>
  <si>
    <t xml:space="preserve">1. W arkuszu Wyliczenie wybierz rodzaj odsetek. Firma to odsetki w transakcjach handlowych z rekompensatą, konsument to odsetki ustawowe za opóźnienie bez rekompensaty.</t>
  </si>
  <si>
    <t xml:space="preserve">2. Wpisz datę noty, jej numer, miejscowość oraz dane wystawcy, odbiorcy i rachunku.</t>
  </si>
  <si>
    <t xml:space="preserve">3. W tabeli Faktury wpisz do 8 faktur. Gdy faktura jest niezapłacona, zostaw puste pole Data zapłaty, a odsetki policzą się do daty noty.</t>
  </si>
  <si>
    <t xml:space="preserve">4. Dla transakcji handlowych wpisz kurs euro z tabeli A NBP. Kolumna Data kursu podpowiada, z którego dnia go wziąć.</t>
  </si>
  <si>
    <t xml:space="preserve">5. Arkusz Nota składa gotową notę do wydruku albo zapisu jako PDF. Każdy okres stawki jest w osobnym wierszu.</t>
  </si>
  <si>
    <t xml:space="preserve">6. Stawki w arkuszu Stawki są aktualne na 2 października 2026 r. Po posiedzeniu RPP 6 i 7 października 2026 r. sprawdź, czy odsetki ustawowe za opóźnienie (9,25%) się nie zmieniły, a przy kolejnych zmianach dopisz nowe wiersze.</t>
  </si>
  <si>
    <t xml:space="preserve">Odsetki są liczone od dnia po terminie płatności do dnia zapłaty włącznie, z rokiem 365 dni, osobno dla każdego okresu stawki i z zaokrągleniem do grosza.</t>
  </si>
  <si>
    <t xml:space="preserve">Arkusz pomaga policzyć kwoty, ale nie zastępuje porady prawnej. Przy sporach o termin albo wysokość długu skonsultuj się z prawnikiem.</t>
  </si>
  <si>
    <t xml:space="preserve">Kalkulator online z gotową notą w PDF znajdziesz na sunbay.io/pl/kalkulator-odsetek</t>
  </si>
  <si>
    <t xml:space="preserve">Szablon przygotował Sunbay, system do zarządzania windykacją z AI. sunbay.io/pl</t>
  </si>
  <si>
    <t xml:space="preserve">Wyliczenie odsetek do noty</t>
  </si>
  <si>
    <t xml:space="preserve">Żółte komórki wypełniasz, reszta liczy się sama. Przykładowe dane możesz nadpisać.</t>
  </si>
  <si>
    <t xml:space="preserve">Ustawienia</t>
  </si>
  <si>
    <t xml:space="preserve">Rodzaj odsetek</t>
  </si>
  <si>
    <t xml:space="preserve">Firma (transakcja handlowa)</t>
  </si>
  <si>
    <t xml:space="preserve">Data noty</t>
  </si>
  <si>
    <t xml:space="preserve">Możesz wpisać =DZIŚ(), żeby liczyć na bieżący dzień.</t>
  </si>
  <si>
    <t xml:space="preserve">Numer noty</t>
  </si>
  <si>
    <t xml:space="preserve">NO/10/2026/001</t>
  </si>
  <si>
    <t xml:space="preserve">Miejscowość</t>
  </si>
  <si>
    <t xml:space="preserve">Warszawa</t>
  </si>
  <si>
    <t xml:space="preserve">Termin zapłaty noty (dni)</t>
  </si>
  <si>
    <t xml:space="preserve">Wystawca (wierzyciel)</t>
  </si>
  <si>
    <t xml:space="preserve">Odbiorca (dłużnik)</t>
  </si>
  <si>
    <t xml:space="preserve">Nazwa</t>
  </si>
  <si>
    <t xml:space="preserve">[Pełna nazwa firmy]</t>
  </si>
  <si>
    <t xml:space="preserve">[Pełna nazwa firmy albo imię i nazwisko]</t>
  </si>
  <si>
    <t xml:space="preserve">Adres</t>
  </si>
  <si>
    <t xml:space="preserve">[Adres siedziby]</t>
  </si>
  <si>
    <t xml:space="preserve">[Adres]</t>
  </si>
  <si>
    <t xml:space="preserve">NIP</t>
  </si>
  <si>
    <t xml:space="preserve">[NIP]</t>
  </si>
  <si>
    <t xml:space="preserve">[NIP, jeśli dłużnik jest firmą]</t>
  </si>
  <si>
    <t xml:space="preserve">Bank</t>
  </si>
  <si>
    <t xml:space="preserve">[Nazwa banku]</t>
  </si>
  <si>
    <t xml:space="preserve">Numer rachunku</t>
  </si>
  <si>
    <t xml:space="preserve">[Numer rachunku]</t>
  </si>
  <si>
    <t xml:space="preserve">Osoba wystawiająca</t>
  </si>
  <si>
    <t xml:space="preserve">[Imię i nazwisko, stanowisko]</t>
  </si>
  <si>
    <t xml:space="preserve">Faktury</t>
  </si>
  <si>
    <t xml:space="preserve">Faktura nr</t>
  </si>
  <si>
    <t xml:space="preserve">Kwota (zł)</t>
  </si>
  <si>
    <t xml:space="preserve">Termin płatności</t>
  </si>
  <si>
    <t xml:space="preserve">Data zapłaty (puste, jeśli niezapłacona)</t>
  </si>
  <si>
    <t xml:space="preserve">Kurs EUR NBP (zł)</t>
  </si>
  <si>
    <t xml:space="preserve">Data kursu</t>
  </si>
  <si>
    <t xml:space="preserve">Dni opóźnienia</t>
  </si>
  <si>
    <t xml:space="preserve">Odsetki (zł)</t>
  </si>
  <si>
    <t xml:space="preserve">Rekompensata (euro)</t>
  </si>
  <si>
    <t xml:space="preserve">Rekompensata (zł)</t>
  </si>
  <si>
    <t xml:space="preserve">Razem (zł)</t>
  </si>
  <si>
    <t xml:space="preserve">Uwagi</t>
  </si>
  <si>
    <t xml:space="preserve">FV/2026/06/015</t>
  </si>
  <si>
    <t xml:space="preserve">FV/2024/12/088</t>
  </si>
  <si>
    <t xml:space="preserve">Odsetki razem</t>
  </si>
  <si>
    <t xml:space="preserve">Rekompensata razem</t>
  </si>
  <si>
    <t xml:space="preserve">Razem do zapłaty</t>
  </si>
  <si>
    <t xml:space="preserve">Dni opóźnienia liczą się od dnia po terminie płatności do dnia zapłaty, a przy fakturze niezapłaconej do daty noty. Rok ma 365 dni.</t>
  </si>
  <si>
    <t xml:space="preserve">Odsetki są liczone osobno dla każdego okresu stawki i zaokrąglane do grosza. Szczegóły widać w arkuszu Obliczenia, a wiersze trafiają na notę.</t>
  </si>
  <si>
    <t xml:space="preserve">Gdy termin płatności wypadł w sobotę albo w dzień ustawowo wolny od pracy, wpisz najbliższy dzień roboczy (art. 115 Kodeksu cywilnego).</t>
  </si>
  <si>
    <t xml:space="preserve">Rekompensata 40, 70 albo 100 euro należy się tylko w transakcjach handlowych. Kurs to średni kurs euro z tabeli A NBP z ostatniego dnia roboczego miesiąca poprzedzającego miesiąc, w którym płatność stała się wymagalna.</t>
  </si>
  <si>
    <t xml:space="preserve">Kolumna Data kursu podpowiada ten dzień. Jeśli wypadło wtedy święto, wpisz wcześniejszy dzień roboczy i kurs z tego dnia. Kursy znajdziesz na nbp.pl w archiwum tabel A.</t>
  </si>
  <si>
    <t xml:space="preserve">pomocnicze</t>
  </si>
  <si>
    <t xml:space="preserve">Okres opóźnienia</t>
  </si>
  <si>
    <t xml:space="preserve">Dni</t>
  </si>
  <si>
    <t xml:space="preserve">Stawka</t>
  </si>
  <si>
    <t xml:space="preserve">Odsetki za opóźnienie i rekompensata za koszty odzyskiwania należności nie podlegają opodatkowaniu podatkiem od towarów i usług. Nota nie jest fakturą.</t>
  </si>
  <si>
    <t xml:space="preserve">podpis albo oznaczenie wystawcy</t>
  </si>
  <si>
    <t xml:space="preserve">Stawki odsetek</t>
  </si>
  <si>
    <t xml:space="preserve">Stan na 2 października 2026 r. Żółte puste wiersze są na kolejne zmiany.</t>
  </si>
  <si>
    <t xml:space="preserve">Odsetki w transakcjach handlowych (półrocza)</t>
  </si>
  <si>
    <t xml:space="preserve">Odsetki ustawowe za opóźnienie (art. 481 KC)</t>
  </si>
  <si>
    <t xml:space="preserve">Rodzaje odsetek (lista wyboru)</t>
  </si>
  <si>
    <t xml:space="preserve">Od</t>
  </si>
  <si>
    <t xml:space="preserve">Do</t>
  </si>
  <si>
    <t xml:space="preserve">Publiczny podmiot leczniczy</t>
  </si>
  <si>
    <t xml:space="preserve">Rodzaj</t>
  </si>
  <si>
    <t xml:space="preserve">Publiczny podmiot leczniczy (transakcja handlowa)</t>
  </si>
  <si>
    <t xml:space="preserve">Konsument (odsetki ustawowe za opóźnienie)</t>
  </si>
  <si>
    <t xml:space="preserve">Po każdej zmianie stopy referencyjnej NBP dopisz nowy wiersz w tabeli odsetek ustawowych za opóźnienie, a co pół roku nowy wiersz w tabeli odsetek handlowych. Zamknij poprzedni okres, wpisując datę w kolumnie Do.</t>
  </si>
  <si>
    <t xml:space="preserve">Ostatni okres odsetek ustawowych za opóźnienie ma pustą kolumnę Do, czyli obowiązuje do odwołania.</t>
  </si>
  <si>
    <t xml:space="preserve">Odsetki handlowe to stopa referencyjna NBP z 1 stycznia albo 1 lipca plus 10 punktów procentowych (plus 8 punktów, gdy dłużnikiem jest publiczny podmiot leczniczy). Odsetki ustawowe za opóźnienie to stopa referencyjna NBP plus 5,5 punktu procentowego.</t>
  </si>
  <si>
    <t xml:space="preserve">Źródła. Obwieszczenia ministra właściwego do spraw gospodarki (odsetki handlowe) i Ministra Sprawiedliwości (odsetki ustawowe za opóźnienie) w Monitorze Polskim, isap.sejm.gov.pl.</t>
  </si>
  <si>
    <t xml:space="preserve">Faktura (pozycja)</t>
  </si>
  <si>
    <t xml:space="preserve">Okres (pozycja)</t>
  </si>
  <si>
    <t xml:space="preserve">Kwota</t>
  </si>
  <si>
    <t xml:space="preserve">Pierwszy dzień opóźnienia</t>
  </si>
  <si>
    <t xml:space="preserve">Ostatni dzień opóźnienia</t>
  </si>
  <si>
    <t xml:space="preserve">Okres od</t>
  </si>
  <si>
    <t xml:space="preserve">Okres do</t>
  </si>
  <si>
    <t xml:space="preserve">Dni w okresie</t>
  </si>
  <si>
    <t xml:space="preserve">Liczone od</t>
  </si>
  <si>
    <t xml:space="preserve">Liczone do</t>
  </si>
  <si>
    <t xml:space="preserve">Odsetki</t>
  </si>
  <si>
    <t xml:space="preserve">Wiersz na nocie</t>
  </si>
  <si>
    <t xml:space="preserve">Licznik</t>
  </si>
  <si>
    <t xml:space="preserve">Rekompensata na nocie</t>
  </si>
  <si>
    <t xml:space="preserve">Arkusz pomocniczy. Nie edytuj, formuły pobierają dane z arkuszy Wyliczenie i Stawki.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</si>
</sst>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\.mm\.yyyy"/>
    <numFmt numFmtId="166" formatCode="0"/>
    <numFmt numFmtId="167" formatCode="#,##0.00&quot; zł&quot;"/>
    <numFmt numFmtId="168" formatCode="0.0000"/>
    <numFmt numFmtId="169" formatCode="General"/>
    <numFmt numFmtId="170" formatCode="0.00%"/>
    <numFmt numFmtId="171" formatCode="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1F1A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10"/>
      <color rgb="FF7F7F7F"/>
      <name val="Calibri"/>
      <family val="0"/>
      <charset val="1"/>
    </font>
    <font>
      <u val="single"/>
      <sz val="11"/>
      <color rgb="FF1F5FBF"/>
      <name val="Calibri"/>
      <family val="0"/>
      <charset val="1"/>
    </font>
    <font>
      <sz val="11"/>
      <name val="Calibri"/>
      <family val="0"/>
      <charset val="1"/>
    </font>
    <font>
      <b val="true"/>
      <sz val="16"/>
      <color rgb="FF0A1F1A"/>
      <name val="Calibri"/>
      <family val="0"/>
      <charset val="1"/>
    </font>
    <font>
      <b val="true"/>
      <sz val="10"/>
      <color rgb="FF5F6B67"/>
      <name val="Calibri"/>
      <family val="0"/>
      <charset val="1"/>
    </font>
    <font>
      <sz val="10"/>
      <name val="Calibri"/>
      <family val="0"/>
      <charset val="1"/>
    </font>
    <font>
      <sz val="8"/>
      <color rgb="FFBFBFBF"/>
      <name val="Calibri"/>
      <family val="0"/>
      <charset val="1"/>
    </font>
    <font>
      <b val="true"/>
      <sz val="12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EF0EF"/>
      </patternFill>
    </fill>
    <fill>
      <patternFill patternType="solid">
        <fgColor rgb="FFD9D9D9"/>
        <bgColor rgb="FFD0D4D2"/>
      </patternFill>
    </fill>
    <fill>
      <patternFill patternType="solid">
        <fgColor rgb="FFEEF0EF"/>
        <bgColor rgb="FFFFF2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BFBFB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border diagonalUp="false" diagonalDown="false">
        <left/>
        <right/>
        <top/>
        <bottom style="thin">
          <color rgb="FFD0D4D2"/>
        </bottom>
        <diagonal/>
      </border>
    </dxf>
  </dxfs>
  <colors>
    <indexedColors>
      <rgbColor rgb="FF000000"/>
      <rgbColor rgb="FFEEF0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1F5FBF"/>
      <rgbColor rgb="FFD0D4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B67"/>
      <rgbColor rgb="FF969696"/>
      <rgbColor rgb="FF003366"/>
      <rgbColor rgb="FF339966"/>
      <rgbColor rgb="FF0A1F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unbay.io/pl/kalkulator-odsetek" TargetMode="External"/><Relationship Id="rId2" Type="http://schemas.openxmlformats.org/officeDocument/2006/relationships/hyperlink" Target="https://sunbay.io/p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30.75" hidden="false" customHeight="true" outlineLevel="0" collapsed="false">
      <c r="A4" s="3" t="s">
        <v>2</v>
      </c>
    </row>
    <row r="5" customFormat="false" ht="30.75" hidden="false" customHeight="true" outlineLevel="0" collapsed="false">
      <c r="A5" s="3" t="s">
        <v>3</v>
      </c>
    </row>
    <row r="6" customFormat="false" ht="30.75" hidden="false" customHeight="true" outlineLevel="0" collapsed="false">
      <c r="A6" s="3" t="s">
        <v>4</v>
      </c>
    </row>
    <row r="7" customFormat="false" ht="30.75" hidden="false" customHeight="true" outlineLevel="0" collapsed="false">
      <c r="A7" s="3" t="s">
        <v>5</v>
      </c>
    </row>
    <row r="8" customFormat="false" ht="30.75" hidden="false" customHeight="true" outlineLevel="0" collapsed="false">
      <c r="A8" s="3" t="s">
        <v>6</v>
      </c>
    </row>
    <row r="9" customFormat="false" ht="30.75" hidden="false" customHeight="true" outlineLevel="0" collapsed="false">
      <c r="A9" s="3" t="s">
        <v>7</v>
      </c>
    </row>
    <row r="11" customFormat="false" ht="30.75" hidden="false" customHeight="true" outlineLevel="0" collapsed="false">
      <c r="A11" s="4" t="s">
        <v>8</v>
      </c>
    </row>
    <row r="12" customFormat="false" ht="30.75" hidden="false" customHeight="true" outlineLevel="0" collapsed="false">
      <c r="A12" s="4" t="s">
        <v>9</v>
      </c>
    </row>
    <row r="14" customFormat="false" ht="14.9" hidden="false" customHeight="false" outlineLevel="0" collapsed="false">
      <c r="A14" s="5" t="s">
        <v>10</v>
      </c>
    </row>
    <row r="15" customFormat="false" ht="14.9" hidden="false" customHeight="false" outlineLevel="0" collapsed="false">
      <c r="A15" s="5" t="s">
        <v>11</v>
      </c>
    </row>
  </sheetData>
  <hyperlinks>
    <hyperlink ref="A14" r:id="rId1" display="Kalkulator online z gotową notą w PDF znajdziesz na sunbay.io/pl/kalkulator-odsetek"/>
    <hyperlink ref="A15" r:id="rId2" display="Szablon przygotował Sunbay, system do zarządzania windykacją z AI. sunbay.io/p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0" topLeftCell="A2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14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1"/>
    <col collapsed="false" customWidth="true" hidden="false" outlineLevel="0" max="8" min="8" style="0" width="14"/>
    <col collapsed="false" customWidth="true" hidden="false" outlineLevel="0" max="9" min="9" style="0" width="13"/>
    <col collapsed="false" customWidth="true" hidden="false" outlineLevel="0" max="11" min="10" style="0" width="14"/>
    <col collapsed="false" customWidth="true" hidden="false" outlineLevel="0" max="12" min="12" style="0" width="18"/>
  </cols>
  <sheetData>
    <row r="1" customFormat="false" ht="17.35" hidden="false" customHeight="false" outlineLevel="0" collapsed="false">
      <c r="A1" s="1" t="s">
        <v>12</v>
      </c>
    </row>
    <row r="2" customFormat="false" ht="15" hidden="false" customHeight="false" outlineLevel="0" collapsed="false">
      <c r="A2" s="6" t="s">
        <v>13</v>
      </c>
    </row>
    <row r="4" customFormat="false" ht="15" hidden="false" customHeight="false" outlineLevel="0" collapsed="false">
      <c r="A4" s="2" t="s">
        <v>14</v>
      </c>
    </row>
    <row r="5" customFormat="false" ht="15" hidden="false" customHeight="false" outlineLevel="0" collapsed="false">
      <c r="A5" s="0" t="s">
        <v>15</v>
      </c>
      <c r="B5" s="7" t="s">
        <v>16</v>
      </c>
      <c r="C5" s="7"/>
      <c r="D5" s="7"/>
    </row>
    <row r="6" customFormat="false" ht="15" hidden="false" customHeight="false" outlineLevel="0" collapsed="false">
      <c r="A6" s="0" t="s">
        <v>17</v>
      </c>
      <c r="B6" s="8" t="n">
        <v>46297</v>
      </c>
      <c r="E6" s="6" t="s">
        <v>18</v>
      </c>
    </row>
    <row r="7" customFormat="false" ht="15" hidden="false" customHeight="false" outlineLevel="0" collapsed="false">
      <c r="A7" s="0" t="s">
        <v>19</v>
      </c>
      <c r="B7" s="7" t="s">
        <v>20</v>
      </c>
    </row>
    <row r="8" customFormat="false" ht="15" hidden="false" customHeight="false" outlineLevel="0" collapsed="false">
      <c r="A8" s="0" t="s">
        <v>21</v>
      </c>
      <c r="B8" s="7" t="s">
        <v>22</v>
      </c>
    </row>
    <row r="9" customFormat="false" ht="15" hidden="false" customHeight="false" outlineLevel="0" collapsed="false">
      <c r="A9" s="0" t="s">
        <v>23</v>
      </c>
      <c r="B9" s="9" t="n">
        <v>7</v>
      </c>
    </row>
    <row r="11" customFormat="false" ht="15" hidden="false" customHeight="false" outlineLevel="0" collapsed="false">
      <c r="A11" s="2" t="s">
        <v>24</v>
      </c>
      <c r="D11" s="2" t="s">
        <v>25</v>
      </c>
    </row>
    <row r="12" customFormat="false" ht="15" hidden="false" customHeight="false" outlineLevel="0" collapsed="false">
      <c r="A12" s="0" t="s">
        <v>26</v>
      </c>
      <c r="B12" s="7" t="s">
        <v>27</v>
      </c>
      <c r="C12" s="7"/>
      <c r="D12" s="10" t="s">
        <v>26</v>
      </c>
      <c r="E12" s="7" t="s">
        <v>28</v>
      </c>
      <c r="F12" s="7"/>
      <c r="G12" s="7"/>
      <c r="H12" s="7"/>
    </row>
    <row r="13" customFormat="false" ht="15" hidden="false" customHeight="false" outlineLevel="0" collapsed="false">
      <c r="A13" s="0" t="s">
        <v>29</v>
      </c>
      <c r="B13" s="7" t="s">
        <v>30</v>
      </c>
      <c r="C13" s="7"/>
      <c r="D13" s="10" t="s">
        <v>29</v>
      </c>
      <c r="E13" s="7" t="s">
        <v>31</v>
      </c>
      <c r="F13" s="7"/>
      <c r="G13" s="7"/>
      <c r="H13" s="7"/>
    </row>
    <row r="14" customFormat="false" ht="15" hidden="false" customHeight="false" outlineLevel="0" collapsed="false">
      <c r="A14" s="0" t="s">
        <v>32</v>
      </c>
      <c r="B14" s="7" t="s">
        <v>33</v>
      </c>
      <c r="C14" s="7"/>
      <c r="D14" s="10" t="s">
        <v>32</v>
      </c>
      <c r="E14" s="7" t="s">
        <v>34</v>
      </c>
      <c r="F14" s="7"/>
      <c r="G14" s="7"/>
      <c r="H14" s="7"/>
    </row>
    <row r="16" customFormat="false" ht="15" hidden="false" customHeight="false" outlineLevel="0" collapsed="false">
      <c r="A16" s="0" t="s">
        <v>35</v>
      </c>
      <c r="B16" s="7" t="s">
        <v>36</v>
      </c>
      <c r="C16" s="7"/>
      <c r="D16" s="10" t="s">
        <v>37</v>
      </c>
      <c r="E16" s="7" t="s">
        <v>38</v>
      </c>
      <c r="F16" s="7"/>
      <c r="G16" s="7"/>
      <c r="H16" s="7"/>
    </row>
    <row r="17" customFormat="false" ht="15" hidden="false" customHeight="false" outlineLevel="0" collapsed="false">
      <c r="A17" s="0" t="s">
        <v>39</v>
      </c>
      <c r="B17" s="7" t="s">
        <v>40</v>
      </c>
      <c r="C17" s="7"/>
      <c r="D17" s="7"/>
    </row>
    <row r="19" customFormat="false" ht="15" hidden="false" customHeight="false" outlineLevel="0" collapsed="false">
      <c r="A19" s="2" t="s">
        <v>41</v>
      </c>
    </row>
    <row r="20" customFormat="false" ht="45" hidden="false" customHeight="true" outlineLevel="0" collapsed="false">
      <c r="A20" s="11" t="s">
        <v>42</v>
      </c>
      <c r="B20" s="11" t="s">
        <v>43</v>
      </c>
      <c r="C20" s="11" t="s">
        <v>44</v>
      </c>
      <c r="D20" s="11" t="s">
        <v>45</v>
      </c>
      <c r="E20" s="11" t="s">
        <v>46</v>
      </c>
      <c r="F20" s="11" t="s">
        <v>47</v>
      </c>
      <c r="G20" s="11" t="s">
        <v>48</v>
      </c>
      <c r="H20" s="11" t="s">
        <v>49</v>
      </c>
      <c r="I20" s="11" t="s">
        <v>50</v>
      </c>
      <c r="J20" s="11" t="s">
        <v>51</v>
      </c>
      <c r="K20" s="11" t="s">
        <v>52</v>
      </c>
      <c r="L20" s="11" t="s">
        <v>53</v>
      </c>
    </row>
    <row r="21" customFormat="false" ht="15" hidden="false" customHeight="false" outlineLevel="0" collapsed="false">
      <c r="A21" s="7" t="s">
        <v>54</v>
      </c>
      <c r="B21" s="12" t="n">
        <v>24600</v>
      </c>
      <c r="C21" s="8" t="n">
        <v>46188</v>
      </c>
      <c r="D21" s="8" t="n">
        <v>46248</v>
      </c>
      <c r="E21" s="13" t="n">
        <v>4.2322</v>
      </c>
      <c r="F21" s="8" t="n">
        <f aca="false">IF(C21="","",WORKDAY(DATE(YEAR(C21),MONTH(C21),1),-1))</f>
        <v>46171</v>
      </c>
      <c r="G21" s="14" t="n">
        <f aca="false">IF(OR(B21="",C21=""),"",MAX(0,IF(D21="",$B$6,D21)-C21))</f>
        <v>60</v>
      </c>
      <c r="H21" s="15" t="n">
        <f aca="false">IF(G21="","",SUMIF(Obliczenia!$A$2:$A$129,1,Obliczenia!$M$2:$M$129))</f>
        <v>558.55</v>
      </c>
      <c r="I21" s="14" t="n">
        <f aca="false">IF(OR(G21="",N(G21)&lt;=0,$B$5=Stawki!$K$7),"",IF(B21&lt;=5000,40,IF(B21&lt;50000,70,100)))</f>
        <v>70</v>
      </c>
      <c r="J21" s="15" t="n">
        <f aca="false">IF(OR(I21="",E21=""),"",ROUND(I21*E21,2))</f>
        <v>296.25</v>
      </c>
      <c r="K21" s="15" t="n">
        <f aca="false">IF(G21="","",N(H21)+N(J21))</f>
        <v>854.8</v>
      </c>
      <c r="L21" s="16" t="str">
        <f aca="false">IF(AND(I21&lt;&gt;"",E21=""),"wpisz kurs EUR","")</f>
        <v/>
      </c>
    </row>
    <row r="22" customFormat="false" ht="15" hidden="false" customHeight="false" outlineLevel="0" collapsed="false">
      <c r="A22" s="7" t="s">
        <v>55</v>
      </c>
      <c r="B22" s="12" t="n">
        <v>10000</v>
      </c>
      <c r="C22" s="8" t="n">
        <v>45657</v>
      </c>
      <c r="D22" s="8" t="n">
        <v>46295</v>
      </c>
      <c r="E22" s="13" t="n">
        <v>4.3043</v>
      </c>
      <c r="F22" s="8" t="n">
        <f aca="false">IF(C22="","",WORKDAY(DATE(YEAR(C22),MONTH(C22),1),-1))</f>
        <v>45625</v>
      </c>
      <c r="G22" s="14" t="n">
        <f aca="false">IF(OR(B22="",C22=""),"",MAX(0,IF(D22="",$B$6,D22)-C22))</f>
        <v>638</v>
      </c>
      <c r="H22" s="15" t="n">
        <f aca="false">IF(G22="","",SUMIF(Obliczenia!$A$2:$A$129,2,Obliczenia!$M$2:$M$129))</f>
        <v>2590.63</v>
      </c>
      <c r="I22" s="14" t="n">
        <f aca="false">IF(OR(G22="",N(G22)&lt;=0,$B$5=Stawki!$K$7),"",IF(B22&lt;=5000,40,IF(B22&lt;50000,70,100)))</f>
        <v>70</v>
      </c>
      <c r="J22" s="15" t="n">
        <f aca="false">IF(OR(I22="",E22=""),"",ROUND(I22*E22,2))</f>
        <v>301.3</v>
      </c>
      <c r="K22" s="15" t="n">
        <f aca="false">IF(G22="","",N(H22)+N(J22))</f>
        <v>2891.93</v>
      </c>
      <c r="L22" s="16" t="str">
        <f aca="false">IF(AND(I22&lt;&gt;"",E22=""),"wpisz kurs EUR","")</f>
        <v/>
      </c>
    </row>
    <row r="23" customFormat="false" ht="15" hidden="false" customHeight="false" outlineLevel="0" collapsed="false">
      <c r="A23" s="7"/>
      <c r="B23" s="12"/>
      <c r="C23" s="8"/>
      <c r="D23" s="8"/>
      <c r="E23" s="13"/>
      <c r="F23" s="8" t="str">
        <f aca="false">IF(C23="","",WORKDAY(DATE(YEAR(C23),MONTH(C23),1),-1))</f>
        <v/>
      </c>
      <c r="G23" s="14" t="str">
        <f aca="false">IF(OR(B23="",C23=""),"",MAX(0,IF(D23="",$B$6,D23)-C23))</f>
        <v/>
      </c>
      <c r="H23" s="15" t="str">
        <f aca="false">IF(G23="","",SUMIF(Obliczenia!$A$2:$A$129,3,Obliczenia!$M$2:$M$129))</f>
        <v/>
      </c>
      <c r="I23" s="14" t="str">
        <f aca="false">IF(OR(G23="",N(G23)&lt;=0,$B$5=Stawki!$K$7),"",IF(B23&lt;=5000,40,IF(B23&lt;50000,70,100)))</f>
        <v/>
      </c>
      <c r="J23" s="15" t="str">
        <f aca="false">IF(OR(I23="",E23=""),"",ROUND(I23*E23,2))</f>
        <v/>
      </c>
      <c r="K23" s="15" t="str">
        <f aca="false">IF(G23="","",N(H23)+N(J23))</f>
        <v/>
      </c>
      <c r="L23" s="16" t="str">
        <f aca="false">IF(AND(I23&lt;&gt;"",E23=""),"wpisz kurs EUR","")</f>
        <v/>
      </c>
    </row>
    <row r="24" customFormat="false" ht="15" hidden="false" customHeight="false" outlineLevel="0" collapsed="false">
      <c r="A24" s="7"/>
      <c r="B24" s="12"/>
      <c r="C24" s="8"/>
      <c r="D24" s="8"/>
      <c r="E24" s="13"/>
      <c r="F24" s="8" t="str">
        <f aca="false">IF(C24="","",WORKDAY(DATE(YEAR(C24),MONTH(C24),1),-1))</f>
        <v/>
      </c>
      <c r="G24" s="14" t="str">
        <f aca="false">IF(OR(B24="",C24=""),"",MAX(0,IF(D24="",$B$6,D24)-C24))</f>
        <v/>
      </c>
      <c r="H24" s="15" t="str">
        <f aca="false">IF(G24="","",SUMIF(Obliczenia!$A$2:$A$129,4,Obliczenia!$M$2:$M$129))</f>
        <v/>
      </c>
      <c r="I24" s="14" t="str">
        <f aca="false">IF(OR(G24="",N(G24)&lt;=0,$B$5=Stawki!$K$7),"",IF(B24&lt;=5000,40,IF(B24&lt;50000,70,100)))</f>
        <v/>
      </c>
      <c r="J24" s="15" t="str">
        <f aca="false">IF(OR(I24="",E24=""),"",ROUND(I24*E24,2))</f>
        <v/>
      </c>
      <c r="K24" s="15" t="str">
        <f aca="false">IF(G24="","",N(H24)+N(J24))</f>
        <v/>
      </c>
      <c r="L24" s="16" t="str">
        <f aca="false">IF(AND(I24&lt;&gt;"",E24=""),"wpisz kurs EUR","")</f>
        <v/>
      </c>
    </row>
    <row r="25" customFormat="false" ht="15" hidden="false" customHeight="false" outlineLevel="0" collapsed="false">
      <c r="A25" s="7"/>
      <c r="B25" s="12"/>
      <c r="C25" s="8"/>
      <c r="D25" s="8"/>
      <c r="E25" s="13"/>
      <c r="F25" s="8" t="str">
        <f aca="false">IF(C25="","",WORKDAY(DATE(YEAR(C25),MONTH(C25),1),-1))</f>
        <v/>
      </c>
      <c r="G25" s="14" t="str">
        <f aca="false">IF(OR(B25="",C25=""),"",MAX(0,IF(D25="",$B$6,D25)-C25))</f>
        <v/>
      </c>
      <c r="H25" s="15" t="str">
        <f aca="false">IF(G25="","",SUMIF(Obliczenia!$A$2:$A$129,5,Obliczenia!$M$2:$M$129))</f>
        <v/>
      </c>
      <c r="I25" s="14" t="str">
        <f aca="false">IF(OR(G25="",N(G25)&lt;=0,$B$5=Stawki!$K$7),"",IF(B25&lt;=5000,40,IF(B25&lt;50000,70,100)))</f>
        <v/>
      </c>
      <c r="J25" s="15" t="str">
        <f aca="false">IF(OR(I25="",E25=""),"",ROUND(I25*E25,2))</f>
        <v/>
      </c>
      <c r="K25" s="15" t="str">
        <f aca="false">IF(G25="","",N(H25)+N(J25))</f>
        <v/>
      </c>
      <c r="L25" s="16" t="str">
        <f aca="false">IF(AND(I25&lt;&gt;"",E25=""),"wpisz kurs EUR","")</f>
        <v/>
      </c>
    </row>
    <row r="26" customFormat="false" ht="15" hidden="false" customHeight="false" outlineLevel="0" collapsed="false">
      <c r="A26" s="7"/>
      <c r="B26" s="12"/>
      <c r="C26" s="8"/>
      <c r="D26" s="8"/>
      <c r="E26" s="13"/>
      <c r="F26" s="8" t="str">
        <f aca="false">IF(C26="","",WORKDAY(DATE(YEAR(C26),MONTH(C26),1),-1))</f>
        <v/>
      </c>
      <c r="G26" s="14" t="str">
        <f aca="false">IF(OR(B26="",C26=""),"",MAX(0,IF(D26="",$B$6,D26)-C26))</f>
        <v/>
      </c>
      <c r="H26" s="15" t="str">
        <f aca="false">IF(G26="","",SUMIF(Obliczenia!$A$2:$A$129,6,Obliczenia!$M$2:$M$129))</f>
        <v/>
      </c>
      <c r="I26" s="14" t="str">
        <f aca="false">IF(OR(G26="",N(G26)&lt;=0,$B$5=Stawki!$K$7),"",IF(B26&lt;=5000,40,IF(B26&lt;50000,70,100)))</f>
        <v/>
      </c>
      <c r="J26" s="15" t="str">
        <f aca="false">IF(OR(I26="",E26=""),"",ROUND(I26*E26,2))</f>
        <v/>
      </c>
      <c r="K26" s="15" t="str">
        <f aca="false">IF(G26="","",N(H26)+N(J26))</f>
        <v/>
      </c>
      <c r="L26" s="16" t="str">
        <f aca="false">IF(AND(I26&lt;&gt;"",E26=""),"wpisz kurs EUR","")</f>
        <v/>
      </c>
    </row>
    <row r="27" customFormat="false" ht="15" hidden="false" customHeight="false" outlineLevel="0" collapsed="false">
      <c r="A27" s="7"/>
      <c r="B27" s="12"/>
      <c r="C27" s="8"/>
      <c r="D27" s="8"/>
      <c r="E27" s="13"/>
      <c r="F27" s="8" t="str">
        <f aca="false">IF(C27="","",WORKDAY(DATE(YEAR(C27),MONTH(C27),1),-1))</f>
        <v/>
      </c>
      <c r="G27" s="14" t="str">
        <f aca="false">IF(OR(B27="",C27=""),"",MAX(0,IF(D27="",$B$6,D27)-C27))</f>
        <v/>
      </c>
      <c r="H27" s="15" t="str">
        <f aca="false">IF(G27="","",SUMIF(Obliczenia!$A$2:$A$129,7,Obliczenia!$M$2:$M$129))</f>
        <v/>
      </c>
      <c r="I27" s="14" t="str">
        <f aca="false">IF(OR(G27="",N(G27)&lt;=0,$B$5=Stawki!$K$7),"",IF(B27&lt;=5000,40,IF(B27&lt;50000,70,100)))</f>
        <v/>
      </c>
      <c r="J27" s="15" t="str">
        <f aca="false">IF(OR(I27="",E27=""),"",ROUND(I27*E27,2))</f>
        <v/>
      </c>
      <c r="K27" s="15" t="str">
        <f aca="false">IF(G27="","",N(H27)+N(J27))</f>
        <v/>
      </c>
      <c r="L27" s="16" t="str">
        <f aca="false">IF(AND(I27&lt;&gt;"",E27=""),"wpisz kurs EUR","")</f>
        <v/>
      </c>
    </row>
    <row r="28" customFormat="false" ht="15" hidden="false" customHeight="false" outlineLevel="0" collapsed="false">
      <c r="A28" s="7"/>
      <c r="B28" s="12"/>
      <c r="C28" s="8"/>
      <c r="D28" s="8"/>
      <c r="E28" s="13"/>
      <c r="F28" s="8" t="str">
        <f aca="false">IF(C28="","",WORKDAY(DATE(YEAR(C28),MONTH(C28),1),-1))</f>
        <v/>
      </c>
      <c r="G28" s="14" t="str">
        <f aca="false">IF(OR(B28="",C28=""),"",MAX(0,IF(D28="",$B$6,D28)-C28))</f>
        <v/>
      </c>
      <c r="H28" s="15" t="str">
        <f aca="false">IF(G28="","",SUMIF(Obliczenia!$A$2:$A$129,8,Obliczenia!$M$2:$M$129))</f>
        <v/>
      </c>
      <c r="I28" s="14" t="str">
        <f aca="false">IF(OR(G28="",N(G28)&lt;=0,$B$5=Stawki!$K$7),"",IF(B28&lt;=5000,40,IF(B28&lt;50000,70,100)))</f>
        <v/>
      </c>
      <c r="J28" s="15" t="str">
        <f aca="false">IF(OR(I28="",E28=""),"",ROUND(I28*E28,2))</f>
        <v/>
      </c>
      <c r="K28" s="15" t="str">
        <f aca="false">IF(G28="","",N(H28)+N(J28))</f>
        <v/>
      </c>
      <c r="L28" s="16" t="str">
        <f aca="false">IF(AND(I28&lt;&gt;"",E28=""),"wpisz kurs EUR","")</f>
        <v/>
      </c>
    </row>
    <row r="30" customFormat="false" ht="15" hidden="false" customHeight="false" outlineLevel="0" collapsed="false">
      <c r="J30" s="17" t="s">
        <v>56</v>
      </c>
      <c r="K30" s="18" t="n">
        <f aca="false">SUM(H21:H28)</f>
        <v>3149.18</v>
      </c>
    </row>
    <row r="31" customFormat="false" ht="15" hidden="false" customHeight="false" outlineLevel="0" collapsed="false">
      <c r="J31" s="17" t="s">
        <v>57</v>
      </c>
      <c r="K31" s="18" t="n">
        <f aca="false">SUM(J21:J28)</f>
        <v>597.55</v>
      </c>
    </row>
    <row r="32" customFormat="false" ht="15" hidden="false" customHeight="false" outlineLevel="0" collapsed="false">
      <c r="J32" s="19" t="s">
        <v>58</v>
      </c>
      <c r="K32" s="20" t="n">
        <f aca="false">SUM(K21:K28)</f>
        <v>3746.73</v>
      </c>
    </row>
    <row r="34" customFormat="false" ht="15" hidden="false" customHeight="false" outlineLevel="0" collapsed="false">
      <c r="A34" s="6" t="s">
        <v>59</v>
      </c>
    </row>
    <row r="35" customFormat="false" ht="15" hidden="false" customHeight="false" outlineLevel="0" collapsed="false">
      <c r="A35" s="6" t="s">
        <v>60</v>
      </c>
    </row>
    <row r="36" customFormat="false" ht="15" hidden="false" customHeight="false" outlineLevel="0" collapsed="false">
      <c r="A36" s="6" t="s">
        <v>61</v>
      </c>
    </row>
    <row r="37" customFormat="false" ht="15" hidden="false" customHeight="false" outlineLevel="0" collapsed="false">
      <c r="A37" s="6" t="s">
        <v>62</v>
      </c>
    </row>
    <row r="38" customFormat="false" ht="15" hidden="false" customHeight="false" outlineLevel="0" collapsed="false">
      <c r="A38" s="6" t="s">
        <v>63</v>
      </c>
    </row>
  </sheetData>
  <mergeCells count="10">
    <mergeCell ref="B5:D5"/>
    <mergeCell ref="B12:C12"/>
    <mergeCell ref="E12:H12"/>
    <mergeCell ref="B13:C13"/>
    <mergeCell ref="E13:H13"/>
    <mergeCell ref="B14:C14"/>
    <mergeCell ref="E14:H14"/>
    <mergeCell ref="B16:C16"/>
    <mergeCell ref="E16:H16"/>
    <mergeCell ref="B17:D17"/>
  </mergeCells>
  <dataValidations count="1">
    <dataValidation allowBlank="false" error="Wybierz rodzaj odsetek z listy." errorStyle="stop" errorTitle="Rodzaj odsetek" operator="between" prompt="Wybierz z listy." promptTitle="Rodzaj odsetek" showDropDown="false" showErrorMessage="false" showInputMessage="false" sqref="B5" type="list">
      <formula1>Stawki!$K$5:$K$7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33"/>
    <col collapsed="false" customWidth="true" hidden="false" outlineLevel="0" max="3" min="3" style="0" width="8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6" min="6" style="0" width="3"/>
    <col collapsed="false" customWidth="true" hidden="true" outlineLevel="0" max="7" min="7" style="0" width="6"/>
  </cols>
  <sheetData>
    <row r="1" customFormat="false" ht="15" hidden="false" customHeight="false" outlineLevel="0" collapsed="false">
      <c r="A1" s="21" t="str">
        <f aca="false">Wyliczenie!$B$8&amp;", "&amp;TEXT(DAY(Wyliczenie!$B$6),"00")&amp;"."&amp;TEXT(MONTH(Wyliczenie!$B$6),"00")&amp;"."&amp;YEAR(Wyliczenie!$B$6)&amp;" r."</f>
        <v>Warszawa, 02.10.2026 r.</v>
      </c>
      <c r="B1" s="21"/>
      <c r="C1" s="21"/>
      <c r="D1" s="21"/>
      <c r="E1" s="21"/>
    </row>
    <row r="3" customFormat="false" ht="25.5" hidden="false" customHeight="true" outlineLevel="0" collapsed="false">
      <c r="A3" s="22" t="str">
        <f aca="false">"NOTA ODSETKOWA nr "&amp;Wyliczenie!$B$7</f>
        <v>NOTA ODSETKOWA nr NO/10/2026/001</v>
      </c>
      <c r="B3" s="22"/>
      <c r="C3" s="22"/>
      <c r="D3" s="22"/>
      <c r="E3" s="22"/>
    </row>
    <row r="5" customFormat="false" ht="15" hidden="false" customHeight="false" outlineLevel="0" collapsed="false">
      <c r="A5" s="23" t="s">
        <v>24</v>
      </c>
      <c r="C5" s="24" t="s">
        <v>25</v>
      </c>
      <c r="D5" s="24"/>
      <c r="E5" s="24"/>
    </row>
    <row r="6" customFormat="false" ht="15" hidden="false" customHeight="false" outlineLevel="0" collapsed="false">
      <c r="A6" s="25" t="str">
        <f aca="false">Wyliczenie!$B$12</f>
        <v>[Pełna nazwa firmy]</v>
      </c>
      <c r="B6" s="25"/>
      <c r="C6" s="25" t="str">
        <f aca="false">Wyliczenie!$E$12</f>
        <v>[Pełna nazwa firmy albo imię i nazwisko]</v>
      </c>
      <c r="D6" s="25"/>
      <c r="E6" s="25"/>
    </row>
    <row r="7" customFormat="false" ht="15" hidden="false" customHeight="false" outlineLevel="0" collapsed="false">
      <c r="A7" s="25" t="str">
        <f aca="false">Wyliczenie!$B$13</f>
        <v>[Adres siedziby]</v>
      </c>
      <c r="B7" s="25"/>
      <c r="C7" s="25" t="str">
        <f aca="false">Wyliczenie!$E$13</f>
        <v>[Adres]</v>
      </c>
      <c r="D7" s="25"/>
      <c r="E7" s="25"/>
    </row>
    <row r="8" customFormat="false" ht="15" hidden="false" customHeight="false" outlineLevel="0" collapsed="false">
      <c r="A8" s="25" t="str">
        <f aca="false">"NIP "&amp;Wyliczenie!$B$14</f>
        <v>NIP [NIP]</v>
      </c>
      <c r="B8" s="25"/>
      <c r="C8" s="25" t="str">
        <f aca="false">"NIP "&amp;Wyliczenie!$E$14</f>
        <v>NIP [NIP, jeśli dłużnik jest firmą]</v>
      </c>
      <c r="D8" s="25"/>
      <c r="E8" s="25"/>
    </row>
    <row r="10" customFormat="false" ht="45.75" hidden="false" customHeight="true" outlineLevel="0" collapsed="false">
      <c r="A10" s="26" t="str">
        <f aca="false">IF(Wyliczenie!$B$5=Stawki!$K$7,"Na podstawie art. 481 § 1 i 2 Kodeksu cywilnego obciążamy "&amp;Wyliczenie!$E$12&amp;" odsetkami ustawowymi za opóźnienie w zapłacie niżej wymienionych faktur.","Na podstawie art. "&amp;IF(Wyliczenie!$B$5=Stawki!$K$6,"8","7")&amp;" ust. 1"&amp;IF(Wyliczenie!$K$31&gt;0," i art. 10 ust. 1","")&amp;" ustawy z dnia 8 marca 2013 r. o przeciwdziałaniu nadmiernym opóźnieniom w transakcjach handlowych obciążamy "&amp;Wyliczenie!$E$12&amp;" odsetkami ustawowymi za opóźnienie w transakcjach handlowych"&amp;IF(Wyliczenie!$K$31&gt;0," oraz rekompensatą za koszty odzyskiwania należności","")&amp;" w związku z zapłatą po terminie niżej wymienionych faktur.")</f>
        <v>Na podstawie art. 7 ust. 1 i art. 10 ust. 1 ustawy z dnia 8 marca 2013 r. o przeciwdziałaniu nadmiernym opóźnieniom w transakcjach handlowych obciążamy [Pełna nazwa firmy albo imię i nazwisko] odsetkami ustawowymi za opóźnienie w transakcjach handlowych oraz rekompensatą za koszty odzyskiwania należności w związku z zapłatą po terminie niżej wymienionych faktur.</v>
      </c>
      <c r="B10" s="26"/>
      <c r="C10" s="26"/>
      <c r="D10" s="26"/>
      <c r="E10" s="26"/>
    </row>
    <row r="11" customFormat="false" ht="15" hidden="false" customHeight="false" outlineLevel="0" collapsed="false">
      <c r="G11" s="27" t="s">
        <v>64</v>
      </c>
    </row>
    <row r="12" customFormat="false" ht="15" hidden="false" customHeight="false" outlineLevel="0" collapsed="false">
      <c r="A12" s="28" t="s">
        <v>42</v>
      </c>
      <c r="B12" s="28" t="s">
        <v>65</v>
      </c>
      <c r="C12" s="28" t="s">
        <v>66</v>
      </c>
      <c r="D12" s="28" t="s">
        <v>67</v>
      </c>
      <c r="E12" s="28" t="s">
        <v>49</v>
      </c>
    </row>
    <row r="13" customFormat="false" ht="15" hidden="false" customHeight="false" outlineLevel="0" collapsed="false">
      <c r="A13" s="29" t="str">
        <f aca="false">IF($G13="","",INDEX(Obliczenia!$C$2:$C$129,$G13))</f>
        <v>FV/2026/06/015</v>
      </c>
      <c r="B13" s="29" t="str">
        <f aca="false">IF($G13="","",TEXT(DAY(INDEX(Obliczenia!$K$2:$K$129,$G13)),"00")&amp;"."&amp;TEXT(MONTH(INDEX(Obliczenia!$K$2:$K$129,$G13)),"00")&amp;"."&amp;YEAR(INDEX(Obliczenia!$K$2:$K$129,$G13))&amp;" r. do "&amp;TEXT(DAY(INDEX(Obliczenia!$L$2:$L$129,$G13)),"00")&amp;"."&amp;TEXT(MONTH(INDEX(Obliczenia!$L$2:$L$129,$G13)),"00")&amp;"."&amp;YEAR(INDEX(Obliczenia!$L$2:$L$129,$G13))&amp;" r.")</f>
        <v>16.06.2026 r. do 30.06.2026 r.</v>
      </c>
      <c r="C13" s="30" t="n">
        <f aca="false">IF($G13="","",INDEX(Obliczenia!$J$2:$J$129,$G13))</f>
        <v>15</v>
      </c>
      <c r="D13" s="31" t="n">
        <f aca="false">IF($G13="","",INDEX(Obliczenia!$I$2:$I$129,$G13))</f>
        <v>0.14</v>
      </c>
      <c r="E13" s="32" t="n">
        <f aca="false">IF($G13="","",INDEX(Obliczenia!$M$2:$M$129,$G13))</f>
        <v>141.53</v>
      </c>
      <c r="G13" s="27" t="n">
        <f aca="false">IFERROR(MATCH(1,Obliczenia!$O$2:$O$129,0),"")</f>
        <v>7</v>
      </c>
    </row>
    <row r="14" customFormat="false" ht="15" hidden="false" customHeight="false" outlineLevel="0" collapsed="false">
      <c r="A14" s="29" t="str">
        <f aca="false">IF($G14="","",INDEX(Obliczenia!$C$2:$C$129,$G14))</f>
        <v>FV/2026/06/015</v>
      </c>
      <c r="B14" s="29" t="str">
        <f aca="false">IF($G14="","",TEXT(DAY(INDEX(Obliczenia!$K$2:$K$129,$G14)),"00")&amp;"."&amp;TEXT(MONTH(INDEX(Obliczenia!$K$2:$K$129,$G14)),"00")&amp;"."&amp;YEAR(INDEX(Obliczenia!$K$2:$K$129,$G14))&amp;" r. do "&amp;TEXT(DAY(INDEX(Obliczenia!$L$2:$L$129,$G14)),"00")&amp;"."&amp;TEXT(MONTH(INDEX(Obliczenia!$L$2:$L$129,$G14)),"00")&amp;"."&amp;YEAR(INDEX(Obliczenia!$L$2:$L$129,$G14))&amp;" r.")</f>
        <v>01.07.2026 r. do 14.08.2026 r.</v>
      </c>
      <c r="C14" s="30" t="n">
        <f aca="false">IF($G14="","",INDEX(Obliczenia!$J$2:$J$129,$G14))</f>
        <v>45</v>
      </c>
      <c r="D14" s="31" t="n">
        <f aca="false">IF($G14="","",INDEX(Obliczenia!$I$2:$I$129,$G14))</f>
        <v>0.1375</v>
      </c>
      <c r="E14" s="32" t="n">
        <f aca="false">IF($G14="","",INDEX(Obliczenia!$M$2:$M$129,$G14))</f>
        <v>417.02</v>
      </c>
      <c r="G14" s="27" t="n">
        <f aca="false">IFERROR(MATCH(2,Obliczenia!$O$2:$O$129,0),"")</f>
        <v>8</v>
      </c>
    </row>
    <row r="15" customFormat="false" ht="15" hidden="false" customHeight="false" outlineLevel="0" collapsed="false">
      <c r="A15" s="29" t="str">
        <f aca="false">IF($G15="","",INDEX(Obliczenia!$C$2:$C$129,$G15))</f>
        <v>FV/2024/12/088</v>
      </c>
      <c r="B15" s="29" t="str">
        <f aca="false">IF($G15="","",TEXT(DAY(INDEX(Obliczenia!$K$2:$K$129,$G15)),"00")&amp;"."&amp;TEXT(MONTH(INDEX(Obliczenia!$K$2:$K$129,$G15)),"00")&amp;"."&amp;YEAR(INDEX(Obliczenia!$K$2:$K$129,$G15))&amp;" r. do "&amp;TEXT(DAY(INDEX(Obliczenia!$L$2:$L$129,$G15)),"00")&amp;"."&amp;TEXT(MONTH(INDEX(Obliczenia!$L$2:$L$129,$G15)),"00")&amp;"."&amp;YEAR(INDEX(Obliczenia!$L$2:$L$129,$G15))&amp;" r.")</f>
        <v>01.01.2025 r. do 30.06.2025 r.</v>
      </c>
      <c r="C15" s="30" t="n">
        <f aca="false">IF($G15="","",INDEX(Obliczenia!$J$2:$J$129,$G15))</f>
        <v>181</v>
      </c>
      <c r="D15" s="31" t="n">
        <f aca="false">IF($G15="","",INDEX(Obliczenia!$I$2:$I$129,$G15))</f>
        <v>0.1575</v>
      </c>
      <c r="E15" s="32" t="n">
        <f aca="false">IF($G15="","",INDEX(Obliczenia!$M$2:$M$129,$G15))</f>
        <v>781.03</v>
      </c>
      <c r="G15" s="27" t="n">
        <f aca="false">IFERROR(MATCH(3,Obliczenia!$O$2:$O$129,0),"")</f>
        <v>21</v>
      </c>
    </row>
    <row r="16" customFormat="false" ht="15" hidden="false" customHeight="false" outlineLevel="0" collapsed="false">
      <c r="A16" s="29" t="str">
        <f aca="false">IF($G16="","",INDEX(Obliczenia!$C$2:$C$129,$G16))</f>
        <v>FV/2024/12/088</v>
      </c>
      <c r="B16" s="29" t="str">
        <f aca="false">IF($G16="","",TEXT(DAY(INDEX(Obliczenia!$K$2:$K$129,$G16)),"00")&amp;"."&amp;TEXT(MONTH(INDEX(Obliczenia!$K$2:$K$129,$G16)),"00")&amp;"."&amp;YEAR(INDEX(Obliczenia!$K$2:$K$129,$G16))&amp;" r. do "&amp;TEXT(DAY(INDEX(Obliczenia!$L$2:$L$129,$G16)),"00")&amp;"."&amp;TEXT(MONTH(INDEX(Obliczenia!$L$2:$L$129,$G16)),"00")&amp;"."&amp;YEAR(INDEX(Obliczenia!$L$2:$L$129,$G16))&amp;" r.")</f>
        <v>01.07.2025 r. do 31.12.2025 r.</v>
      </c>
      <c r="C16" s="30" t="n">
        <f aca="false">IF($G16="","",INDEX(Obliczenia!$J$2:$J$129,$G16))</f>
        <v>184</v>
      </c>
      <c r="D16" s="31" t="n">
        <f aca="false">IF($G16="","",INDEX(Obliczenia!$I$2:$I$129,$G16))</f>
        <v>0.1525</v>
      </c>
      <c r="E16" s="32" t="n">
        <f aca="false">IF($G16="","",INDEX(Obliczenia!$M$2:$M$129,$G16))</f>
        <v>768.77</v>
      </c>
      <c r="G16" s="27" t="n">
        <f aca="false">IFERROR(MATCH(4,Obliczenia!$O$2:$O$129,0),"")</f>
        <v>22</v>
      </c>
    </row>
    <row r="17" customFormat="false" ht="15" hidden="false" customHeight="false" outlineLevel="0" collapsed="false">
      <c r="A17" s="29" t="str">
        <f aca="false">IF($G17="","",INDEX(Obliczenia!$C$2:$C$129,$G17))</f>
        <v>FV/2024/12/088</v>
      </c>
      <c r="B17" s="29" t="str">
        <f aca="false">IF($G17="","",TEXT(DAY(INDEX(Obliczenia!$K$2:$K$129,$G17)),"00")&amp;"."&amp;TEXT(MONTH(INDEX(Obliczenia!$K$2:$K$129,$G17)),"00")&amp;"."&amp;YEAR(INDEX(Obliczenia!$K$2:$K$129,$G17))&amp;" r. do "&amp;TEXT(DAY(INDEX(Obliczenia!$L$2:$L$129,$G17)),"00")&amp;"."&amp;TEXT(MONTH(INDEX(Obliczenia!$L$2:$L$129,$G17)),"00")&amp;"."&amp;YEAR(INDEX(Obliczenia!$L$2:$L$129,$G17))&amp;" r.")</f>
        <v>01.01.2026 r. do 30.06.2026 r.</v>
      </c>
      <c r="C17" s="30" t="n">
        <f aca="false">IF($G17="","",INDEX(Obliczenia!$J$2:$J$129,$G17))</f>
        <v>181</v>
      </c>
      <c r="D17" s="31" t="n">
        <f aca="false">IF($G17="","",INDEX(Obliczenia!$I$2:$I$129,$G17))</f>
        <v>0.14</v>
      </c>
      <c r="E17" s="32" t="n">
        <f aca="false">IF($G17="","",INDEX(Obliczenia!$M$2:$M$129,$G17))</f>
        <v>694.25</v>
      </c>
      <c r="G17" s="27" t="n">
        <f aca="false">IFERROR(MATCH(5,Obliczenia!$O$2:$O$129,0),"")</f>
        <v>23</v>
      </c>
    </row>
    <row r="18" customFormat="false" ht="15" hidden="false" customHeight="false" outlineLevel="0" collapsed="false">
      <c r="A18" s="29" t="str">
        <f aca="false">IF($G18="","",INDEX(Obliczenia!$C$2:$C$129,$G18))</f>
        <v>FV/2024/12/088</v>
      </c>
      <c r="B18" s="29" t="str">
        <f aca="false">IF($G18="","",TEXT(DAY(INDEX(Obliczenia!$K$2:$K$129,$G18)),"00")&amp;"."&amp;TEXT(MONTH(INDEX(Obliczenia!$K$2:$K$129,$G18)),"00")&amp;"."&amp;YEAR(INDEX(Obliczenia!$K$2:$K$129,$G18))&amp;" r. do "&amp;TEXT(DAY(INDEX(Obliczenia!$L$2:$L$129,$G18)),"00")&amp;"."&amp;TEXT(MONTH(INDEX(Obliczenia!$L$2:$L$129,$G18)),"00")&amp;"."&amp;YEAR(INDEX(Obliczenia!$L$2:$L$129,$G18))&amp;" r.")</f>
        <v>01.07.2026 r. do 30.09.2026 r.</v>
      </c>
      <c r="C18" s="30" t="n">
        <f aca="false">IF($G18="","",INDEX(Obliczenia!$J$2:$J$129,$G18))</f>
        <v>92</v>
      </c>
      <c r="D18" s="31" t="n">
        <f aca="false">IF($G18="","",INDEX(Obliczenia!$I$2:$I$129,$G18))</f>
        <v>0.1375</v>
      </c>
      <c r="E18" s="32" t="n">
        <f aca="false">IF($G18="","",INDEX(Obliczenia!$M$2:$M$129,$G18))</f>
        <v>346.58</v>
      </c>
      <c r="G18" s="27" t="n">
        <f aca="false">IFERROR(MATCH(6,Obliczenia!$O$2:$O$129,0),"")</f>
        <v>24</v>
      </c>
    </row>
    <row r="19" customFormat="false" ht="15" hidden="false" customHeight="false" outlineLevel="0" collapsed="false">
      <c r="A19" s="29" t="str">
        <f aca="false">IF($G19="","",INDEX(Obliczenia!$C$2:$C$129,$G19))</f>
        <v/>
      </c>
      <c r="B19" s="29" t="str">
        <f aca="false">IF($G19="","",TEXT(DAY(INDEX(Obliczenia!$K$2:$K$129,$G19)),"00")&amp;"."&amp;TEXT(MONTH(INDEX(Obliczenia!$K$2:$K$129,$G19)),"00")&amp;"."&amp;YEAR(INDEX(Obliczenia!$K$2:$K$129,$G19))&amp;" r. do "&amp;TEXT(DAY(INDEX(Obliczenia!$L$2:$L$129,$G19)),"00")&amp;"."&amp;TEXT(MONTH(INDEX(Obliczenia!$L$2:$L$129,$G19)),"00")&amp;"."&amp;YEAR(INDEX(Obliczenia!$L$2:$L$129,$G19))&amp;" r.")</f>
        <v/>
      </c>
      <c r="C19" s="30" t="str">
        <f aca="false">IF($G19="","",INDEX(Obliczenia!$J$2:$J$129,$G19))</f>
        <v/>
      </c>
      <c r="D19" s="31" t="str">
        <f aca="false">IF($G19="","",INDEX(Obliczenia!$I$2:$I$129,$G19))</f>
        <v/>
      </c>
      <c r="E19" s="32" t="str">
        <f aca="false">IF($G19="","",INDEX(Obliczenia!$M$2:$M$129,$G19))</f>
        <v/>
      </c>
      <c r="G19" s="27" t="str">
        <f aca="false">IFERROR(MATCH(7,Obliczenia!$O$2:$O$129,0),"")</f>
        <v/>
      </c>
    </row>
    <row r="20" customFormat="false" ht="15" hidden="false" customHeight="false" outlineLevel="0" collapsed="false">
      <c r="A20" s="29" t="str">
        <f aca="false">IF($G20="","",INDEX(Obliczenia!$C$2:$C$129,$G20))</f>
        <v/>
      </c>
      <c r="B20" s="29" t="str">
        <f aca="false">IF($G20="","",TEXT(DAY(INDEX(Obliczenia!$K$2:$K$129,$G20)),"00")&amp;"."&amp;TEXT(MONTH(INDEX(Obliczenia!$K$2:$K$129,$G20)),"00")&amp;"."&amp;YEAR(INDEX(Obliczenia!$K$2:$K$129,$G20))&amp;" r. do "&amp;TEXT(DAY(INDEX(Obliczenia!$L$2:$L$129,$G20)),"00")&amp;"."&amp;TEXT(MONTH(INDEX(Obliczenia!$L$2:$L$129,$G20)),"00")&amp;"."&amp;YEAR(INDEX(Obliczenia!$L$2:$L$129,$G20))&amp;" r.")</f>
        <v/>
      </c>
      <c r="C20" s="30" t="str">
        <f aca="false">IF($G20="","",INDEX(Obliczenia!$J$2:$J$129,$G20))</f>
        <v/>
      </c>
      <c r="D20" s="31" t="str">
        <f aca="false">IF($G20="","",INDEX(Obliczenia!$I$2:$I$129,$G20))</f>
        <v/>
      </c>
      <c r="E20" s="32" t="str">
        <f aca="false">IF($G20="","",INDEX(Obliczenia!$M$2:$M$129,$G20))</f>
        <v/>
      </c>
      <c r="G20" s="27" t="str">
        <f aca="false">IFERROR(MATCH(8,Obliczenia!$O$2:$O$129,0),"")</f>
        <v/>
      </c>
    </row>
    <row r="21" customFormat="false" ht="15" hidden="false" customHeight="false" outlineLevel="0" collapsed="false">
      <c r="A21" s="29" t="str">
        <f aca="false">IF($G21="","",INDEX(Obliczenia!$C$2:$C$129,$G21))</f>
        <v/>
      </c>
      <c r="B21" s="29" t="str">
        <f aca="false">IF($G21="","",TEXT(DAY(INDEX(Obliczenia!$K$2:$K$129,$G21)),"00")&amp;"."&amp;TEXT(MONTH(INDEX(Obliczenia!$K$2:$K$129,$G21)),"00")&amp;"."&amp;YEAR(INDEX(Obliczenia!$K$2:$K$129,$G21))&amp;" r. do "&amp;TEXT(DAY(INDEX(Obliczenia!$L$2:$L$129,$G21)),"00")&amp;"."&amp;TEXT(MONTH(INDEX(Obliczenia!$L$2:$L$129,$G21)),"00")&amp;"."&amp;YEAR(INDEX(Obliczenia!$L$2:$L$129,$G21))&amp;" r.")</f>
        <v/>
      </c>
      <c r="C21" s="30" t="str">
        <f aca="false">IF($G21="","",INDEX(Obliczenia!$J$2:$J$129,$G21))</f>
        <v/>
      </c>
      <c r="D21" s="31" t="str">
        <f aca="false">IF($G21="","",INDEX(Obliczenia!$I$2:$I$129,$G21))</f>
        <v/>
      </c>
      <c r="E21" s="32" t="str">
        <f aca="false">IF($G21="","",INDEX(Obliczenia!$M$2:$M$129,$G21))</f>
        <v/>
      </c>
      <c r="G21" s="27" t="str">
        <f aca="false">IFERROR(MATCH(9,Obliczenia!$O$2:$O$129,0),"")</f>
        <v/>
      </c>
    </row>
    <row r="22" customFormat="false" ht="15" hidden="false" customHeight="false" outlineLevel="0" collapsed="false">
      <c r="A22" s="29" t="str">
        <f aca="false">IF($G22="","",INDEX(Obliczenia!$C$2:$C$129,$G22))</f>
        <v/>
      </c>
      <c r="B22" s="29" t="str">
        <f aca="false">IF($G22="","",TEXT(DAY(INDEX(Obliczenia!$K$2:$K$129,$G22)),"00")&amp;"."&amp;TEXT(MONTH(INDEX(Obliczenia!$K$2:$K$129,$G22)),"00")&amp;"."&amp;YEAR(INDEX(Obliczenia!$K$2:$K$129,$G22))&amp;" r. do "&amp;TEXT(DAY(INDEX(Obliczenia!$L$2:$L$129,$G22)),"00")&amp;"."&amp;TEXT(MONTH(INDEX(Obliczenia!$L$2:$L$129,$G22)),"00")&amp;"."&amp;YEAR(INDEX(Obliczenia!$L$2:$L$129,$G22))&amp;" r.")</f>
        <v/>
      </c>
      <c r="C22" s="30" t="str">
        <f aca="false">IF($G22="","",INDEX(Obliczenia!$J$2:$J$129,$G22))</f>
        <v/>
      </c>
      <c r="D22" s="31" t="str">
        <f aca="false">IF($G22="","",INDEX(Obliczenia!$I$2:$I$129,$G22))</f>
        <v/>
      </c>
      <c r="E22" s="32" t="str">
        <f aca="false">IF($G22="","",INDEX(Obliczenia!$M$2:$M$129,$G22))</f>
        <v/>
      </c>
      <c r="G22" s="27" t="str">
        <f aca="false">IFERROR(MATCH(10,Obliczenia!$O$2:$O$129,0),"")</f>
        <v/>
      </c>
    </row>
    <row r="23" customFormat="false" ht="15" hidden="false" customHeight="false" outlineLevel="0" collapsed="false">
      <c r="A23" s="29" t="str">
        <f aca="false">IF($G23="","",INDEX(Obliczenia!$C$2:$C$129,$G23))</f>
        <v/>
      </c>
      <c r="B23" s="29" t="str">
        <f aca="false">IF($G23="","",TEXT(DAY(INDEX(Obliczenia!$K$2:$K$129,$G23)),"00")&amp;"."&amp;TEXT(MONTH(INDEX(Obliczenia!$K$2:$K$129,$G23)),"00")&amp;"."&amp;YEAR(INDEX(Obliczenia!$K$2:$K$129,$G23))&amp;" r. do "&amp;TEXT(DAY(INDEX(Obliczenia!$L$2:$L$129,$G23)),"00")&amp;"."&amp;TEXT(MONTH(INDEX(Obliczenia!$L$2:$L$129,$G23)),"00")&amp;"."&amp;YEAR(INDEX(Obliczenia!$L$2:$L$129,$G23))&amp;" r.")</f>
        <v/>
      </c>
      <c r="C23" s="30" t="str">
        <f aca="false">IF($G23="","",INDEX(Obliczenia!$J$2:$J$129,$G23))</f>
        <v/>
      </c>
      <c r="D23" s="31" t="str">
        <f aca="false">IF($G23="","",INDEX(Obliczenia!$I$2:$I$129,$G23))</f>
        <v/>
      </c>
      <c r="E23" s="32" t="str">
        <f aca="false">IF($G23="","",INDEX(Obliczenia!$M$2:$M$129,$G23))</f>
        <v/>
      </c>
      <c r="G23" s="27" t="str">
        <f aca="false">IFERROR(MATCH(11,Obliczenia!$O$2:$O$129,0),"")</f>
        <v/>
      </c>
    </row>
    <row r="24" customFormat="false" ht="15" hidden="false" customHeight="false" outlineLevel="0" collapsed="false">
      <c r="A24" s="29" t="str">
        <f aca="false">IF($G24="","",INDEX(Obliczenia!$C$2:$C$129,$G24))</f>
        <v/>
      </c>
      <c r="B24" s="29" t="str">
        <f aca="false">IF($G24="","",TEXT(DAY(INDEX(Obliczenia!$K$2:$K$129,$G24)),"00")&amp;"."&amp;TEXT(MONTH(INDEX(Obliczenia!$K$2:$K$129,$G24)),"00")&amp;"."&amp;YEAR(INDEX(Obliczenia!$K$2:$K$129,$G24))&amp;" r. do "&amp;TEXT(DAY(INDEX(Obliczenia!$L$2:$L$129,$G24)),"00")&amp;"."&amp;TEXT(MONTH(INDEX(Obliczenia!$L$2:$L$129,$G24)),"00")&amp;"."&amp;YEAR(INDEX(Obliczenia!$L$2:$L$129,$G24))&amp;" r.")</f>
        <v/>
      </c>
      <c r="C24" s="30" t="str">
        <f aca="false">IF($G24="","",INDEX(Obliczenia!$J$2:$J$129,$G24))</f>
        <v/>
      </c>
      <c r="D24" s="31" t="str">
        <f aca="false">IF($G24="","",INDEX(Obliczenia!$I$2:$I$129,$G24))</f>
        <v/>
      </c>
      <c r="E24" s="32" t="str">
        <f aca="false">IF($G24="","",INDEX(Obliczenia!$M$2:$M$129,$G24))</f>
        <v/>
      </c>
      <c r="G24" s="27" t="str">
        <f aca="false">IFERROR(MATCH(12,Obliczenia!$O$2:$O$129,0),"")</f>
        <v/>
      </c>
    </row>
    <row r="25" customFormat="false" ht="15" hidden="false" customHeight="false" outlineLevel="0" collapsed="false">
      <c r="A25" s="29" t="str">
        <f aca="false">IF($G25="","",INDEX(Obliczenia!$C$2:$C$129,$G25))</f>
        <v/>
      </c>
      <c r="B25" s="29" t="str">
        <f aca="false">IF($G25="","",TEXT(DAY(INDEX(Obliczenia!$K$2:$K$129,$G25)),"00")&amp;"."&amp;TEXT(MONTH(INDEX(Obliczenia!$K$2:$K$129,$G25)),"00")&amp;"."&amp;YEAR(INDEX(Obliczenia!$K$2:$K$129,$G25))&amp;" r. do "&amp;TEXT(DAY(INDEX(Obliczenia!$L$2:$L$129,$G25)),"00")&amp;"."&amp;TEXT(MONTH(INDEX(Obliczenia!$L$2:$L$129,$G25)),"00")&amp;"."&amp;YEAR(INDEX(Obliczenia!$L$2:$L$129,$G25))&amp;" r.")</f>
        <v/>
      </c>
      <c r="C25" s="30" t="str">
        <f aca="false">IF($G25="","",INDEX(Obliczenia!$J$2:$J$129,$G25))</f>
        <v/>
      </c>
      <c r="D25" s="31" t="str">
        <f aca="false">IF($G25="","",INDEX(Obliczenia!$I$2:$I$129,$G25))</f>
        <v/>
      </c>
      <c r="E25" s="32" t="str">
        <f aca="false">IF($G25="","",INDEX(Obliczenia!$M$2:$M$129,$G25))</f>
        <v/>
      </c>
      <c r="G25" s="27" t="str">
        <f aca="false">IFERROR(MATCH(13,Obliczenia!$O$2:$O$129,0),"")</f>
        <v/>
      </c>
    </row>
    <row r="26" customFormat="false" ht="15" hidden="false" customHeight="false" outlineLevel="0" collapsed="false">
      <c r="A26" s="29" t="str">
        <f aca="false">IF($G26="","",INDEX(Obliczenia!$C$2:$C$129,$G26))</f>
        <v/>
      </c>
      <c r="B26" s="29" t="str">
        <f aca="false">IF($G26="","",TEXT(DAY(INDEX(Obliczenia!$K$2:$K$129,$G26)),"00")&amp;"."&amp;TEXT(MONTH(INDEX(Obliczenia!$K$2:$K$129,$G26)),"00")&amp;"."&amp;YEAR(INDEX(Obliczenia!$K$2:$K$129,$G26))&amp;" r. do "&amp;TEXT(DAY(INDEX(Obliczenia!$L$2:$L$129,$G26)),"00")&amp;"."&amp;TEXT(MONTH(INDEX(Obliczenia!$L$2:$L$129,$G26)),"00")&amp;"."&amp;YEAR(INDEX(Obliczenia!$L$2:$L$129,$G26))&amp;" r.")</f>
        <v/>
      </c>
      <c r="C26" s="30" t="str">
        <f aca="false">IF($G26="","",INDEX(Obliczenia!$J$2:$J$129,$G26))</f>
        <v/>
      </c>
      <c r="D26" s="31" t="str">
        <f aca="false">IF($G26="","",INDEX(Obliczenia!$I$2:$I$129,$G26))</f>
        <v/>
      </c>
      <c r="E26" s="32" t="str">
        <f aca="false">IF($G26="","",INDEX(Obliczenia!$M$2:$M$129,$G26))</f>
        <v/>
      </c>
      <c r="G26" s="27" t="str">
        <f aca="false">IFERROR(MATCH(14,Obliczenia!$O$2:$O$129,0),"")</f>
        <v/>
      </c>
    </row>
    <row r="27" customFormat="false" ht="15" hidden="false" customHeight="false" outlineLevel="0" collapsed="false">
      <c r="A27" s="29" t="str">
        <f aca="false">IF($G27="","",INDEX(Obliczenia!$C$2:$C$129,$G27))</f>
        <v/>
      </c>
      <c r="B27" s="29" t="str">
        <f aca="false">IF($G27="","",TEXT(DAY(INDEX(Obliczenia!$K$2:$K$129,$G27)),"00")&amp;"."&amp;TEXT(MONTH(INDEX(Obliczenia!$K$2:$K$129,$G27)),"00")&amp;"."&amp;YEAR(INDEX(Obliczenia!$K$2:$K$129,$G27))&amp;" r. do "&amp;TEXT(DAY(INDEX(Obliczenia!$L$2:$L$129,$G27)),"00")&amp;"."&amp;TEXT(MONTH(INDEX(Obliczenia!$L$2:$L$129,$G27)),"00")&amp;"."&amp;YEAR(INDEX(Obliczenia!$L$2:$L$129,$G27))&amp;" r.")</f>
        <v/>
      </c>
      <c r="C27" s="30" t="str">
        <f aca="false">IF($G27="","",INDEX(Obliczenia!$J$2:$J$129,$G27))</f>
        <v/>
      </c>
      <c r="D27" s="31" t="str">
        <f aca="false">IF($G27="","",INDEX(Obliczenia!$I$2:$I$129,$G27))</f>
        <v/>
      </c>
      <c r="E27" s="32" t="str">
        <f aca="false">IF($G27="","",INDEX(Obliczenia!$M$2:$M$129,$G27))</f>
        <v/>
      </c>
      <c r="G27" s="27" t="str">
        <f aca="false">IFERROR(MATCH(15,Obliczenia!$O$2:$O$129,0),"")</f>
        <v/>
      </c>
    </row>
    <row r="28" customFormat="false" ht="15" hidden="false" customHeight="false" outlineLevel="0" collapsed="false">
      <c r="A28" s="29" t="str">
        <f aca="false">IF($G28="","",INDEX(Obliczenia!$C$2:$C$129,$G28))</f>
        <v/>
      </c>
      <c r="B28" s="29" t="str">
        <f aca="false">IF($G28="","",TEXT(DAY(INDEX(Obliczenia!$K$2:$K$129,$G28)),"00")&amp;"."&amp;TEXT(MONTH(INDEX(Obliczenia!$K$2:$K$129,$G28)),"00")&amp;"."&amp;YEAR(INDEX(Obliczenia!$K$2:$K$129,$G28))&amp;" r. do "&amp;TEXT(DAY(INDEX(Obliczenia!$L$2:$L$129,$G28)),"00")&amp;"."&amp;TEXT(MONTH(INDEX(Obliczenia!$L$2:$L$129,$G28)),"00")&amp;"."&amp;YEAR(INDEX(Obliczenia!$L$2:$L$129,$G28))&amp;" r.")</f>
        <v/>
      </c>
      <c r="C28" s="30" t="str">
        <f aca="false">IF($G28="","",INDEX(Obliczenia!$J$2:$J$129,$G28))</f>
        <v/>
      </c>
      <c r="D28" s="31" t="str">
        <f aca="false">IF($G28="","",INDEX(Obliczenia!$I$2:$I$129,$G28))</f>
        <v/>
      </c>
      <c r="E28" s="32" t="str">
        <f aca="false">IF($G28="","",INDEX(Obliczenia!$M$2:$M$129,$G28))</f>
        <v/>
      </c>
      <c r="G28" s="27" t="str">
        <f aca="false">IFERROR(MATCH(16,Obliczenia!$O$2:$O$129,0),"")</f>
        <v/>
      </c>
    </row>
    <row r="29" customFormat="false" ht="15" hidden="false" customHeight="false" outlineLevel="0" collapsed="false">
      <c r="A29" s="29" t="str">
        <f aca="false">IF($G29="","",INDEX(Obliczenia!$C$2:$C$129,$G29))</f>
        <v/>
      </c>
      <c r="B29" s="29" t="str">
        <f aca="false">IF($G29="","",TEXT(DAY(INDEX(Obliczenia!$K$2:$K$129,$G29)),"00")&amp;"."&amp;TEXT(MONTH(INDEX(Obliczenia!$K$2:$K$129,$G29)),"00")&amp;"."&amp;YEAR(INDEX(Obliczenia!$K$2:$K$129,$G29))&amp;" r. do "&amp;TEXT(DAY(INDEX(Obliczenia!$L$2:$L$129,$G29)),"00")&amp;"."&amp;TEXT(MONTH(INDEX(Obliczenia!$L$2:$L$129,$G29)),"00")&amp;"."&amp;YEAR(INDEX(Obliczenia!$L$2:$L$129,$G29))&amp;" r.")</f>
        <v/>
      </c>
      <c r="C29" s="30" t="str">
        <f aca="false">IF($G29="","",INDEX(Obliczenia!$J$2:$J$129,$G29))</f>
        <v/>
      </c>
      <c r="D29" s="31" t="str">
        <f aca="false">IF($G29="","",INDEX(Obliczenia!$I$2:$I$129,$G29))</f>
        <v/>
      </c>
      <c r="E29" s="32" t="str">
        <f aca="false">IF($G29="","",INDEX(Obliczenia!$M$2:$M$129,$G29))</f>
        <v/>
      </c>
      <c r="G29" s="27" t="str">
        <f aca="false">IFERROR(MATCH(17,Obliczenia!$O$2:$O$129,0),"")</f>
        <v/>
      </c>
    </row>
    <row r="30" customFormat="false" ht="15" hidden="false" customHeight="false" outlineLevel="0" collapsed="false">
      <c r="A30" s="29" t="str">
        <f aca="false">IF($G30="","",INDEX(Obliczenia!$C$2:$C$129,$G30))</f>
        <v/>
      </c>
      <c r="B30" s="29" t="str">
        <f aca="false">IF($G30="","",TEXT(DAY(INDEX(Obliczenia!$K$2:$K$129,$G30)),"00")&amp;"."&amp;TEXT(MONTH(INDEX(Obliczenia!$K$2:$K$129,$G30)),"00")&amp;"."&amp;YEAR(INDEX(Obliczenia!$K$2:$K$129,$G30))&amp;" r. do "&amp;TEXT(DAY(INDEX(Obliczenia!$L$2:$L$129,$G30)),"00")&amp;"."&amp;TEXT(MONTH(INDEX(Obliczenia!$L$2:$L$129,$G30)),"00")&amp;"."&amp;YEAR(INDEX(Obliczenia!$L$2:$L$129,$G30))&amp;" r.")</f>
        <v/>
      </c>
      <c r="C30" s="30" t="str">
        <f aca="false">IF($G30="","",INDEX(Obliczenia!$J$2:$J$129,$G30))</f>
        <v/>
      </c>
      <c r="D30" s="31" t="str">
        <f aca="false">IF($G30="","",INDEX(Obliczenia!$I$2:$I$129,$G30))</f>
        <v/>
      </c>
      <c r="E30" s="32" t="str">
        <f aca="false">IF($G30="","",INDEX(Obliczenia!$M$2:$M$129,$G30))</f>
        <v/>
      </c>
      <c r="G30" s="27" t="str">
        <f aca="false">IFERROR(MATCH(18,Obliczenia!$O$2:$O$129,0),"")</f>
        <v/>
      </c>
    </row>
    <row r="31" customFormat="false" ht="15" hidden="false" customHeight="false" outlineLevel="0" collapsed="false">
      <c r="A31" s="29" t="str">
        <f aca="false">IF($G31="","",INDEX(Obliczenia!$C$2:$C$129,$G31))</f>
        <v/>
      </c>
      <c r="B31" s="29" t="str">
        <f aca="false">IF($G31="","",TEXT(DAY(INDEX(Obliczenia!$K$2:$K$129,$G31)),"00")&amp;"."&amp;TEXT(MONTH(INDEX(Obliczenia!$K$2:$K$129,$G31)),"00")&amp;"."&amp;YEAR(INDEX(Obliczenia!$K$2:$K$129,$G31))&amp;" r. do "&amp;TEXT(DAY(INDEX(Obliczenia!$L$2:$L$129,$G31)),"00")&amp;"."&amp;TEXT(MONTH(INDEX(Obliczenia!$L$2:$L$129,$G31)),"00")&amp;"."&amp;YEAR(INDEX(Obliczenia!$L$2:$L$129,$G31))&amp;" r.")</f>
        <v/>
      </c>
      <c r="C31" s="30" t="str">
        <f aca="false">IF($G31="","",INDEX(Obliczenia!$J$2:$J$129,$G31))</f>
        <v/>
      </c>
      <c r="D31" s="31" t="str">
        <f aca="false">IF($G31="","",INDEX(Obliczenia!$I$2:$I$129,$G31))</f>
        <v/>
      </c>
      <c r="E31" s="32" t="str">
        <f aca="false">IF($G31="","",INDEX(Obliczenia!$M$2:$M$129,$G31))</f>
        <v/>
      </c>
      <c r="G31" s="27" t="str">
        <f aca="false">IFERROR(MATCH(19,Obliczenia!$O$2:$O$129,0),"")</f>
        <v/>
      </c>
    </row>
    <row r="32" customFormat="false" ht="15" hidden="false" customHeight="false" outlineLevel="0" collapsed="false">
      <c r="A32" s="29" t="str">
        <f aca="false">IF($G32="","",INDEX(Obliczenia!$C$2:$C$129,$G32))</f>
        <v/>
      </c>
      <c r="B32" s="29" t="str">
        <f aca="false">IF($G32="","",TEXT(DAY(INDEX(Obliczenia!$K$2:$K$129,$G32)),"00")&amp;"."&amp;TEXT(MONTH(INDEX(Obliczenia!$K$2:$K$129,$G32)),"00")&amp;"."&amp;YEAR(INDEX(Obliczenia!$K$2:$K$129,$G32))&amp;" r. do "&amp;TEXT(DAY(INDEX(Obliczenia!$L$2:$L$129,$G32)),"00")&amp;"."&amp;TEXT(MONTH(INDEX(Obliczenia!$L$2:$L$129,$G32)),"00")&amp;"."&amp;YEAR(INDEX(Obliczenia!$L$2:$L$129,$G32))&amp;" r.")</f>
        <v/>
      </c>
      <c r="C32" s="30" t="str">
        <f aca="false">IF($G32="","",INDEX(Obliczenia!$J$2:$J$129,$G32))</f>
        <v/>
      </c>
      <c r="D32" s="31" t="str">
        <f aca="false">IF($G32="","",INDEX(Obliczenia!$I$2:$I$129,$G32))</f>
        <v/>
      </c>
      <c r="E32" s="32" t="str">
        <f aca="false">IF($G32="","",INDEX(Obliczenia!$M$2:$M$129,$G32))</f>
        <v/>
      </c>
      <c r="G32" s="27" t="str">
        <f aca="false">IFERROR(MATCH(20,Obliczenia!$O$2:$O$129,0),"")</f>
        <v/>
      </c>
    </row>
    <row r="34" customFormat="false" ht="15" hidden="false" customHeight="false" outlineLevel="0" collapsed="false">
      <c r="A34" s="2" t="str">
        <f aca="false">IF(Wyliczenie!$K$31&gt;0,"Rekompensata za koszty odzyskiwania należności","")</f>
        <v>Rekompensata za koszty odzyskiwania należności</v>
      </c>
    </row>
    <row r="35" customFormat="false" ht="15" hidden="false" customHeight="false" outlineLevel="0" collapsed="false">
      <c r="A35" s="33" t="str">
        <f aca="false">IF(Wyliczenie!$K$31&gt;0,"Faktura nr","")</f>
        <v>Faktura nr</v>
      </c>
      <c r="B35" s="33" t="str">
        <f aca="false">IF(Wyliczenie!$K$31&gt;0,"Kurs średni NBP","")</f>
        <v>Kurs średni NBP</v>
      </c>
      <c r="C35" s="34" t="str">
        <f aca="false">IF(Wyliczenie!$K$31&gt;0,"Euro","")</f>
        <v>Euro</v>
      </c>
      <c r="D35" s="33"/>
      <c r="E35" s="34" t="str">
        <f aca="false">IF(Wyliczenie!$K$31&gt;0,"Kwota (zł)","")</f>
        <v>Kwota (zł)</v>
      </c>
    </row>
    <row r="36" customFormat="false" ht="15" hidden="false" customHeight="false" outlineLevel="0" collapsed="false">
      <c r="A36" s="29" t="str">
        <f aca="false">IF($G36="","",INDEX(Wyliczenie!$A$21:$L$28,$G36,1))</f>
        <v>FV/2026/06/015</v>
      </c>
      <c r="B36" s="29" t="str">
        <f aca="false">IF($G36="","",FIXED(INDEX(Wyliczenie!$A$21:$L$28,$G36,5),4,TRUE())&amp;" zł z "&amp;TEXT(DAY(INDEX(Wyliczenie!$A$21:$L$28,$G36,6)),"00")&amp;"."&amp;TEXT(MONTH(INDEX(Wyliczenie!$A$21:$L$28,$G36,6)),"00")&amp;"."&amp;YEAR(INDEX(Wyliczenie!$A$21:$L$28,$G36,6))&amp;" r.")</f>
        <v>4.2322 zł z 29.05.2026 r.</v>
      </c>
      <c r="C36" s="30" t="n">
        <f aca="false">IF($G36="","",INDEX(Wyliczenie!$A$21:$L$28,$G36,9))</f>
        <v>70</v>
      </c>
      <c r="D36" s="29"/>
      <c r="E36" s="32" t="n">
        <f aca="false">IF($G36="","",INDEX(Wyliczenie!$A$21:$L$28,$G36,10))</f>
        <v>296.25</v>
      </c>
      <c r="G36" s="27" t="n">
        <f aca="false">IFERROR(MATCH(1,Obliczenia!$S$2:$S$9,0),"")</f>
        <v>1</v>
      </c>
    </row>
    <row r="37" customFormat="false" ht="15" hidden="false" customHeight="false" outlineLevel="0" collapsed="false">
      <c r="A37" s="29" t="str">
        <f aca="false">IF($G37="","",INDEX(Wyliczenie!$A$21:$L$28,$G37,1))</f>
        <v>FV/2024/12/088</v>
      </c>
      <c r="B37" s="29" t="str">
        <f aca="false">IF($G37="","",FIXED(INDEX(Wyliczenie!$A$21:$L$28,$G37,5),4,TRUE())&amp;" zł z "&amp;TEXT(DAY(INDEX(Wyliczenie!$A$21:$L$28,$G37,6)),"00")&amp;"."&amp;TEXT(MONTH(INDEX(Wyliczenie!$A$21:$L$28,$G37,6)),"00")&amp;"."&amp;YEAR(INDEX(Wyliczenie!$A$21:$L$28,$G37,6))&amp;" r.")</f>
        <v>4.3043 zł z 29.11.2024 r.</v>
      </c>
      <c r="C37" s="30" t="n">
        <f aca="false">IF($G37="","",INDEX(Wyliczenie!$A$21:$L$28,$G37,9))</f>
        <v>70</v>
      </c>
      <c r="D37" s="29"/>
      <c r="E37" s="32" t="n">
        <f aca="false">IF($G37="","",INDEX(Wyliczenie!$A$21:$L$28,$G37,10))</f>
        <v>301.3</v>
      </c>
      <c r="G37" s="27" t="n">
        <f aca="false">IFERROR(MATCH(2,Obliczenia!$S$2:$S$9,0),"")</f>
        <v>2</v>
      </c>
    </row>
    <row r="38" customFormat="false" ht="15" hidden="false" customHeight="false" outlineLevel="0" collapsed="false">
      <c r="A38" s="29" t="str">
        <f aca="false">IF($G38="","",INDEX(Wyliczenie!$A$21:$L$28,$G38,1))</f>
        <v/>
      </c>
      <c r="B38" s="29" t="str">
        <f aca="false">IF($G38="","",FIXED(INDEX(Wyliczenie!$A$21:$L$28,$G38,5),4,TRUE())&amp;" zł z "&amp;TEXT(DAY(INDEX(Wyliczenie!$A$21:$L$28,$G38,6)),"00")&amp;"."&amp;TEXT(MONTH(INDEX(Wyliczenie!$A$21:$L$28,$G38,6)),"00")&amp;"."&amp;YEAR(INDEX(Wyliczenie!$A$21:$L$28,$G38,6))&amp;" r.")</f>
        <v/>
      </c>
      <c r="C38" s="30" t="str">
        <f aca="false">IF($G38="","",INDEX(Wyliczenie!$A$21:$L$28,$G38,9))</f>
        <v/>
      </c>
      <c r="D38" s="29"/>
      <c r="E38" s="32" t="str">
        <f aca="false">IF($G38="","",INDEX(Wyliczenie!$A$21:$L$28,$G38,10))</f>
        <v/>
      </c>
      <c r="G38" s="27" t="str">
        <f aca="false">IFERROR(MATCH(3,Obliczenia!$S$2:$S$9,0),"")</f>
        <v/>
      </c>
    </row>
    <row r="39" customFormat="false" ht="15" hidden="false" customHeight="false" outlineLevel="0" collapsed="false">
      <c r="A39" s="29" t="str">
        <f aca="false">IF($G39="","",INDEX(Wyliczenie!$A$21:$L$28,$G39,1))</f>
        <v/>
      </c>
      <c r="B39" s="29" t="str">
        <f aca="false">IF($G39="","",FIXED(INDEX(Wyliczenie!$A$21:$L$28,$G39,5),4,TRUE())&amp;" zł z "&amp;TEXT(DAY(INDEX(Wyliczenie!$A$21:$L$28,$G39,6)),"00")&amp;"."&amp;TEXT(MONTH(INDEX(Wyliczenie!$A$21:$L$28,$G39,6)),"00")&amp;"."&amp;YEAR(INDEX(Wyliczenie!$A$21:$L$28,$G39,6))&amp;" r.")</f>
        <v/>
      </c>
      <c r="C39" s="30" t="str">
        <f aca="false">IF($G39="","",INDEX(Wyliczenie!$A$21:$L$28,$G39,9))</f>
        <v/>
      </c>
      <c r="D39" s="29"/>
      <c r="E39" s="32" t="str">
        <f aca="false">IF($G39="","",INDEX(Wyliczenie!$A$21:$L$28,$G39,10))</f>
        <v/>
      </c>
      <c r="G39" s="27" t="str">
        <f aca="false">IFERROR(MATCH(4,Obliczenia!$S$2:$S$9,0),"")</f>
        <v/>
      </c>
    </row>
    <row r="40" customFormat="false" ht="15" hidden="false" customHeight="false" outlineLevel="0" collapsed="false">
      <c r="A40" s="29" t="str">
        <f aca="false">IF($G40="","",INDEX(Wyliczenie!$A$21:$L$28,$G40,1))</f>
        <v/>
      </c>
      <c r="B40" s="29" t="str">
        <f aca="false">IF($G40="","",FIXED(INDEX(Wyliczenie!$A$21:$L$28,$G40,5),4,TRUE())&amp;" zł z "&amp;TEXT(DAY(INDEX(Wyliczenie!$A$21:$L$28,$G40,6)),"00")&amp;"."&amp;TEXT(MONTH(INDEX(Wyliczenie!$A$21:$L$28,$G40,6)),"00")&amp;"."&amp;YEAR(INDEX(Wyliczenie!$A$21:$L$28,$G40,6))&amp;" r.")</f>
        <v/>
      </c>
      <c r="C40" s="30" t="str">
        <f aca="false">IF($G40="","",INDEX(Wyliczenie!$A$21:$L$28,$G40,9))</f>
        <v/>
      </c>
      <c r="D40" s="29"/>
      <c r="E40" s="32" t="str">
        <f aca="false">IF($G40="","",INDEX(Wyliczenie!$A$21:$L$28,$G40,10))</f>
        <v/>
      </c>
      <c r="G40" s="27" t="str">
        <f aca="false">IFERROR(MATCH(5,Obliczenia!$S$2:$S$9,0),"")</f>
        <v/>
      </c>
    </row>
    <row r="41" customFormat="false" ht="15" hidden="false" customHeight="false" outlineLevel="0" collapsed="false">
      <c r="A41" s="29" t="str">
        <f aca="false">IF($G41="","",INDEX(Wyliczenie!$A$21:$L$28,$G41,1))</f>
        <v/>
      </c>
      <c r="B41" s="29" t="str">
        <f aca="false">IF($G41="","",FIXED(INDEX(Wyliczenie!$A$21:$L$28,$G41,5),4,TRUE())&amp;" zł z "&amp;TEXT(DAY(INDEX(Wyliczenie!$A$21:$L$28,$G41,6)),"00")&amp;"."&amp;TEXT(MONTH(INDEX(Wyliczenie!$A$21:$L$28,$G41,6)),"00")&amp;"."&amp;YEAR(INDEX(Wyliczenie!$A$21:$L$28,$G41,6))&amp;" r.")</f>
        <v/>
      </c>
      <c r="C41" s="30" t="str">
        <f aca="false">IF($G41="","",INDEX(Wyliczenie!$A$21:$L$28,$G41,9))</f>
        <v/>
      </c>
      <c r="D41" s="29"/>
      <c r="E41" s="32" t="str">
        <f aca="false">IF($G41="","",INDEX(Wyliczenie!$A$21:$L$28,$G41,10))</f>
        <v/>
      </c>
      <c r="G41" s="27" t="str">
        <f aca="false">IFERROR(MATCH(6,Obliczenia!$S$2:$S$9,0),"")</f>
        <v/>
      </c>
    </row>
    <row r="42" customFormat="false" ht="15" hidden="false" customHeight="false" outlineLevel="0" collapsed="false">
      <c r="A42" s="29" t="str">
        <f aca="false">IF($G42="","",INDEX(Wyliczenie!$A$21:$L$28,$G42,1))</f>
        <v/>
      </c>
      <c r="B42" s="29" t="str">
        <f aca="false">IF($G42="","",FIXED(INDEX(Wyliczenie!$A$21:$L$28,$G42,5),4,TRUE())&amp;" zł z "&amp;TEXT(DAY(INDEX(Wyliczenie!$A$21:$L$28,$G42,6)),"00")&amp;"."&amp;TEXT(MONTH(INDEX(Wyliczenie!$A$21:$L$28,$G42,6)),"00")&amp;"."&amp;YEAR(INDEX(Wyliczenie!$A$21:$L$28,$G42,6))&amp;" r.")</f>
        <v/>
      </c>
      <c r="C42" s="30" t="str">
        <f aca="false">IF($G42="","",INDEX(Wyliczenie!$A$21:$L$28,$G42,9))</f>
        <v/>
      </c>
      <c r="D42" s="29"/>
      <c r="E42" s="32" t="str">
        <f aca="false">IF($G42="","",INDEX(Wyliczenie!$A$21:$L$28,$G42,10))</f>
        <v/>
      </c>
      <c r="G42" s="27" t="str">
        <f aca="false">IFERROR(MATCH(7,Obliczenia!$S$2:$S$9,0),"")</f>
        <v/>
      </c>
    </row>
    <row r="43" customFormat="false" ht="15" hidden="false" customHeight="false" outlineLevel="0" collapsed="false">
      <c r="A43" s="29" t="str">
        <f aca="false">IF($G43="","",INDEX(Wyliczenie!$A$21:$L$28,$G43,1))</f>
        <v/>
      </c>
      <c r="B43" s="29" t="str">
        <f aca="false">IF($G43="","",FIXED(INDEX(Wyliczenie!$A$21:$L$28,$G43,5),4,TRUE())&amp;" zł z "&amp;TEXT(DAY(INDEX(Wyliczenie!$A$21:$L$28,$G43,6)),"00")&amp;"."&amp;TEXT(MONTH(INDEX(Wyliczenie!$A$21:$L$28,$G43,6)),"00")&amp;"."&amp;YEAR(INDEX(Wyliczenie!$A$21:$L$28,$G43,6))&amp;" r.")</f>
        <v/>
      </c>
      <c r="C43" s="30" t="str">
        <f aca="false">IF($G43="","",INDEX(Wyliczenie!$A$21:$L$28,$G43,9))</f>
        <v/>
      </c>
      <c r="D43" s="29"/>
      <c r="E43" s="32" t="str">
        <f aca="false">IF($G43="","",INDEX(Wyliczenie!$A$21:$L$28,$G43,10))</f>
        <v/>
      </c>
      <c r="G43" s="27" t="str">
        <f aca="false">IFERROR(MATCH(8,Obliczenia!$S$2:$S$9,0),"")</f>
        <v/>
      </c>
    </row>
    <row r="45" customFormat="false" ht="15" hidden="false" customHeight="false" outlineLevel="0" collapsed="false">
      <c r="A45" s="21" t="s">
        <v>56</v>
      </c>
      <c r="B45" s="21"/>
      <c r="C45" s="21"/>
      <c r="D45" s="21"/>
      <c r="E45" s="35" t="n">
        <f aca="false">Wyliczenie!$K$30</f>
        <v>3149.18</v>
      </c>
    </row>
    <row r="46" customFormat="false" ht="15" hidden="false" customHeight="false" outlineLevel="0" collapsed="false">
      <c r="A46" s="21" t="s">
        <v>57</v>
      </c>
      <c r="B46" s="21"/>
      <c r="C46" s="21"/>
      <c r="D46" s="21"/>
      <c r="E46" s="35" t="n">
        <f aca="false">Wyliczenie!$K$31</f>
        <v>597.55</v>
      </c>
    </row>
    <row r="47" customFormat="false" ht="15" hidden="false" customHeight="false" outlineLevel="0" collapsed="false">
      <c r="A47" s="36" t="s">
        <v>58</v>
      </c>
      <c r="B47" s="36"/>
      <c r="C47" s="36"/>
      <c r="D47" s="36"/>
      <c r="E47" s="37" t="n">
        <f aca="false">Wyliczenie!$K$32</f>
        <v>3746.73</v>
      </c>
    </row>
    <row r="49" customFormat="false" ht="31.5" hidden="false" customHeight="true" outlineLevel="0" collapsed="false">
      <c r="A49" s="38" t="str">
        <f aca="false">"Prosimy o zapłatę w terminie "&amp;Wyliczenie!$B$9&amp;" dni od otrzymania noty na rachunek "&amp;Wyliczenie!$B$16&amp;" "&amp;Wyliczenie!$E$16&amp;", z numerem noty w tytule przelewu."</f>
        <v>Prosimy o zapłatę w terminie 7 dni od otrzymania noty na rachunek [Nazwa banku] [Numer rachunku], z numerem noty w tytule przelewu.</v>
      </c>
      <c r="B49" s="38"/>
      <c r="C49" s="38"/>
      <c r="D49" s="38"/>
      <c r="E49" s="38"/>
    </row>
    <row r="51" customFormat="false" ht="30" hidden="false" customHeight="true" outlineLevel="0" collapsed="false">
      <c r="A51" s="39" t="s">
        <v>68</v>
      </c>
      <c r="B51" s="39"/>
      <c r="C51" s="39"/>
      <c r="D51" s="39"/>
      <c r="E51" s="39"/>
    </row>
    <row r="55" customFormat="false" ht="15" hidden="false" customHeight="false" outlineLevel="0" collapsed="false">
      <c r="C55" s="40" t="str">
        <f aca="false">Wyliczenie!$B$17</f>
        <v>[Imię i nazwisko, stanowisko]</v>
      </c>
      <c r="D55" s="40"/>
      <c r="E55" s="40"/>
    </row>
    <row r="56" customFormat="false" ht="15" hidden="false" customHeight="false" outlineLevel="0" collapsed="false">
      <c r="C56" s="41" t="s">
        <v>69</v>
      </c>
      <c r="D56" s="41"/>
      <c r="E56" s="41"/>
    </row>
  </sheetData>
  <mergeCells count="17">
    <mergeCell ref="A1:E1"/>
    <mergeCell ref="A3:E3"/>
    <mergeCell ref="C5:E5"/>
    <mergeCell ref="A6:B6"/>
    <mergeCell ref="C6:E6"/>
    <mergeCell ref="A7:B7"/>
    <mergeCell ref="C7:E7"/>
    <mergeCell ref="A8:B8"/>
    <mergeCell ref="C8:E8"/>
    <mergeCell ref="A10:E10"/>
    <mergeCell ref="A45:D45"/>
    <mergeCell ref="A46:D46"/>
    <mergeCell ref="A47:D47"/>
    <mergeCell ref="A49:E49"/>
    <mergeCell ref="A51:E51"/>
    <mergeCell ref="C55:E55"/>
    <mergeCell ref="C56:E56"/>
  </mergeCells>
  <conditionalFormatting sqref="A13:E32">
    <cfRule type="expression" priority="2" aboveAverage="0" equalAverage="0" bottom="0" percent="0" rank="0" text="" dxfId="0">
      <formula>$A13&lt;&gt;""</formula>
    </cfRule>
  </conditionalFormatting>
  <printOptions headings="false" gridLines="false" gridLinesSet="true" horizontalCentered="true" verticalCentered="false"/>
  <pageMargins left="0.6" right="0.6" top="0.6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3" min="3" style="0" width="11"/>
    <col collapsed="false" customWidth="true" hidden="false" outlineLevel="0" max="4" min="4" style="0" width="16"/>
    <col collapsed="false" customWidth="true" hidden="false" outlineLevel="0" max="5" min="5" style="0" width="3"/>
    <col collapsed="false" customWidth="true" hidden="false" outlineLevel="0" max="7" min="6" style="0" width="13"/>
    <col collapsed="false" customWidth="true" hidden="false" outlineLevel="0" max="8" min="8" style="0" width="11"/>
    <col collapsed="false" customWidth="true" hidden="false" outlineLevel="0" max="10" min="9" style="0" width="3"/>
    <col collapsed="false" customWidth="true" hidden="false" outlineLevel="0" max="11" min="11" style="0" width="48"/>
  </cols>
  <sheetData>
    <row r="1" customFormat="false" ht="17.35" hidden="false" customHeight="false" outlineLevel="0" collapsed="false">
      <c r="A1" s="1" t="s">
        <v>70</v>
      </c>
    </row>
    <row r="2" customFormat="false" ht="15" hidden="false" customHeight="false" outlineLevel="0" collapsed="false">
      <c r="A2" s="6" t="s">
        <v>71</v>
      </c>
    </row>
    <row r="3" customFormat="false" ht="15" hidden="false" customHeight="false" outlineLevel="0" collapsed="false">
      <c r="A3" s="2" t="s">
        <v>72</v>
      </c>
      <c r="F3" s="2" t="s">
        <v>73</v>
      </c>
      <c r="K3" s="2" t="s">
        <v>74</v>
      </c>
    </row>
    <row r="4" customFormat="false" ht="30" hidden="false" customHeight="true" outlineLevel="0" collapsed="false">
      <c r="A4" s="11" t="s">
        <v>75</v>
      </c>
      <c r="B4" s="11" t="s">
        <v>76</v>
      </c>
      <c r="C4" s="11" t="s">
        <v>67</v>
      </c>
      <c r="D4" s="11" t="s">
        <v>77</v>
      </c>
      <c r="F4" s="11" t="s">
        <v>75</v>
      </c>
      <c r="G4" s="11" t="s">
        <v>76</v>
      </c>
      <c r="H4" s="11" t="s">
        <v>67</v>
      </c>
      <c r="K4" s="11" t="s">
        <v>78</v>
      </c>
    </row>
    <row r="5" customFormat="false" ht="15" hidden="false" customHeight="false" outlineLevel="0" collapsed="false">
      <c r="A5" s="42" t="n">
        <v>44927</v>
      </c>
      <c r="B5" s="42" t="n">
        <v>45107</v>
      </c>
      <c r="C5" s="43" t="n">
        <v>0.1675</v>
      </c>
      <c r="D5" s="43" t="n">
        <v>0.1475</v>
      </c>
      <c r="F5" s="42" t="n">
        <v>44812</v>
      </c>
      <c r="G5" s="42" t="n">
        <v>45175</v>
      </c>
      <c r="H5" s="43" t="n">
        <v>0.1225</v>
      </c>
      <c r="K5" s="44" t="s">
        <v>16</v>
      </c>
    </row>
    <row r="6" customFormat="false" ht="15" hidden="false" customHeight="false" outlineLevel="0" collapsed="false">
      <c r="A6" s="42" t="n">
        <v>45108</v>
      </c>
      <c r="B6" s="42" t="n">
        <v>45291</v>
      </c>
      <c r="C6" s="43" t="n">
        <v>0.1675</v>
      </c>
      <c r="D6" s="43" t="n">
        <v>0.1475</v>
      </c>
      <c r="F6" s="42" t="n">
        <v>45176</v>
      </c>
      <c r="G6" s="42" t="n">
        <v>45203</v>
      </c>
      <c r="H6" s="43" t="n">
        <v>0.115</v>
      </c>
      <c r="K6" s="44" t="s">
        <v>79</v>
      </c>
    </row>
    <row r="7" customFormat="false" ht="15" hidden="false" customHeight="false" outlineLevel="0" collapsed="false">
      <c r="A7" s="42" t="n">
        <v>45292</v>
      </c>
      <c r="B7" s="42" t="n">
        <v>45473</v>
      </c>
      <c r="C7" s="43" t="n">
        <v>0.1575</v>
      </c>
      <c r="D7" s="43" t="n">
        <v>0.1375</v>
      </c>
      <c r="F7" s="42" t="n">
        <v>45204</v>
      </c>
      <c r="G7" s="42" t="n">
        <v>45784</v>
      </c>
      <c r="H7" s="43" t="n">
        <v>0.1125</v>
      </c>
      <c r="K7" s="44" t="s">
        <v>80</v>
      </c>
    </row>
    <row r="8" customFormat="false" ht="15" hidden="false" customHeight="false" outlineLevel="0" collapsed="false">
      <c r="A8" s="42" t="n">
        <v>45474</v>
      </c>
      <c r="B8" s="42" t="n">
        <v>45657</v>
      </c>
      <c r="C8" s="43" t="n">
        <v>0.1575</v>
      </c>
      <c r="D8" s="43" t="n">
        <v>0.1375</v>
      </c>
      <c r="F8" s="42" t="n">
        <v>45785</v>
      </c>
      <c r="G8" s="42" t="n">
        <v>45840</v>
      </c>
      <c r="H8" s="43" t="n">
        <v>0.1075</v>
      </c>
    </row>
    <row r="9" customFormat="false" ht="15" hidden="false" customHeight="false" outlineLevel="0" collapsed="false">
      <c r="A9" s="42" t="n">
        <v>45658</v>
      </c>
      <c r="B9" s="42" t="n">
        <v>45838</v>
      </c>
      <c r="C9" s="43" t="n">
        <v>0.1575</v>
      </c>
      <c r="D9" s="43" t="n">
        <v>0.1375</v>
      </c>
      <c r="F9" s="42" t="n">
        <v>45841</v>
      </c>
      <c r="G9" s="42" t="n">
        <v>45903</v>
      </c>
      <c r="H9" s="43" t="n">
        <v>0.105</v>
      </c>
    </row>
    <row r="10" customFormat="false" ht="15" hidden="false" customHeight="false" outlineLevel="0" collapsed="false">
      <c r="A10" s="42" t="n">
        <v>45839</v>
      </c>
      <c r="B10" s="42" t="n">
        <v>46022</v>
      </c>
      <c r="C10" s="43" t="n">
        <v>0.1525</v>
      </c>
      <c r="D10" s="43" t="n">
        <v>0.1325</v>
      </c>
      <c r="F10" s="42" t="n">
        <v>45904</v>
      </c>
      <c r="G10" s="42" t="n">
        <v>45938</v>
      </c>
      <c r="H10" s="43" t="n">
        <v>0.1025</v>
      </c>
    </row>
    <row r="11" customFormat="false" ht="15" hidden="false" customHeight="false" outlineLevel="0" collapsed="false">
      <c r="A11" s="42" t="n">
        <v>46023</v>
      </c>
      <c r="B11" s="42" t="n">
        <v>46203</v>
      </c>
      <c r="C11" s="43" t="n">
        <v>0.14</v>
      </c>
      <c r="D11" s="43" t="n">
        <v>0.12</v>
      </c>
      <c r="F11" s="42" t="n">
        <v>45939</v>
      </c>
      <c r="G11" s="42" t="n">
        <v>45966</v>
      </c>
      <c r="H11" s="43" t="n">
        <v>0.1</v>
      </c>
    </row>
    <row r="12" customFormat="false" ht="15" hidden="false" customHeight="false" outlineLevel="0" collapsed="false">
      <c r="A12" s="42" t="n">
        <v>46204</v>
      </c>
      <c r="B12" s="42" t="n">
        <v>46387</v>
      </c>
      <c r="C12" s="43" t="n">
        <v>0.1375</v>
      </c>
      <c r="D12" s="43" t="n">
        <v>0.1175</v>
      </c>
      <c r="F12" s="42" t="n">
        <v>45967</v>
      </c>
      <c r="G12" s="42" t="n">
        <v>45994</v>
      </c>
      <c r="H12" s="43" t="n">
        <v>0.0975</v>
      </c>
    </row>
    <row r="13" customFormat="false" ht="15" hidden="false" customHeight="false" outlineLevel="0" collapsed="false">
      <c r="A13" s="8"/>
      <c r="B13" s="8"/>
      <c r="C13" s="45"/>
      <c r="D13" s="45"/>
      <c r="F13" s="42" t="n">
        <v>45995</v>
      </c>
      <c r="G13" s="42" t="n">
        <v>46085</v>
      </c>
      <c r="H13" s="43" t="n">
        <v>0.095</v>
      </c>
    </row>
    <row r="14" customFormat="false" ht="15" hidden="false" customHeight="false" outlineLevel="0" collapsed="false">
      <c r="A14" s="8"/>
      <c r="B14" s="8"/>
      <c r="C14" s="45"/>
      <c r="D14" s="45"/>
      <c r="F14" s="42" t="n">
        <v>46086</v>
      </c>
      <c r="G14" s="8"/>
      <c r="H14" s="43" t="n">
        <v>0.0925</v>
      </c>
    </row>
    <row r="15" customFormat="false" ht="15" hidden="false" customHeight="false" outlineLevel="0" collapsed="false">
      <c r="A15" s="8"/>
      <c r="B15" s="8"/>
      <c r="C15" s="45"/>
      <c r="D15" s="45"/>
      <c r="F15" s="8"/>
      <c r="G15" s="8"/>
      <c r="H15" s="45"/>
    </row>
    <row r="16" customFormat="false" ht="15" hidden="false" customHeight="false" outlineLevel="0" collapsed="false">
      <c r="A16" s="8"/>
      <c r="B16" s="8"/>
      <c r="C16" s="45"/>
      <c r="D16" s="45"/>
      <c r="F16" s="8"/>
      <c r="G16" s="8"/>
      <c r="H16" s="45"/>
    </row>
    <row r="17" customFormat="false" ht="15" hidden="false" customHeight="false" outlineLevel="0" collapsed="false">
      <c r="A17" s="8"/>
      <c r="B17" s="8"/>
      <c r="C17" s="45"/>
      <c r="D17" s="45"/>
      <c r="F17" s="8"/>
      <c r="G17" s="8"/>
      <c r="H17" s="45"/>
    </row>
    <row r="18" customFormat="false" ht="15" hidden="false" customHeight="false" outlineLevel="0" collapsed="false">
      <c r="A18" s="8"/>
      <c r="B18" s="8"/>
      <c r="C18" s="45"/>
      <c r="D18" s="45"/>
      <c r="F18" s="8"/>
      <c r="G18" s="8"/>
      <c r="H18" s="45"/>
    </row>
    <row r="19" customFormat="false" ht="15" hidden="false" customHeight="false" outlineLevel="0" collapsed="false">
      <c r="A19" s="8"/>
      <c r="B19" s="8"/>
      <c r="C19" s="45"/>
      <c r="D19" s="45"/>
      <c r="F19" s="8"/>
      <c r="G19" s="8"/>
      <c r="H19" s="45"/>
    </row>
    <row r="20" customFormat="false" ht="15" hidden="false" customHeight="false" outlineLevel="0" collapsed="false">
      <c r="A20" s="8"/>
      <c r="B20" s="8"/>
      <c r="C20" s="45"/>
      <c r="D20" s="45"/>
      <c r="F20" s="8"/>
      <c r="G20" s="8"/>
      <c r="H20" s="45"/>
    </row>
    <row r="23" customFormat="false" ht="15" hidden="false" customHeight="false" outlineLevel="0" collapsed="false">
      <c r="A23" s="6" t="s">
        <v>81</v>
      </c>
    </row>
    <row r="24" customFormat="false" ht="15" hidden="false" customHeight="false" outlineLevel="0" collapsed="false">
      <c r="A24" s="6" t="s">
        <v>82</v>
      </c>
    </row>
    <row r="25" customFormat="false" ht="15" hidden="false" customHeight="false" outlineLevel="0" collapsed="false">
      <c r="A25" s="6" t="s">
        <v>83</v>
      </c>
    </row>
    <row r="26" customFormat="false" ht="15" hidden="false" customHeight="false" outlineLevel="0" collapsed="false">
      <c r="A26" s="6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1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9"/>
    <col collapsed="false" customWidth="true" hidden="false" outlineLevel="0" max="3" min="3" style="0" width="16"/>
    <col collapsed="false" customWidth="true" hidden="false" outlineLevel="0" max="6" min="4" style="0" width="13"/>
    <col collapsed="false" customWidth="true" hidden="false" outlineLevel="0" max="8" min="7" style="0" width="12"/>
    <col collapsed="false" customWidth="true" hidden="false" outlineLevel="0" max="10" min="9" style="0" width="9"/>
    <col collapsed="false" customWidth="true" hidden="false" outlineLevel="0" max="13" min="11" style="0" width="12"/>
    <col collapsed="false" customWidth="true" hidden="false" outlineLevel="0" max="15" min="14" style="0" width="9"/>
    <col collapsed="false" customWidth="true" hidden="false" outlineLevel="0" max="16" min="16" style="0" width="3"/>
    <col collapsed="false" customWidth="true" hidden="false" outlineLevel="0" max="17" min="17" style="0" width="10"/>
    <col collapsed="false" customWidth="true" hidden="false" outlineLevel="0" max="18" min="18" style="0" width="13"/>
    <col collapsed="false" customWidth="true" hidden="false" outlineLevel="0" max="19" min="19" style="0" width="9"/>
  </cols>
  <sheetData>
    <row r="1" customFormat="false" ht="45" hidden="false" customHeight="true" outlineLevel="0" collapsed="false">
      <c r="A1" s="11" t="s">
        <v>85</v>
      </c>
      <c r="B1" s="11" t="s">
        <v>86</v>
      </c>
      <c r="C1" s="11" t="s">
        <v>42</v>
      </c>
      <c r="D1" s="11" t="s">
        <v>87</v>
      </c>
      <c r="E1" s="11" t="s">
        <v>88</v>
      </c>
      <c r="F1" s="11" t="s">
        <v>89</v>
      </c>
      <c r="G1" s="11" t="s">
        <v>90</v>
      </c>
      <c r="H1" s="11" t="s">
        <v>91</v>
      </c>
      <c r="I1" s="11" t="s">
        <v>67</v>
      </c>
      <c r="J1" s="11" t="s">
        <v>92</v>
      </c>
      <c r="K1" s="11" t="s">
        <v>93</v>
      </c>
      <c r="L1" s="11" t="s">
        <v>94</v>
      </c>
      <c r="M1" s="11" t="s">
        <v>95</v>
      </c>
      <c r="N1" s="11" t="s">
        <v>96</v>
      </c>
      <c r="O1" s="11" t="s">
        <v>97</v>
      </c>
      <c r="Q1" s="11" t="s">
        <v>85</v>
      </c>
      <c r="R1" s="11" t="s">
        <v>98</v>
      </c>
      <c r="S1" s="11" t="s">
        <v>97</v>
      </c>
    </row>
    <row r="2" customFormat="false" ht="15" hidden="false" customHeight="false" outlineLevel="0" collapsed="false">
      <c r="A2" s="0" t="n">
        <v>1</v>
      </c>
      <c r="B2" s="0" t="n">
        <v>1</v>
      </c>
      <c r="C2" s="0" t="str">
        <f aca="false">IF(Wyliczenie!$A$21="","",Wyliczenie!$A$21)</f>
        <v>FV/2026/06/015</v>
      </c>
      <c r="D2" s="18" t="n">
        <f aca="false">N(Wyliczenie!$B$21)</f>
        <v>24600</v>
      </c>
      <c r="E2" s="46" t="n">
        <f aca="false">IF(Wyliczenie!$C$21="","",Wyliczenie!$C$21+1)</f>
        <v>46189</v>
      </c>
      <c r="F2" s="46" t="n">
        <f aca="false">IF(E2="","",IF(Wyliczenie!$D$21="",Wyliczenie!$B$6,Wyliczenie!$D$21))</f>
        <v>46248</v>
      </c>
      <c r="G2" s="46" t="n">
        <f aca="false">IF(Wyliczenie!$B$5=Stawki!$K$7,N(Stawki!$F$5),N(Stawki!$A$5))</f>
        <v>44927</v>
      </c>
      <c r="H2" s="46" t="n">
        <f aca="false">IF(G2=0,0,IF(Wyliczenie!$B$5=Stawki!$K$7,IF(N(Stawki!$G$5)=0,DATE(2099,12,31),Stawki!$G$5),IF(N(Stawki!$B$5)=0,DATE(2099,12,31),Stawki!$B$5)))</f>
        <v>45107</v>
      </c>
      <c r="I2" s="47" t="n">
        <f aca="false">IF(Wyliczenie!$B$5=Stawki!$K$7,N(Stawki!$H$5),IF(Wyliczenie!$B$5=Stawki!$K$6,N(Stawki!$D$5),N(Stawki!$C$5)))</f>
        <v>0.1675</v>
      </c>
      <c r="J2" s="48" t="n">
        <f aca="false">IF(OR(E2="",G2=0,D2=0),0,MAX(0,MIN(F2,H2)-MAX(E2,G2)+1))</f>
        <v>0</v>
      </c>
      <c r="K2" s="46" t="str">
        <f aca="false">IF(J2&gt;0,MAX(E2,G2),"")</f>
        <v/>
      </c>
      <c r="L2" s="46" t="str">
        <f aca="false">IF(J2&gt;0,MIN(F2,H2),"")</f>
        <v/>
      </c>
      <c r="M2" s="18" t="n">
        <f aca="false">IF(J2&gt;0,ROUND(D2*I2*J2/365,2),0)</f>
        <v>0</v>
      </c>
      <c r="N2" s="10" t="n">
        <f aca="false">IF(J2&gt;0,1,0)</f>
        <v>0</v>
      </c>
      <c r="O2" s="10" t="n">
        <f aca="false">N2</f>
        <v>0</v>
      </c>
      <c r="Q2" s="0" t="n">
        <v>1</v>
      </c>
      <c r="R2" s="10" t="n">
        <f aca="false">IF(N(Wyliczenie!$J$21)&gt;0,1,0)</f>
        <v>1</v>
      </c>
      <c r="S2" s="10" t="n">
        <f aca="false">R2</f>
        <v>1</v>
      </c>
    </row>
    <row r="3" customFormat="false" ht="15" hidden="false" customHeight="false" outlineLevel="0" collapsed="false">
      <c r="A3" s="0" t="n">
        <v>1</v>
      </c>
      <c r="B3" s="0" t="n">
        <v>2</v>
      </c>
      <c r="C3" s="0" t="str">
        <f aca="false">IF(Wyliczenie!$A$21="","",Wyliczenie!$A$21)</f>
        <v>FV/2026/06/015</v>
      </c>
      <c r="D3" s="18" t="n">
        <f aca="false">N(Wyliczenie!$B$21)</f>
        <v>24600</v>
      </c>
      <c r="E3" s="46" t="n">
        <f aca="false">IF(Wyliczenie!$C$21="","",Wyliczenie!$C$21+1)</f>
        <v>46189</v>
      </c>
      <c r="F3" s="46" t="n">
        <f aca="false">IF(E3="","",IF(Wyliczenie!$D$21="",Wyliczenie!$B$6,Wyliczenie!$D$21))</f>
        <v>46248</v>
      </c>
      <c r="G3" s="46" t="n">
        <f aca="false">IF(Wyliczenie!$B$5=Stawki!$K$7,N(Stawki!$F$6),N(Stawki!$A$6))</f>
        <v>45108</v>
      </c>
      <c r="H3" s="46" t="n">
        <f aca="false">IF(G3=0,0,IF(Wyliczenie!$B$5=Stawki!$K$7,IF(N(Stawki!$G$6)=0,DATE(2099,12,31),Stawki!$G$6),IF(N(Stawki!$B$6)=0,DATE(2099,12,31),Stawki!$B$6)))</f>
        <v>45291</v>
      </c>
      <c r="I3" s="47" t="n">
        <f aca="false">IF(Wyliczenie!$B$5=Stawki!$K$7,N(Stawki!$H$6),IF(Wyliczenie!$B$5=Stawki!$K$6,N(Stawki!$D$6),N(Stawki!$C$6)))</f>
        <v>0.1675</v>
      </c>
      <c r="J3" s="48" t="n">
        <f aca="false">IF(OR(E3="",G3=0,D3=0),0,MAX(0,MIN(F3,H3)-MAX(E3,G3)+1))</f>
        <v>0</v>
      </c>
      <c r="K3" s="46" t="str">
        <f aca="false">IF(J3&gt;0,MAX(E3,G3),"")</f>
        <v/>
      </c>
      <c r="L3" s="46" t="str">
        <f aca="false">IF(J3&gt;0,MIN(F3,H3),"")</f>
        <v/>
      </c>
      <c r="M3" s="18" t="n">
        <f aca="false">IF(J3&gt;0,ROUND(D3*I3*J3/365,2),0)</f>
        <v>0</v>
      </c>
      <c r="N3" s="10" t="n">
        <f aca="false">IF(J3&gt;0,1,0)</f>
        <v>0</v>
      </c>
      <c r="O3" s="10" t="n">
        <f aca="false">O2+N3</f>
        <v>0</v>
      </c>
      <c r="Q3" s="0" t="n">
        <v>2</v>
      </c>
      <c r="R3" s="10" t="n">
        <f aca="false">IF(N(Wyliczenie!$J$22)&gt;0,1,0)</f>
        <v>1</v>
      </c>
      <c r="S3" s="10" t="n">
        <f aca="false">S2+R3</f>
        <v>2</v>
      </c>
    </row>
    <row r="4" customFormat="false" ht="15" hidden="false" customHeight="false" outlineLevel="0" collapsed="false">
      <c r="A4" s="0" t="n">
        <v>1</v>
      </c>
      <c r="B4" s="0" t="n">
        <v>3</v>
      </c>
      <c r="C4" s="0" t="str">
        <f aca="false">IF(Wyliczenie!$A$21="","",Wyliczenie!$A$21)</f>
        <v>FV/2026/06/015</v>
      </c>
      <c r="D4" s="18" t="n">
        <f aca="false">N(Wyliczenie!$B$21)</f>
        <v>24600</v>
      </c>
      <c r="E4" s="46" t="n">
        <f aca="false">IF(Wyliczenie!$C$21="","",Wyliczenie!$C$21+1)</f>
        <v>46189</v>
      </c>
      <c r="F4" s="46" t="n">
        <f aca="false">IF(E4="","",IF(Wyliczenie!$D$21="",Wyliczenie!$B$6,Wyliczenie!$D$21))</f>
        <v>46248</v>
      </c>
      <c r="G4" s="46" t="n">
        <f aca="false">IF(Wyliczenie!$B$5=Stawki!$K$7,N(Stawki!$F$7),N(Stawki!$A$7))</f>
        <v>45292</v>
      </c>
      <c r="H4" s="46" t="n">
        <f aca="false">IF(G4=0,0,IF(Wyliczenie!$B$5=Stawki!$K$7,IF(N(Stawki!$G$7)=0,DATE(2099,12,31),Stawki!$G$7),IF(N(Stawki!$B$7)=0,DATE(2099,12,31),Stawki!$B$7)))</f>
        <v>45473</v>
      </c>
      <c r="I4" s="47" t="n">
        <f aca="false">IF(Wyliczenie!$B$5=Stawki!$K$7,N(Stawki!$H$7),IF(Wyliczenie!$B$5=Stawki!$K$6,N(Stawki!$D$7),N(Stawki!$C$7)))</f>
        <v>0.1575</v>
      </c>
      <c r="J4" s="48" t="n">
        <f aca="false">IF(OR(E4="",G4=0,D4=0),0,MAX(0,MIN(F4,H4)-MAX(E4,G4)+1))</f>
        <v>0</v>
      </c>
      <c r="K4" s="46" t="str">
        <f aca="false">IF(J4&gt;0,MAX(E4,G4),"")</f>
        <v/>
      </c>
      <c r="L4" s="46" t="str">
        <f aca="false">IF(J4&gt;0,MIN(F4,H4),"")</f>
        <v/>
      </c>
      <c r="M4" s="18" t="n">
        <f aca="false">IF(J4&gt;0,ROUND(D4*I4*J4/365,2),0)</f>
        <v>0</v>
      </c>
      <c r="N4" s="10" t="n">
        <f aca="false">IF(J4&gt;0,1,0)</f>
        <v>0</v>
      </c>
      <c r="O4" s="10" t="n">
        <f aca="false">O3+N4</f>
        <v>0</v>
      </c>
      <c r="Q4" s="0" t="n">
        <v>3</v>
      </c>
      <c r="R4" s="10" t="n">
        <f aca="false">IF(N(Wyliczenie!$J$23)&gt;0,1,0)</f>
        <v>0</v>
      </c>
      <c r="S4" s="10" t="n">
        <f aca="false">S3+R4</f>
        <v>2</v>
      </c>
    </row>
    <row r="5" customFormat="false" ht="15" hidden="false" customHeight="false" outlineLevel="0" collapsed="false">
      <c r="A5" s="0" t="n">
        <v>1</v>
      </c>
      <c r="B5" s="0" t="n">
        <v>4</v>
      </c>
      <c r="C5" s="0" t="str">
        <f aca="false">IF(Wyliczenie!$A$21="","",Wyliczenie!$A$21)</f>
        <v>FV/2026/06/015</v>
      </c>
      <c r="D5" s="18" t="n">
        <f aca="false">N(Wyliczenie!$B$21)</f>
        <v>24600</v>
      </c>
      <c r="E5" s="46" t="n">
        <f aca="false">IF(Wyliczenie!$C$21="","",Wyliczenie!$C$21+1)</f>
        <v>46189</v>
      </c>
      <c r="F5" s="46" t="n">
        <f aca="false">IF(E5="","",IF(Wyliczenie!$D$21="",Wyliczenie!$B$6,Wyliczenie!$D$21))</f>
        <v>46248</v>
      </c>
      <c r="G5" s="46" t="n">
        <f aca="false">IF(Wyliczenie!$B$5=Stawki!$K$7,N(Stawki!$F$8),N(Stawki!$A$8))</f>
        <v>45474</v>
      </c>
      <c r="H5" s="46" t="n">
        <f aca="false">IF(G5=0,0,IF(Wyliczenie!$B$5=Stawki!$K$7,IF(N(Stawki!$G$8)=0,DATE(2099,12,31),Stawki!$G$8),IF(N(Stawki!$B$8)=0,DATE(2099,12,31),Stawki!$B$8)))</f>
        <v>45657</v>
      </c>
      <c r="I5" s="47" t="n">
        <f aca="false">IF(Wyliczenie!$B$5=Stawki!$K$7,N(Stawki!$H$8),IF(Wyliczenie!$B$5=Stawki!$K$6,N(Stawki!$D$8),N(Stawki!$C$8)))</f>
        <v>0.1575</v>
      </c>
      <c r="J5" s="48" t="n">
        <f aca="false">IF(OR(E5="",G5=0,D5=0),0,MAX(0,MIN(F5,H5)-MAX(E5,G5)+1))</f>
        <v>0</v>
      </c>
      <c r="K5" s="46" t="str">
        <f aca="false">IF(J5&gt;0,MAX(E5,G5),"")</f>
        <v/>
      </c>
      <c r="L5" s="46" t="str">
        <f aca="false">IF(J5&gt;0,MIN(F5,H5),"")</f>
        <v/>
      </c>
      <c r="M5" s="18" t="n">
        <f aca="false">IF(J5&gt;0,ROUND(D5*I5*J5/365,2),0)</f>
        <v>0</v>
      </c>
      <c r="N5" s="10" t="n">
        <f aca="false">IF(J5&gt;0,1,0)</f>
        <v>0</v>
      </c>
      <c r="O5" s="10" t="n">
        <f aca="false">O4+N5</f>
        <v>0</v>
      </c>
      <c r="Q5" s="0" t="n">
        <v>4</v>
      </c>
      <c r="R5" s="10" t="n">
        <f aca="false">IF(N(Wyliczenie!$J$24)&gt;0,1,0)</f>
        <v>0</v>
      </c>
      <c r="S5" s="10" t="n">
        <f aca="false">S4+R5</f>
        <v>2</v>
      </c>
    </row>
    <row r="6" customFormat="false" ht="15" hidden="false" customHeight="false" outlineLevel="0" collapsed="false">
      <c r="A6" s="0" t="n">
        <v>1</v>
      </c>
      <c r="B6" s="0" t="n">
        <v>5</v>
      </c>
      <c r="C6" s="0" t="str">
        <f aca="false">IF(Wyliczenie!$A$21="","",Wyliczenie!$A$21)</f>
        <v>FV/2026/06/015</v>
      </c>
      <c r="D6" s="18" t="n">
        <f aca="false">N(Wyliczenie!$B$21)</f>
        <v>24600</v>
      </c>
      <c r="E6" s="46" t="n">
        <f aca="false">IF(Wyliczenie!$C$21="","",Wyliczenie!$C$21+1)</f>
        <v>46189</v>
      </c>
      <c r="F6" s="46" t="n">
        <f aca="false">IF(E6="","",IF(Wyliczenie!$D$21="",Wyliczenie!$B$6,Wyliczenie!$D$21))</f>
        <v>46248</v>
      </c>
      <c r="G6" s="46" t="n">
        <f aca="false">IF(Wyliczenie!$B$5=Stawki!$K$7,N(Stawki!$F$9),N(Stawki!$A$9))</f>
        <v>45658</v>
      </c>
      <c r="H6" s="46" t="n">
        <f aca="false">IF(G6=0,0,IF(Wyliczenie!$B$5=Stawki!$K$7,IF(N(Stawki!$G$9)=0,DATE(2099,12,31),Stawki!$G$9),IF(N(Stawki!$B$9)=0,DATE(2099,12,31),Stawki!$B$9)))</f>
        <v>45838</v>
      </c>
      <c r="I6" s="47" t="n">
        <f aca="false">IF(Wyliczenie!$B$5=Stawki!$K$7,N(Stawki!$H$9),IF(Wyliczenie!$B$5=Stawki!$K$6,N(Stawki!$D$9),N(Stawki!$C$9)))</f>
        <v>0.1575</v>
      </c>
      <c r="J6" s="48" t="n">
        <f aca="false">IF(OR(E6="",G6=0,D6=0),0,MAX(0,MIN(F6,H6)-MAX(E6,G6)+1))</f>
        <v>0</v>
      </c>
      <c r="K6" s="46" t="str">
        <f aca="false">IF(J6&gt;0,MAX(E6,G6),"")</f>
        <v/>
      </c>
      <c r="L6" s="46" t="str">
        <f aca="false">IF(J6&gt;0,MIN(F6,H6),"")</f>
        <v/>
      </c>
      <c r="M6" s="18" t="n">
        <f aca="false">IF(J6&gt;0,ROUND(D6*I6*J6/365,2),0)</f>
        <v>0</v>
      </c>
      <c r="N6" s="10" t="n">
        <f aca="false">IF(J6&gt;0,1,0)</f>
        <v>0</v>
      </c>
      <c r="O6" s="10" t="n">
        <f aca="false">O5+N6</f>
        <v>0</v>
      </c>
      <c r="Q6" s="0" t="n">
        <v>5</v>
      </c>
      <c r="R6" s="10" t="n">
        <f aca="false">IF(N(Wyliczenie!$J$25)&gt;0,1,0)</f>
        <v>0</v>
      </c>
      <c r="S6" s="10" t="n">
        <f aca="false">S5+R6</f>
        <v>2</v>
      </c>
    </row>
    <row r="7" customFormat="false" ht="15" hidden="false" customHeight="false" outlineLevel="0" collapsed="false">
      <c r="A7" s="0" t="n">
        <v>1</v>
      </c>
      <c r="B7" s="0" t="n">
        <v>6</v>
      </c>
      <c r="C7" s="0" t="str">
        <f aca="false">IF(Wyliczenie!$A$21="","",Wyliczenie!$A$21)</f>
        <v>FV/2026/06/015</v>
      </c>
      <c r="D7" s="18" t="n">
        <f aca="false">N(Wyliczenie!$B$21)</f>
        <v>24600</v>
      </c>
      <c r="E7" s="46" t="n">
        <f aca="false">IF(Wyliczenie!$C$21="","",Wyliczenie!$C$21+1)</f>
        <v>46189</v>
      </c>
      <c r="F7" s="46" t="n">
        <f aca="false">IF(E7="","",IF(Wyliczenie!$D$21="",Wyliczenie!$B$6,Wyliczenie!$D$21))</f>
        <v>46248</v>
      </c>
      <c r="G7" s="46" t="n">
        <f aca="false">IF(Wyliczenie!$B$5=Stawki!$K$7,N(Stawki!$F$10),N(Stawki!$A$10))</f>
        <v>45839</v>
      </c>
      <c r="H7" s="46" t="n">
        <f aca="false">IF(G7=0,0,IF(Wyliczenie!$B$5=Stawki!$K$7,IF(N(Stawki!$G$10)=0,DATE(2099,12,31),Stawki!$G$10),IF(N(Stawki!$B$10)=0,DATE(2099,12,31),Stawki!$B$10)))</f>
        <v>46022</v>
      </c>
      <c r="I7" s="47" t="n">
        <f aca="false">IF(Wyliczenie!$B$5=Stawki!$K$7,N(Stawki!$H$10),IF(Wyliczenie!$B$5=Stawki!$K$6,N(Stawki!$D$10),N(Stawki!$C$10)))</f>
        <v>0.1525</v>
      </c>
      <c r="J7" s="48" t="n">
        <f aca="false">IF(OR(E7="",G7=0,D7=0),0,MAX(0,MIN(F7,H7)-MAX(E7,G7)+1))</f>
        <v>0</v>
      </c>
      <c r="K7" s="46" t="str">
        <f aca="false">IF(J7&gt;0,MAX(E7,G7),"")</f>
        <v/>
      </c>
      <c r="L7" s="46" t="str">
        <f aca="false">IF(J7&gt;0,MIN(F7,H7),"")</f>
        <v/>
      </c>
      <c r="M7" s="18" t="n">
        <f aca="false">IF(J7&gt;0,ROUND(D7*I7*J7/365,2),0)</f>
        <v>0</v>
      </c>
      <c r="N7" s="10" t="n">
        <f aca="false">IF(J7&gt;0,1,0)</f>
        <v>0</v>
      </c>
      <c r="O7" s="10" t="n">
        <f aca="false">O6+N7</f>
        <v>0</v>
      </c>
      <c r="Q7" s="0" t="n">
        <v>6</v>
      </c>
      <c r="R7" s="10" t="n">
        <f aca="false">IF(N(Wyliczenie!$J$26)&gt;0,1,0)</f>
        <v>0</v>
      </c>
      <c r="S7" s="10" t="n">
        <f aca="false">S6+R7</f>
        <v>2</v>
      </c>
    </row>
    <row r="8" customFormat="false" ht="15" hidden="false" customHeight="false" outlineLevel="0" collapsed="false">
      <c r="A8" s="0" t="n">
        <v>1</v>
      </c>
      <c r="B8" s="0" t="n">
        <v>7</v>
      </c>
      <c r="C8" s="0" t="str">
        <f aca="false">IF(Wyliczenie!$A$21="","",Wyliczenie!$A$21)</f>
        <v>FV/2026/06/015</v>
      </c>
      <c r="D8" s="18" t="n">
        <f aca="false">N(Wyliczenie!$B$21)</f>
        <v>24600</v>
      </c>
      <c r="E8" s="46" t="n">
        <f aca="false">IF(Wyliczenie!$C$21="","",Wyliczenie!$C$21+1)</f>
        <v>46189</v>
      </c>
      <c r="F8" s="46" t="n">
        <f aca="false">IF(E8="","",IF(Wyliczenie!$D$21="",Wyliczenie!$B$6,Wyliczenie!$D$21))</f>
        <v>46248</v>
      </c>
      <c r="G8" s="46" t="n">
        <f aca="false">IF(Wyliczenie!$B$5=Stawki!$K$7,N(Stawki!$F$11),N(Stawki!$A$11))</f>
        <v>46023</v>
      </c>
      <c r="H8" s="46" t="n">
        <f aca="false">IF(G8=0,0,IF(Wyliczenie!$B$5=Stawki!$K$7,IF(N(Stawki!$G$11)=0,DATE(2099,12,31),Stawki!$G$11),IF(N(Stawki!$B$11)=0,DATE(2099,12,31),Stawki!$B$11)))</f>
        <v>46203</v>
      </c>
      <c r="I8" s="47" t="n">
        <f aca="false">IF(Wyliczenie!$B$5=Stawki!$K$7,N(Stawki!$H$11),IF(Wyliczenie!$B$5=Stawki!$K$6,N(Stawki!$D$11),N(Stawki!$C$11)))</f>
        <v>0.14</v>
      </c>
      <c r="J8" s="48" t="n">
        <f aca="false">IF(OR(E8="",G8=0,D8=0),0,MAX(0,MIN(F8,H8)-MAX(E8,G8)+1))</f>
        <v>15</v>
      </c>
      <c r="K8" s="46" t="n">
        <f aca="false">IF(J8&gt;0,MAX(E8,G8),"")</f>
        <v>46189</v>
      </c>
      <c r="L8" s="46" t="n">
        <f aca="false">IF(J8&gt;0,MIN(F8,H8),"")</f>
        <v>46203</v>
      </c>
      <c r="M8" s="18" t="n">
        <f aca="false">IF(J8&gt;0,ROUND(D8*I8*J8/365,2),0)</f>
        <v>141.53</v>
      </c>
      <c r="N8" s="10" t="n">
        <f aca="false">IF(J8&gt;0,1,0)</f>
        <v>1</v>
      </c>
      <c r="O8" s="10" t="n">
        <f aca="false">O7+N8</f>
        <v>1</v>
      </c>
      <c r="Q8" s="0" t="n">
        <v>7</v>
      </c>
      <c r="R8" s="10" t="n">
        <f aca="false">IF(N(Wyliczenie!$J$27)&gt;0,1,0)</f>
        <v>0</v>
      </c>
      <c r="S8" s="10" t="n">
        <f aca="false">S7+R8</f>
        <v>2</v>
      </c>
    </row>
    <row r="9" customFormat="false" ht="15" hidden="false" customHeight="false" outlineLevel="0" collapsed="false">
      <c r="A9" s="0" t="n">
        <v>1</v>
      </c>
      <c r="B9" s="0" t="n">
        <v>8</v>
      </c>
      <c r="C9" s="0" t="str">
        <f aca="false">IF(Wyliczenie!$A$21="","",Wyliczenie!$A$21)</f>
        <v>FV/2026/06/015</v>
      </c>
      <c r="D9" s="18" t="n">
        <f aca="false">N(Wyliczenie!$B$21)</f>
        <v>24600</v>
      </c>
      <c r="E9" s="46" t="n">
        <f aca="false">IF(Wyliczenie!$C$21="","",Wyliczenie!$C$21+1)</f>
        <v>46189</v>
      </c>
      <c r="F9" s="46" t="n">
        <f aca="false">IF(E9="","",IF(Wyliczenie!$D$21="",Wyliczenie!$B$6,Wyliczenie!$D$21))</f>
        <v>46248</v>
      </c>
      <c r="G9" s="46" t="n">
        <f aca="false">IF(Wyliczenie!$B$5=Stawki!$K$7,N(Stawki!$F$12),N(Stawki!$A$12))</f>
        <v>46204</v>
      </c>
      <c r="H9" s="46" t="n">
        <f aca="false">IF(G9=0,0,IF(Wyliczenie!$B$5=Stawki!$K$7,IF(N(Stawki!$G$12)=0,DATE(2099,12,31),Stawki!$G$12),IF(N(Stawki!$B$12)=0,DATE(2099,12,31),Stawki!$B$12)))</f>
        <v>46387</v>
      </c>
      <c r="I9" s="47" t="n">
        <f aca="false">IF(Wyliczenie!$B$5=Stawki!$K$7,N(Stawki!$H$12),IF(Wyliczenie!$B$5=Stawki!$K$6,N(Stawki!$D$12),N(Stawki!$C$12)))</f>
        <v>0.1375</v>
      </c>
      <c r="J9" s="48" t="n">
        <f aca="false">IF(OR(E9="",G9=0,D9=0),0,MAX(0,MIN(F9,H9)-MAX(E9,G9)+1))</f>
        <v>45</v>
      </c>
      <c r="K9" s="46" t="n">
        <f aca="false">IF(J9&gt;0,MAX(E9,G9),"")</f>
        <v>46204</v>
      </c>
      <c r="L9" s="46" t="n">
        <f aca="false">IF(J9&gt;0,MIN(F9,H9),"")</f>
        <v>46248</v>
      </c>
      <c r="M9" s="18" t="n">
        <f aca="false">IF(J9&gt;0,ROUND(D9*I9*J9/365,2),0)</f>
        <v>417.02</v>
      </c>
      <c r="N9" s="10" t="n">
        <f aca="false">IF(J9&gt;0,1,0)</f>
        <v>1</v>
      </c>
      <c r="O9" s="10" t="n">
        <f aca="false">O8+N9</f>
        <v>2</v>
      </c>
      <c r="Q9" s="0" t="n">
        <v>8</v>
      </c>
      <c r="R9" s="10" t="n">
        <f aca="false">IF(N(Wyliczenie!$J$28)&gt;0,1,0)</f>
        <v>0</v>
      </c>
      <c r="S9" s="10" t="n">
        <f aca="false">S8+R9</f>
        <v>2</v>
      </c>
    </row>
    <row r="10" customFormat="false" ht="15" hidden="false" customHeight="false" outlineLevel="0" collapsed="false">
      <c r="A10" s="0" t="n">
        <v>1</v>
      </c>
      <c r="B10" s="0" t="n">
        <v>9</v>
      </c>
      <c r="C10" s="0" t="str">
        <f aca="false">IF(Wyliczenie!$A$21="","",Wyliczenie!$A$21)</f>
        <v>FV/2026/06/015</v>
      </c>
      <c r="D10" s="18" t="n">
        <f aca="false">N(Wyliczenie!$B$21)</f>
        <v>24600</v>
      </c>
      <c r="E10" s="46" t="n">
        <f aca="false">IF(Wyliczenie!$C$21="","",Wyliczenie!$C$21+1)</f>
        <v>46189</v>
      </c>
      <c r="F10" s="46" t="n">
        <f aca="false">IF(E10="","",IF(Wyliczenie!$D$21="",Wyliczenie!$B$6,Wyliczenie!$D$21))</f>
        <v>46248</v>
      </c>
      <c r="G10" s="46" t="n">
        <f aca="false">IF(Wyliczenie!$B$5=Stawki!$K$7,N(Stawki!$F$13),N(Stawki!$A$13))</f>
        <v>0</v>
      </c>
      <c r="H10" s="46" t="n">
        <f aca="false">IF(G10=0,0,IF(Wyliczenie!$B$5=Stawki!$K$7,IF(N(Stawki!$G$13)=0,DATE(2099,12,31),Stawki!$G$13),IF(N(Stawki!$B$13)=0,DATE(2099,12,31),Stawki!$B$13)))</f>
        <v>0</v>
      </c>
      <c r="I10" s="47" t="n">
        <f aca="false">IF(Wyliczenie!$B$5=Stawki!$K$7,N(Stawki!$H$13),IF(Wyliczenie!$B$5=Stawki!$K$6,N(Stawki!$D$13),N(Stawki!$C$13)))</f>
        <v>0</v>
      </c>
      <c r="J10" s="48" t="n">
        <f aca="false">IF(OR(E10="",G10=0,D10=0),0,MAX(0,MIN(F10,H10)-MAX(E10,G10)+1))</f>
        <v>0</v>
      </c>
      <c r="K10" s="46" t="str">
        <f aca="false">IF(J10&gt;0,MAX(E10,G10),"")</f>
        <v/>
      </c>
      <c r="L10" s="46" t="str">
        <f aca="false">IF(J10&gt;0,MIN(F10,H10),"")</f>
        <v/>
      </c>
      <c r="M10" s="18" t="n">
        <f aca="false">IF(J10&gt;0,ROUND(D10*I10*J10/365,2),0)</f>
        <v>0</v>
      </c>
      <c r="N10" s="10" t="n">
        <f aca="false">IF(J10&gt;0,1,0)</f>
        <v>0</v>
      </c>
      <c r="O10" s="10" t="n">
        <f aca="false">O9+N10</f>
        <v>2</v>
      </c>
    </row>
    <row r="11" customFormat="false" ht="15" hidden="false" customHeight="false" outlineLevel="0" collapsed="false">
      <c r="A11" s="0" t="n">
        <v>1</v>
      </c>
      <c r="B11" s="0" t="n">
        <v>10</v>
      </c>
      <c r="C11" s="0" t="str">
        <f aca="false">IF(Wyliczenie!$A$21="","",Wyliczenie!$A$21)</f>
        <v>FV/2026/06/015</v>
      </c>
      <c r="D11" s="18" t="n">
        <f aca="false">N(Wyliczenie!$B$21)</f>
        <v>24600</v>
      </c>
      <c r="E11" s="46" t="n">
        <f aca="false">IF(Wyliczenie!$C$21="","",Wyliczenie!$C$21+1)</f>
        <v>46189</v>
      </c>
      <c r="F11" s="46" t="n">
        <f aca="false">IF(E11="","",IF(Wyliczenie!$D$21="",Wyliczenie!$B$6,Wyliczenie!$D$21))</f>
        <v>46248</v>
      </c>
      <c r="G11" s="46" t="n">
        <f aca="false">IF(Wyliczenie!$B$5=Stawki!$K$7,N(Stawki!$F$14),N(Stawki!$A$14))</f>
        <v>0</v>
      </c>
      <c r="H11" s="46" t="n">
        <f aca="false">IF(G11=0,0,IF(Wyliczenie!$B$5=Stawki!$K$7,IF(N(Stawki!$G$14)=0,DATE(2099,12,31),Stawki!$G$14),IF(N(Stawki!$B$14)=0,DATE(2099,12,31),Stawki!$B$14)))</f>
        <v>0</v>
      </c>
      <c r="I11" s="47" t="n">
        <f aca="false">IF(Wyliczenie!$B$5=Stawki!$K$7,N(Stawki!$H$14),IF(Wyliczenie!$B$5=Stawki!$K$6,N(Stawki!$D$14),N(Stawki!$C$14)))</f>
        <v>0</v>
      </c>
      <c r="J11" s="48" t="n">
        <f aca="false">IF(OR(E11="",G11=0,D11=0),0,MAX(0,MIN(F11,H11)-MAX(E11,G11)+1))</f>
        <v>0</v>
      </c>
      <c r="K11" s="46" t="str">
        <f aca="false">IF(J11&gt;0,MAX(E11,G11),"")</f>
        <v/>
      </c>
      <c r="L11" s="46" t="str">
        <f aca="false">IF(J11&gt;0,MIN(F11,H11),"")</f>
        <v/>
      </c>
      <c r="M11" s="18" t="n">
        <f aca="false">IF(J11&gt;0,ROUND(D11*I11*J11/365,2),0)</f>
        <v>0</v>
      </c>
      <c r="N11" s="10" t="n">
        <f aca="false">IF(J11&gt;0,1,0)</f>
        <v>0</v>
      </c>
      <c r="O11" s="10" t="n">
        <f aca="false">O10+N11</f>
        <v>2</v>
      </c>
    </row>
    <row r="12" customFormat="false" ht="15" hidden="false" customHeight="false" outlineLevel="0" collapsed="false">
      <c r="A12" s="0" t="n">
        <v>1</v>
      </c>
      <c r="B12" s="0" t="n">
        <v>11</v>
      </c>
      <c r="C12" s="0" t="str">
        <f aca="false">IF(Wyliczenie!$A$21="","",Wyliczenie!$A$21)</f>
        <v>FV/2026/06/015</v>
      </c>
      <c r="D12" s="18" t="n">
        <f aca="false">N(Wyliczenie!$B$21)</f>
        <v>24600</v>
      </c>
      <c r="E12" s="46" t="n">
        <f aca="false">IF(Wyliczenie!$C$21="","",Wyliczenie!$C$21+1)</f>
        <v>46189</v>
      </c>
      <c r="F12" s="46" t="n">
        <f aca="false">IF(E12="","",IF(Wyliczenie!$D$21="",Wyliczenie!$B$6,Wyliczenie!$D$21))</f>
        <v>46248</v>
      </c>
      <c r="G12" s="46" t="n">
        <f aca="false">IF(Wyliczenie!$B$5=Stawki!$K$7,N(Stawki!$F$15),N(Stawki!$A$15))</f>
        <v>0</v>
      </c>
      <c r="H12" s="46" t="n">
        <f aca="false">IF(G12=0,0,IF(Wyliczenie!$B$5=Stawki!$K$7,IF(N(Stawki!$G$15)=0,DATE(2099,12,31),Stawki!$G$15),IF(N(Stawki!$B$15)=0,DATE(2099,12,31),Stawki!$B$15)))</f>
        <v>0</v>
      </c>
      <c r="I12" s="47" t="n">
        <f aca="false">IF(Wyliczenie!$B$5=Stawki!$K$7,N(Stawki!$H$15),IF(Wyliczenie!$B$5=Stawki!$K$6,N(Stawki!$D$15),N(Stawki!$C$15)))</f>
        <v>0</v>
      </c>
      <c r="J12" s="48" t="n">
        <f aca="false">IF(OR(E12="",G12=0,D12=0),0,MAX(0,MIN(F12,H12)-MAX(E12,G12)+1))</f>
        <v>0</v>
      </c>
      <c r="K12" s="46" t="str">
        <f aca="false">IF(J12&gt;0,MAX(E12,G12),"")</f>
        <v/>
      </c>
      <c r="L12" s="46" t="str">
        <f aca="false">IF(J12&gt;0,MIN(F12,H12),"")</f>
        <v/>
      </c>
      <c r="M12" s="18" t="n">
        <f aca="false">IF(J12&gt;0,ROUND(D12*I12*J12/365,2),0)</f>
        <v>0</v>
      </c>
      <c r="N12" s="10" t="n">
        <f aca="false">IF(J12&gt;0,1,0)</f>
        <v>0</v>
      </c>
      <c r="O12" s="10" t="n">
        <f aca="false">O11+N12</f>
        <v>2</v>
      </c>
      <c r="Q12" s="6" t="s">
        <v>99</v>
      </c>
    </row>
    <row r="13" customFormat="false" ht="15" hidden="false" customHeight="false" outlineLevel="0" collapsed="false">
      <c r="A13" s="0" t="n">
        <v>1</v>
      </c>
      <c r="B13" s="0" t="n">
        <v>12</v>
      </c>
      <c r="C13" s="0" t="str">
        <f aca="false">IF(Wyliczenie!$A$21="","",Wyliczenie!$A$21)</f>
        <v>FV/2026/06/015</v>
      </c>
      <c r="D13" s="18" t="n">
        <f aca="false">N(Wyliczenie!$B$21)</f>
        <v>24600</v>
      </c>
      <c r="E13" s="46" t="n">
        <f aca="false">IF(Wyliczenie!$C$21="","",Wyliczenie!$C$21+1)</f>
        <v>46189</v>
      </c>
      <c r="F13" s="46" t="n">
        <f aca="false">IF(E13="","",IF(Wyliczenie!$D$21="",Wyliczenie!$B$6,Wyliczenie!$D$21))</f>
        <v>46248</v>
      </c>
      <c r="G13" s="46" t="n">
        <f aca="false">IF(Wyliczenie!$B$5=Stawki!$K$7,N(Stawki!$F$16),N(Stawki!$A$16))</f>
        <v>0</v>
      </c>
      <c r="H13" s="46" t="n">
        <f aca="false">IF(G13=0,0,IF(Wyliczenie!$B$5=Stawki!$K$7,IF(N(Stawki!$G$16)=0,DATE(2099,12,31),Stawki!$G$16),IF(N(Stawki!$B$16)=0,DATE(2099,12,31),Stawki!$B$16)))</f>
        <v>0</v>
      </c>
      <c r="I13" s="47" t="n">
        <f aca="false">IF(Wyliczenie!$B$5=Stawki!$K$7,N(Stawki!$H$16),IF(Wyliczenie!$B$5=Stawki!$K$6,N(Stawki!$D$16),N(Stawki!$C$16)))</f>
        <v>0</v>
      </c>
      <c r="J13" s="48" t="n">
        <f aca="false">IF(OR(E13="",G13=0,D13=0),0,MAX(0,MIN(F13,H13)-MAX(E13,G13)+1))</f>
        <v>0</v>
      </c>
      <c r="K13" s="46" t="str">
        <f aca="false">IF(J13&gt;0,MAX(E13,G13),"")</f>
        <v/>
      </c>
      <c r="L13" s="46" t="str">
        <f aca="false">IF(J13&gt;0,MIN(F13,H13),"")</f>
        <v/>
      </c>
      <c r="M13" s="18" t="n">
        <f aca="false">IF(J13&gt;0,ROUND(D13*I13*J13/365,2),0)</f>
        <v>0</v>
      </c>
      <c r="N13" s="10" t="n">
        <f aca="false">IF(J13&gt;0,1,0)</f>
        <v>0</v>
      </c>
      <c r="O13" s="10" t="n">
        <f aca="false">O12+N13</f>
        <v>2</v>
      </c>
    </row>
    <row r="14" customFormat="false" ht="15" hidden="false" customHeight="false" outlineLevel="0" collapsed="false">
      <c r="A14" s="0" t="n">
        <v>1</v>
      </c>
      <c r="B14" s="0" t="n">
        <v>13</v>
      </c>
      <c r="C14" s="0" t="str">
        <f aca="false">IF(Wyliczenie!$A$21="","",Wyliczenie!$A$21)</f>
        <v>FV/2026/06/015</v>
      </c>
      <c r="D14" s="18" t="n">
        <f aca="false">N(Wyliczenie!$B$21)</f>
        <v>24600</v>
      </c>
      <c r="E14" s="46" t="n">
        <f aca="false">IF(Wyliczenie!$C$21="","",Wyliczenie!$C$21+1)</f>
        <v>46189</v>
      </c>
      <c r="F14" s="46" t="n">
        <f aca="false">IF(E14="","",IF(Wyliczenie!$D$21="",Wyliczenie!$B$6,Wyliczenie!$D$21))</f>
        <v>46248</v>
      </c>
      <c r="G14" s="46" t="n">
        <f aca="false">IF(Wyliczenie!$B$5=Stawki!$K$7,N(Stawki!$F$17),N(Stawki!$A$17))</f>
        <v>0</v>
      </c>
      <c r="H14" s="46" t="n">
        <f aca="false">IF(G14=0,0,IF(Wyliczenie!$B$5=Stawki!$K$7,IF(N(Stawki!$G$17)=0,DATE(2099,12,31),Stawki!$G$17),IF(N(Stawki!$B$17)=0,DATE(2099,12,31),Stawki!$B$17)))</f>
        <v>0</v>
      </c>
      <c r="I14" s="47" t="n">
        <f aca="false">IF(Wyliczenie!$B$5=Stawki!$K$7,N(Stawki!$H$17),IF(Wyliczenie!$B$5=Stawki!$K$6,N(Stawki!$D$17),N(Stawki!$C$17)))</f>
        <v>0</v>
      </c>
      <c r="J14" s="48" t="n">
        <f aca="false">IF(OR(E14="",G14=0,D14=0),0,MAX(0,MIN(F14,H14)-MAX(E14,G14)+1))</f>
        <v>0</v>
      </c>
      <c r="K14" s="46" t="str">
        <f aca="false">IF(J14&gt;0,MAX(E14,G14),"")</f>
        <v/>
      </c>
      <c r="L14" s="46" t="str">
        <f aca="false">IF(J14&gt;0,MIN(F14,H14),"")</f>
        <v/>
      </c>
      <c r="M14" s="18" t="n">
        <f aca="false">IF(J14&gt;0,ROUND(D14*I14*J14/365,2),0)</f>
        <v>0</v>
      </c>
      <c r="N14" s="10" t="n">
        <f aca="false">IF(J14&gt;0,1,0)</f>
        <v>0</v>
      </c>
      <c r="O14" s="10" t="n">
        <f aca="false">O13+N14</f>
        <v>2</v>
      </c>
    </row>
    <row r="15" customFormat="false" ht="15" hidden="false" customHeight="false" outlineLevel="0" collapsed="false">
      <c r="A15" s="0" t="n">
        <v>1</v>
      </c>
      <c r="B15" s="0" t="n">
        <v>14</v>
      </c>
      <c r="C15" s="0" t="str">
        <f aca="false">IF(Wyliczenie!$A$21="","",Wyliczenie!$A$21)</f>
        <v>FV/2026/06/015</v>
      </c>
      <c r="D15" s="18" t="n">
        <f aca="false">N(Wyliczenie!$B$21)</f>
        <v>24600</v>
      </c>
      <c r="E15" s="46" t="n">
        <f aca="false">IF(Wyliczenie!$C$21="","",Wyliczenie!$C$21+1)</f>
        <v>46189</v>
      </c>
      <c r="F15" s="46" t="n">
        <f aca="false">IF(E15="","",IF(Wyliczenie!$D$21="",Wyliczenie!$B$6,Wyliczenie!$D$21))</f>
        <v>46248</v>
      </c>
      <c r="G15" s="46" t="n">
        <f aca="false">IF(Wyliczenie!$B$5=Stawki!$K$7,N(Stawki!$F$18),N(Stawki!$A$18))</f>
        <v>0</v>
      </c>
      <c r="H15" s="46" t="n">
        <f aca="false">IF(G15=0,0,IF(Wyliczenie!$B$5=Stawki!$K$7,IF(N(Stawki!$G$18)=0,DATE(2099,12,31),Stawki!$G$18),IF(N(Stawki!$B$18)=0,DATE(2099,12,31),Stawki!$B$18)))</f>
        <v>0</v>
      </c>
      <c r="I15" s="47" t="n">
        <f aca="false">IF(Wyliczenie!$B$5=Stawki!$K$7,N(Stawki!$H$18),IF(Wyliczenie!$B$5=Stawki!$K$6,N(Stawki!$D$18),N(Stawki!$C$18)))</f>
        <v>0</v>
      </c>
      <c r="J15" s="48" t="n">
        <f aca="false">IF(OR(E15="",G15=0,D15=0),0,MAX(0,MIN(F15,H15)-MAX(E15,G15)+1))</f>
        <v>0</v>
      </c>
      <c r="K15" s="46" t="str">
        <f aca="false">IF(J15&gt;0,MAX(E15,G15),"")</f>
        <v/>
      </c>
      <c r="L15" s="46" t="str">
        <f aca="false">IF(J15&gt;0,MIN(F15,H15),"")</f>
        <v/>
      </c>
      <c r="M15" s="18" t="n">
        <f aca="false">IF(J15&gt;0,ROUND(D15*I15*J15/365,2),0)</f>
        <v>0</v>
      </c>
      <c r="N15" s="10" t="n">
        <f aca="false">IF(J15&gt;0,1,0)</f>
        <v>0</v>
      </c>
      <c r="O15" s="10" t="n">
        <f aca="false">O14+N15</f>
        <v>2</v>
      </c>
    </row>
    <row r="16" customFormat="false" ht="15" hidden="false" customHeight="false" outlineLevel="0" collapsed="false">
      <c r="A16" s="0" t="n">
        <v>1</v>
      </c>
      <c r="B16" s="0" t="n">
        <v>15</v>
      </c>
      <c r="C16" s="0" t="str">
        <f aca="false">IF(Wyliczenie!$A$21="","",Wyliczenie!$A$21)</f>
        <v>FV/2026/06/015</v>
      </c>
      <c r="D16" s="18" t="n">
        <f aca="false">N(Wyliczenie!$B$21)</f>
        <v>24600</v>
      </c>
      <c r="E16" s="46" t="n">
        <f aca="false">IF(Wyliczenie!$C$21="","",Wyliczenie!$C$21+1)</f>
        <v>46189</v>
      </c>
      <c r="F16" s="46" t="n">
        <f aca="false">IF(E16="","",IF(Wyliczenie!$D$21="",Wyliczenie!$B$6,Wyliczenie!$D$21))</f>
        <v>46248</v>
      </c>
      <c r="G16" s="46" t="n">
        <f aca="false">IF(Wyliczenie!$B$5=Stawki!$K$7,N(Stawki!$F$19),N(Stawki!$A$19))</f>
        <v>0</v>
      </c>
      <c r="H16" s="46" t="n">
        <f aca="false">IF(G16=0,0,IF(Wyliczenie!$B$5=Stawki!$K$7,IF(N(Stawki!$G$19)=0,DATE(2099,12,31),Stawki!$G$19),IF(N(Stawki!$B$19)=0,DATE(2099,12,31),Stawki!$B$19)))</f>
        <v>0</v>
      </c>
      <c r="I16" s="47" t="n">
        <f aca="false">IF(Wyliczenie!$B$5=Stawki!$K$7,N(Stawki!$H$19),IF(Wyliczenie!$B$5=Stawki!$K$6,N(Stawki!$D$19),N(Stawki!$C$19)))</f>
        <v>0</v>
      </c>
      <c r="J16" s="48" t="n">
        <f aca="false">IF(OR(E16="",G16=0,D16=0),0,MAX(0,MIN(F16,H16)-MAX(E16,G16)+1))</f>
        <v>0</v>
      </c>
      <c r="K16" s="46" t="str">
        <f aca="false">IF(J16&gt;0,MAX(E16,G16),"")</f>
        <v/>
      </c>
      <c r="L16" s="46" t="str">
        <f aca="false">IF(J16&gt;0,MIN(F16,H16),"")</f>
        <v/>
      </c>
      <c r="M16" s="18" t="n">
        <f aca="false">IF(J16&gt;0,ROUND(D16*I16*J16/365,2),0)</f>
        <v>0</v>
      </c>
      <c r="N16" s="10" t="n">
        <f aca="false">IF(J16&gt;0,1,0)</f>
        <v>0</v>
      </c>
      <c r="O16" s="10" t="n">
        <f aca="false">O15+N16</f>
        <v>2</v>
      </c>
    </row>
    <row r="17" customFormat="false" ht="15" hidden="false" customHeight="false" outlineLevel="0" collapsed="false">
      <c r="A17" s="0" t="n">
        <v>1</v>
      </c>
      <c r="B17" s="0" t="n">
        <v>16</v>
      </c>
      <c r="C17" s="0" t="str">
        <f aca="false">IF(Wyliczenie!$A$21="","",Wyliczenie!$A$21)</f>
        <v>FV/2026/06/015</v>
      </c>
      <c r="D17" s="18" t="n">
        <f aca="false">N(Wyliczenie!$B$21)</f>
        <v>24600</v>
      </c>
      <c r="E17" s="46" t="n">
        <f aca="false">IF(Wyliczenie!$C$21="","",Wyliczenie!$C$21+1)</f>
        <v>46189</v>
      </c>
      <c r="F17" s="46" t="n">
        <f aca="false">IF(E17="","",IF(Wyliczenie!$D$21="",Wyliczenie!$B$6,Wyliczenie!$D$21))</f>
        <v>46248</v>
      </c>
      <c r="G17" s="46" t="n">
        <f aca="false">IF(Wyliczenie!$B$5=Stawki!$K$7,N(Stawki!$F$20),N(Stawki!$A$20))</f>
        <v>0</v>
      </c>
      <c r="H17" s="46" t="n">
        <f aca="false">IF(G17=0,0,IF(Wyliczenie!$B$5=Stawki!$K$7,IF(N(Stawki!$G$20)=0,DATE(2099,12,31),Stawki!$G$20),IF(N(Stawki!$B$20)=0,DATE(2099,12,31),Stawki!$B$20)))</f>
        <v>0</v>
      </c>
      <c r="I17" s="47" t="n">
        <f aca="false">IF(Wyliczenie!$B$5=Stawki!$K$7,N(Stawki!$H$20),IF(Wyliczenie!$B$5=Stawki!$K$6,N(Stawki!$D$20),N(Stawki!$C$20)))</f>
        <v>0</v>
      </c>
      <c r="J17" s="48" t="n">
        <f aca="false">IF(OR(E17="",G17=0,D17=0),0,MAX(0,MIN(F17,H17)-MAX(E17,G17)+1))</f>
        <v>0</v>
      </c>
      <c r="K17" s="46" t="str">
        <f aca="false">IF(J17&gt;0,MAX(E17,G17),"")</f>
        <v/>
      </c>
      <c r="L17" s="46" t="str">
        <f aca="false">IF(J17&gt;0,MIN(F17,H17),"")</f>
        <v/>
      </c>
      <c r="M17" s="18" t="n">
        <f aca="false">IF(J17&gt;0,ROUND(D17*I17*J17/365,2),0)</f>
        <v>0</v>
      </c>
      <c r="N17" s="10" t="n">
        <f aca="false">IF(J17&gt;0,1,0)</f>
        <v>0</v>
      </c>
      <c r="O17" s="10" t="n">
        <f aca="false">O16+N17</f>
        <v>2</v>
      </c>
    </row>
    <row r="18" customFormat="false" ht="15" hidden="false" customHeight="false" outlineLevel="0" collapsed="false">
      <c r="A18" s="0" t="n">
        <v>2</v>
      </c>
      <c r="B18" s="0" t="n">
        <v>1</v>
      </c>
      <c r="C18" s="0" t="str">
        <f aca="false">IF(Wyliczenie!$A$22="","",Wyliczenie!$A$22)</f>
        <v>FV/2024/12/088</v>
      </c>
      <c r="D18" s="18" t="n">
        <f aca="false">N(Wyliczenie!$B$22)</f>
        <v>10000</v>
      </c>
      <c r="E18" s="46" t="n">
        <f aca="false">IF(Wyliczenie!$C$22="","",Wyliczenie!$C$22+1)</f>
        <v>45658</v>
      </c>
      <c r="F18" s="46" t="n">
        <f aca="false">IF(E18="","",IF(Wyliczenie!$D$22="",Wyliczenie!$B$6,Wyliczenie!$D$22))</f>
        <v>46295</v>
      </c>
      <c r="G18" s="46" t="n">
        <f aca="false">IF(Wyliczenie!$B$5=Stawki!$K$7,N(Stawki!$F$5),N(Stawki!$A$5))</f>
        <v>44927</v>
      </c>
      <c r="H18" s="46" t="n">
        <f aca="false">IF(G18=0,0,IF(Wyliczenie!$B$5=Stawki!$K$7,IF(N(Stawki!$G$5)=0,DATE(2099,12,31),Stawki!$G$5),IF(N(Stawki!$B$5)=0,DATE(2099,12,31),Stawki!$B$5)))</f>
        <v>45107</v>
      </c>
      <c r="I18" s="47" t="n">
        <f aca="false">IF(Wyliczenie!$B$5=Stawki!$K$7,N(Stawki!$H$5),IF(Wyliczenie!$B$5=Stawki!$K$6,N(Stawki!$D$5),N(Stawki!$C$5)))</f>
        <v>0.1675</v>
      </c>
      <c r="J18" s="48" t="n">
        <f aca="false">IF(OR(E18="",G18=0,D18=0),0,MAX(0,MIN(F18,H18)-MAX(E18,G18)+1))</f>
        <v>0</v>
      </c>
      <c r="K18" s="46" t="str">
        <f aca="false">IF(J18&gt;0,MAX(E18,G18),"")</f>
        <v/>
      </c>
      <c r="L18" s="46" t="str">
        <f aca="false">IF(J18&gt;0,MIN(F18,H18),"")</f>
        <v/>
      </c>
      <c r="M18" s="18" t="n">
        <f aca="false">IF(J18&gt;0,ROUND(D18*I18*J18/365,2),0)</f>
        <v>0</v>
      </c>
      <c r="N18" s="10" t="n">
        <f aca="false">IF(J18&gt;0,1,0)</f>
        <v>0</v>
      </c>
      <c r="O18" s="10" t="n">
        <f aca="false">O17+N18</f>
        <v>2</v>
      </c>
    </row>
    <row r="19" customFormat="false" ht="15" hidden="false" customHeight="false" outlineLevel="0" collapsed="false">
      <c r="A19" s="0" t="n">
        <v>2</v>
      </c>
      <c r="B19" s="0" t="n">
        <v>2</v>
      </c>
      <c r="C19" s="0" t="str">
        <f aca="false">IF(Wyliczenie!$A$22="","",Wyliczenie!$A$22)</f>
        <v>FV/2024/12/088</v>
      </c>
      <c r="D19" s="18" t="n">
        <f aca="false">N(Wyliczenie!$B$22)</f>
        <v>10000</v>
      </c>
      <c r="E19" s="46" t="n">
        <f aca="false">IF(Wyliczenie!$C$22="","",Wyliczenie!$C$22+1)</f>
        <v>45658</v>
      </c>
      <c r="F19" s="46" t="n">
        <f aca="false">IF(E19="","",IF(Wyliczenie!$D$22="",Wyliczenie!$B$6,Wyliczenie!$D$22))</f>
        <v>46295</v>
      </c>
      <c r="G19" s="46" t="n">
        <f aca="false">IF(Wyliczenie!$B$5=Stawki!$K$7,N(Stawki!$F$6),N(Stawki!$A$6))</f>
        <v>45108</v>
      </c>
      <c r="H19" s="46" t="n">
        <f aca="false">IF(G19=0,0,IF(Wyliczenie!$B$5=Stawki!$K$7,IF(N(Stawki!$G$6)=0,DATE(2099,12,31),Stawki!$G$6),IF(N(Stawki!$B$6)=0,DATE(2099,12,31),Stawki!$B$6)))</f>
        <v>45291</v>
      </c>
      <c r="I19" s="47" t="n">
        <f aca="false">IF(Wyliczenie!$B$5=Stawki!$K$7,N(Stawki!$H$6),IF(Wyliczenie!$B$5=Stawki!$K$6,N(Stawki!$D$6),N(Stawki!$C$6)))</f>
        <v>0.1675</v>
      </c>
      <c r="J19" s="48" t="n">
        <f aca="false">IF(OR(E19="",G19=0,D19=0),0,MAX(0,MIN(F19,H19)-MAX(E19,G19)+1))</f>
        <v>0</v>
      </c>
      <c r="K19" s="46" t="str">
        <f aca="false">IF(J19&gt;0,MAX(E19,G19),"")</f>
        <v/>
      </c>
      <c r="L19" s="46" t="str">
        <f aca="false">IF(J19&gt;0,MIN(F19,H19),"")</f>
        <v/>
      </c>
      <c r="M19" s="18" t="n">
        <f aca="false">IF(J19&gt;0,ROUND(D19*I19*J19/365,2),0)</f>
        <v>0</v>
      </c>
      <c r="N19" s="10" t="n">
        <f aca="false">IF(J19&gt;0,1,0)</f>
        <v>0</v>
      </c>
      <c r="O19" s="10" t="n">
        <f aca="false">O18+N19</f>
        <v>2</v>
      </c>
    </row>
    <row r="20" customFormat="false" ht="15" hidden="false" customHeight="false" outlineLevel="0" collapsed="false">
      <c r="A20" s="0" t="n">
        <v>2</v>
      </c>
      <c r="B20" s="0" t="n">
        <v>3</v>
      </c>
      <c r="C20" s="0" t="str">
        <f aca="false">IF(Wyliczenie!$A$22="","",Wyliczenie!$A$22)</f>
        <v>FV/2024/12/088</v>
      </c>
      <c r="D20" s="18" t="n">
        <f aca="false">N(Wyliczenie!$B$22)</f>
        <v>10000</v>
      </c>
      <c r="E20" s="46" t="n">
        <f aca="false">IF(Wyliczenie!$C$22="","",Wyliczenie!$C$22+1)</f>
        <v>45658</v>
      </c>
      <c r="F20" s="46" t="n">
        <f aca="false">IF(E20="","",IF(Wyliczenie!$D$22="",Wyliczenie!$B$6,Wyliczenie!$D$22))</f>
        <v>46295</v>
      </c>
      <c r="G20" s="46" t="n">
        <f aca="false">IF(Wyliczenie!$B$5=Stawki!$K$7,N(Stawki!$F$7),N(Stawki!$A$7))</f>
        <v>45292</v>
      </c>
      <c r="H20" s="46" t="n">
        <f aca="false">IF(G20=0,0,IF(Wyliczenie!$B$5=Stawki!$K$7,IF(N(Stawki!$G$7)=0,DATE(2099,12,31),Stawki!$G$7),IF(N(Stawki!$B$7)=0,DATE(2099,12,31),Stawki!$B$7)))</f>
        <v>45473</v>
      </c>
      <c r="I20" s="47" t="n">
        <f aca="false">IF(Wyliczenie!$B$5=Stawki!$K$7,N(Stawki!$H$7),IF(Wyliczenie!$B$5=Stawki!$K$6,N(Stawki!$D$7),N(Stawki!$C$7)))</f>
        <v>0.1575</v>
      </c>
      <c r="J20" s="48" t="n">
        <f aca="false">IF(OR(E20="",G20=0,D20=0),0,MAX(0,MIN(F20,H20)-MAX(E20,G20)+1))</f>
        <v>0</v>
      </c>
      <c r="K20" s="46" t="str">
        <f aca="false">IF(J20&gt;0,MAX(E20,G20),"")</f>
        <v/>
      </c>
      <c r="L20" s="46" t="str">
        <f aca="false">IF(J20&gt;0,MIN(F20,H20),"")</f>
        <v/>
      </c>
      <c r="M20" s="18" t="n">
        <f aca="false">IF(J20&gt;0,ROUND(D20*I20*J20/365,2),0)</f>
        <v>0</v>
      </c>
      <c r="N20" s="10" t="n">
        <f aca="false">IF(J20&gt;0,1,0)</f>
        <v>0</v>
      </c>
      <c r="O20" s="10" t="n">
        <f aca="false">O19+N20</f>
        <v>2</v>
      </c>
    </row>
    <row r="21" customFormat="false" ht="15" hidden="false" customHeight="false" outlineLevel="0" collapsed="false">
      <c r="A21" s="0" t="n">
        <v>2</v>
      </c>
      <c r="B21" s="0" t="n">
        <v>4</v>
      </c>
      <c r="C21" s="0" t="str">
        <f aca="false">IF(Wyliczenie!$A$22="","",Wyliczenie!$A$22)</f>
        <v>FV/2024/12/088</v>
      </c>
      <c r="D21" s="18" t="n">
        <f aca="false">N(Wyliczenie!$B$22)</f>
        <v>10000</v>
      </c>
      <c r="E21" s="46" t="n">
        <f aca="false">IF(Wyliczenie!$C$22="","",Wyliczenie!$C$22+1)</f>
        <v>45658</v>
      </c>
      <c r="F21" s="46" t="n">
        <f aca="false">IF(E21="","",IF(Wyliczenie!$D$22="",Wyliczenie!$B$6,Wyliczenie!$D$22))</f>
        <v>46295</v>
      </c>
      <c r="G21" s="46" t="n">
        <f aca="false">IF(Wyliczenie!$B$5=Stawki!$K$7,N(Stawki!$F$8),N(Stawki!$A$8))</f>
        <v>45474</v>
      </c>
      <c r="H21" s="46" t="n">
        <f aca="false">IF(G21=0,0,IF(Wyliczenie!$B$5=Stawki!$K$7,IF(N(Stawki!$G$8)=0,DATE(2099,12,31),Stawki!$G$8),IF(N(Stawki!$B$8)=0,DATE(2099,12,31),Stawki!$B$8)))</f>
        <v>45657</v>
      </c>
      <c r="I21" s="47" t="n">
        <f aca="false">IF(Wyliczenie!$B$5=Stawki!$K$7,N(Stawki!$H$8),IF(Wyliczenie!$B$5=Stawki!$K$6,N(Stawki!$D$8),N(Stawki!$C$8)))</f>
        <v>0.1575</v>
      </c>
      <c r="J21" s="48" t="n">
        <f aca="false">IF(OR(E21="",G21=0,D21=0),0,MAX(0,MIN(F21,H21)-MAX(E21,G21)+1))</f>
        <v>0</v>
      </c>
      <c r="K21" s="46" t="str">
        <f aca="false">IF(J21&gt;0,MAX(E21,G21),"")</f>
        <v/>
      </c>
      <c r="L21" s="46" t="str">
        <f aca="false">IF(J21&gt;0,MIN(F21,H21),"")</f>
        <v/>
      </c>
      <c r="M21" s="18" t="n">
        <f aca="false">IF(J21&gt;0,ROUND(D21*I21*J21/365,2),0)</f>
        <v>0</v>
      </c>
      <c r="N21" s="10" t="n">
        <f aca="false">IF(J21&gt;0,1,0)</f>
        <v>0</v>
      </c>
      <c r="O21" s="10" t="n">
        <f aca="false">O20+N21</f>
        <v>2</v>
      </c>
    </row>
    <row r="22" customFormat="false" ht="15" hidden="false" customHeight="false" outlineLevel="0" collapsed="false">
      <c r="A22" s="0" t="n">
        <v>2</v>
      </c>
      <c r="B22" s="0" t="n">
        <v>5</v>
      </c>
      <c r="C22" s="0" t="str">
        <f aca="false">IF(Wyliczenie!$A$22="","",Wyliczenie!$A$22)</f>
        <v>FV/2024/12/088</v>
      </c>
      <c r="D22" s="18" t="n">
        <f aca="false">N(Wyliczenie!$B$22)</f>
        <v>10000</v>
      </c>
      <c r="E22" s="46" t="n">
        <f aca="false">IF(Wyliczenie!$C$22="","",Wyliczenie!$C$22+1)</f>
        <v>45658</v>
      </c>
      <c r="F22" s="46" t="n">
        <f aca="false">IF(E22="","",IF(Wyliczenie!$D$22="",Wyliczenie!$B$6,Wyliczenie!$D$22))</f>
        <v>46295</v>
      </c>
      <c r="G22" s="46" t="n">
        <f aca="false">IF(Wyliczenie!$B$5=Stawki!$K$7,N(Stawki!$F$9),N(Stawki!$A$9))</f>
        <v>45658</v>
      </c>
      <c r="H22" s="46" t="n">
        <f aca="false">IF(G22=0,0,IF(Wyliczenie!$B$5=Stawki!$K$7,IF(N(Stawki!$G$9)=0,DATE(2099,12,31),Stawki!$G$9),IF(N(Stawki!$B$9)=0,DATE(2099,12,31),Stawki!$B$9)))</f>
        <v>45838</v>
      </c>
      <c r="I22" s="47" t="n">
        <f aca="false">IF(Wyliczenie!$B$5=Stawki!$K$7,N(Stawki!$H$9),IF(Wyliczenie!$B$5=Stawki!$K$6,N(Stawki!$D$9),N(Stawki!$C$9)))</f>
        <v>0.1575</v>
      </c>
      <c r="J22" s="48" t="n">
        <f aca="false">IF(OR(E22="",G22=0,D22=0),0,MAX(0,MIN(F22,H22)-MAX(E22,G22)+1))</f>
        <v>181</v>
      </c>
      <c r="K22" s="46" t="n">
        <f aca="false">IF(J22&gt;0,MAX(E22,G22),"")</f>
        <v>45658</v>
      </c>
      <c r="L22" s="46" t="n">
        <f aca="false">IF(J22&gt;0,MIN(F22,H22),"")</f>
        <v>45838</v>
      </c>
      <c r="M22" s="18" t="n">
        <f aca="false">IF(J22&gt;0,ROUND(D22*I22*J22/365,2),0)</f>
        <v>781.03</v>
      </c>
      <c r="N22" s="10" t="n">
        <f aca="false">IF(J22&gt;0,1,0)</f>
        <v>1</v>
      </c>
      <c r="O22" s="10" t="n">
        <f aca="false">O21+N22</f>
        <v>3</v>
      </c>
    </row>
    <row r="23" customFormat="false" ht="15" hidden="false" customHeight="false" outlineLevel="0" collapsed="false">
      <c r="A23" s="0" t="n">
        <v>2</v>
      </c>
      <c r="B23" s="0" t="n">
        <v>6</v>
      </c>
      <c r="C23" s="0" t="str">
        <f aca="false">IF(Wyliczenie!$A$22="","",Wyliczenie!$A$22)</f>
        <v>FV/2024/12/088</v>
      </c>
      <c r="D23" s="18" t="n">
        <f aca="false">N(Wyliczenie!$B$22)</f>
        <v>10000</v>
      </c>
      <c r="E23" s="46" t="n">
        <f aca="false">IF(Wyliczenie!$C$22="","",Wyliczenie!$C$22+1)</f>
        <v>45658</v>
      </c>
      <c r="F23" s="46" t="n">
        <f aca="false">IF(E23="","",IF(Wyliczenie!$D$22="",Wyliczenie!$B$6,Wyliczenie!$D$22))</f>
        <v>46295</v>
      </c>
      <c r="G23" s="46" t="n">
        <f aca="false">IF(Wyliczenie!$B$5=Stawki!$K$7,N(Stawki!$F$10),N(Stawki!$A$10))</f>
        <v>45839</v>
      </c>
      <c r="H23" s="46" t="n">
        <f aca="false">IF(G23=0,0,IF(Wyliczenie!$B$5=Stawki!$K$7,IF(N(Stawki!$G$10)=0,DATE(2099,12,31),Stawki!$G$10),IF(N(Stawki!$B$10)=0,DATE(2099,12,31),Stawki!$B$10)))</f>
        <v>46022</v>
      </c>
      <c r="I23" s="47" t="n">
        <f aca="false">IF(Wyliczenie!$B$5=Stawki!$K$7,N(Stawki!$H$10),IF(Wyliczenie!$B$5=Stawki!$K$6,N(Stawki!$D$10),N(Stawki!$C$10)))</f>
        <v>0.1525</v>
      </c>
      <c r="J23" s="48" t="n">
        <f aca="false">IF(OR(E23="",G23=0,D23=0),0,MAX(0,MIN(F23,H23)-MAX(E23,G23)+1))</f>
        <v>184</v>
      </c>
      <c r="K23" s="46" t="n">
        <f aca="false">IF(J23&gt;0,MAX(E23,G23),"")</f>
        <v>45839</v>
      </c>
      <c r="L23" s="46" t="n">
        <f aca="false">IF(J23&gt;0,MIN(F23,H23),"")</f>
        <v>46022</v>
      </c>
      <c r="M23" s="18" t="n">
        <f aca="false">IF(J23&gt;0,ROUND(D23*I23*J23/365,2),0)</f>
        <v>768.77</v>
      </c>
      <c r="N23" s="10" t="n">
        <f aca="false">IF(J23&gt;0,1,0)</f>
        <v>1</v>
      </c>
      <c r="O23" s="10" t="n">
        <f aca="false">O22+N23</f>
        <v>4</v>
      </c>
    </row>
    <row r="24" customFormat="false" ht="15" hidden="false" customHeight="false" outlineLevel="0" collapsed="false">
      <c r="A24" s="0" t="n">
        <v>2</v>
      </c>
      <c r="B24" s="0" t="n">
        <v>7</v>
      </c>
      <c r="C24" s="0" t="str">
        <f aca="false">IF(Wyliczenie!$A$22="","",Wyliczenie!$A$22)</f>
        <v>FV/2024/12/088</v>
      </c>
      <c r="D24" s="18" t="n">
        <f aca="false">N(Wyliczenie!$B$22)</f>
        <v>10000</v>
      </c>
      <c r="E24" s="46" t="n">
        <f aca="false">IF(Wyliczenie!$C$22="","",Wyliczenie!$C$22+1)</f>
        <v>45658</v>
      </c>
      <c r="F24" s="46" t="n">
        <f aca="false">IF(E24="","",IF(Wyliczenie!$D$22="",Wyliczenie!$B$6,Wyliczenie!$D$22))</f>
        <v>46295</v>
      </c>
      <c r="G24" s="46" t="n">
        <f aca="false">IF(Wyliczenie!$B$5=Stawki!$K$7,N(Stawki!$F$11),N(Stawki!$A$11))</f>
        <v>46023</v>
      </c>
      <c r="H24" s="46" t="n">
        <f aca="false">IF(G24=0,0,IF(Wyliczenie!$B$5=Stawki!$K$7,IF(N(Stawki!$G$11)=0,DATE(2099,12,31),Stawki!$G$11),IF(N(Stawki!$B$11)=0,DATE(2099,12,31),Stawki!$B$11)))</f>
        <v>46203</v>
      </c>
      <c r="I24" s="47" t="n">
        <f aca="false">IF(Wyliczenie!$B$5=Stawki!$K$7,N(Stawki!$H$11),IF(Wyliczenie!$B$5=Stawki!$K$6,N(Stawki!$D$11),N(Stawki!$C$11)))</f>
        <v>0.14</v>
      </c>
      <c r="J24" s="48" t="n">
        <f aca="false">IF(OR(E24="",G24=0,D24=0),0,MAX(0,MIN(F24,H24)-MAX(E24,G24)+1))</f>
        <v>181</v>
      </c>
      <c r="K24" s="46" t="n">
        <f aca="false">IF(J24&gt;0,MAX(E24,G24),"")</f>
        <v>46023</v>
      </c>
      <c r="L24" s="46" t="n">
        <f aca="false">IF(J24&gt;0,MIN(F24,H24),"")</f>
        <v>46203</v>
      </c>
      <c r="M24" s="18" t="n">
        <f aca="false">IF(J24&gt;0,ROUND(D24*I24*J24/365,2),0)</f>
        <v>694.25</v>
      </c>
      <c r="N24" s="10" t="n">
        <f aca="false">IF(J24&gt;0,1,0)</f>
        <v>1</v>
      </c>
      <c r="O24" s="10" t="n">
        <f aca="false">O23+N24</f>
        <v>5</v>
      </c>
    </row>
    <row r="25" customFormat="false" ht="15" hidden="false" customHeight="false" outlineLevel="0" collapsed="false">
      <c r="A25" s="0" t="n">
        <v>2</v>
      </c>
      <c r="B25" s="0" t="n">
        <v>8</v>
      </c>
      <c r="C25" s="0" t="str">
        <f aca="false">IF(Wyliczenie!$A$22="","",Wyliczenie!$A$22)</f>
        <v>FV/2024/12/088</v>
      </c>
      <c r="D25" s="18" t="n">
        <f aca="false">N(Wyliczenie!$B$22)</f>
        <v>10000</v>
      </c>
      <c r="E25" s="46" t="n">
        <f aca="false">IF(Wyliczenie!$C$22="","",Wyliczenie!$C$22+1)</f>
        <v>45658</v>
      </c>
      <c r="F25" s="46" t="n">
        <f aca="false">IF(E25="","",IF(Wyliczenie!$D$22="",Wyliczenie!$B$6,Wyliczenie!$D$22))</f>
        <v>46295</v>
      </c>
      <c r="G25" s="46" t="n">
        <f aca="false">IF(Wyliczenie!$B$5=Stawki!$K$7,N(Stawki!$F$12),N(Stawki!$A$12))</f>
        <v>46204</v>
      </c>
      <c r="H25" s="46" t="n">
        <f aca="false">IF(G25=0,0,IF(Wyliczenie!$B$5=Stawki!$K$7,IF(N(Stawki!$G$12)=0,DATE(2099,12,31),Stawki!$G$12),IF(N(Stawki!$B$12)=0,DATE(2099,12,31),Stawki!$B$12)))</f>
        <v>46387</v>
      </c>
      <c r="I25" s="47" t="n">
        <f aca="false">IF(Wyliczenie!$B$5=Stawki!$K$7,N(Stawki!$H$12),IF(Wyliczenie!$B$5=Stawki!$K$6,N(Stawki!$D$12),N(Stawki!$C$12)))</f>
        <v>0.1375</v>
      </c>
      <c r="J25" s="48" t="n">
        <f aca="false">IF(OR(E25="",G25=0,D25=0),0,MAX(0,MIN(F25,H25)-MAX(E25,G25)+1))</f>
        <v>92</v>
      </c>
      <c r="K25" s="46" t="n">
        <f aca="false">IF(J25&gt;0,MAX(E25,G25),"")</f>
        <v>46204</v>
      </c>
      <c r="L25" s="46" t="n">
        <f aca="false">IF(J25&gt;0,MIN(F25,H25),"")</f>
        <v>46295</v>
      </c>
      <c r="M25" s="18" t="n">
        <f aca="false">IF(J25&gt;0,ROUND(D25*I25*J25/365,2),0)</f>
        <v>346.58</v>
      </c>
      <c r="N25" s="10" t="n">
        <f aca="false">IF(J25&gt;0,1,0)</f>
        <v>1</v>
      </c>
      <c r="O25" s="10" t="n">
        <f aca="false">O24+N25</f>
        <v>6</v>
      </c>
    </row>
    <row r="26" customFormat="false" ht="15" hidden="false" customHeight="false" outlineLevel="0" collapsed="false">
      <c r="A26" s="0" t="n">
        <v>2</v>
      </c>
      <c r="B26" s="0" t="n">
        <v>9</v>
      </c>
      <c r="C26" s="0" t="str">
        <f aca="false">IF(Wyliczenie!$A$22="","",Wyliczenie!$A$22)</f>
        <v>FV/2024/12/088</v>
      </c>
      <c r="D26" s="18" t="n">
        <f aca="false">N(Wyliczenie!$B$22)</f>
        <v>10000</v>
      </c>
      <c r="E26" s="46" t="n">
        <f aca="false">IF(Wyliczenie!$C$22="","",Wyliczenie!$C$22+1)</f>
        <v>45658</v>
      </c>
      <c r="F26" s="46" t="n">
        <f aca="false">IF(E26="","",IF(Wyliczenie!$D$22="",Wyliczenie!$B$6,Wyliczenie!$D$22))</f>
        <v>46295</v>
      </c>
      <c r="G26" s="46" t="n">
        <f aca="false">IF(Wyliczenie!$B$5=Stawki!$K$7,N(Stawki!$F$13),N(Stawki!$A$13))</f>
        <v>0</v>
      </c>
      <c r="H26" s="46" t="n">
        <f aca="false">IF(G26=0,0,IF(Wyliczenie!$B$5=Stawki!$K$7,IF(N(Stawki!$G$13)=0,DATE(2099,12,31),Stawki!$G$13),IF(N(Stawki!$B$13)=0,DATE(2099,12,31),Stawki!$B$13)))</f>
        <v>0</v>
      </c>
      <c r="I26" s="47" t="n">
        <f aca="false">IF(Wyliczenie!$B$5=Stawki!$K$7,N(Stawki!$H$13),IF(Wyliczenie!$B$5=Stawki!$K$6,N(Stawki!$D$13),N(Stawki!$C$13)))</f>
        <v>0</v>
      </c>
      <c r="J26" s="48" t="n">
        <f aca="false">IF(OR(E26="",G26=0,D26=0),0,MAX(0,MIN(F26,H26)-MAX(E26,G26)+1))</f>
        <v>0</v>
      </c>
      <c r="K26" s="46" t="str">
        <f aca="false">IF(J26&gt;0,MAX(E26,G26),"")</f>
        <v/>
      </c>
      <c r="L26" s="46" t="str">
        <f aca="false">IF(J26&gt;0,MIN(F26,H26),"")</f>
        <v/>
      </c>
      <c r="M26" s="18" t="n">
        <f aca="false">IF(J26&gt;0,ROUND(D26*I26*J26/365,2),0)</f>
        <v>0</v>
      </c>
      <c r="N26" s="10" t="n">
        <f aca="false">IF(J26&gt;0,1,0)</f>
        <v>0</v>
      </c>
      <c r="O26" s="10" t="n">
        <f aca="false">O25+N26</f>
        <v>6</v>
      </c>
    </row>
    <row r="27" customFormat="false" ht="15" hidden="false" customHeight="false" outlineLevel="0" collapsed="false">
      <c r="A27" s="0" t="n">
        <v>2</v>
      </c>
      <c r="B27" s="0" t="n">
        <v>10</v>
      </c>
      <c r="C27" s="0" t="str">
        <f aca="false">IF(Wyliczenie!$A$22="","",Wyliczenie!$A$22)</f>
        <v>FV/2024/12/088</v>
      </c>
      <c r="D27" s="18" t="n">
        <f aca="false">N(Wyliczenie!$B$22)</f>
        <v>10000</v>
      </c>
      <c r="E27" s="46" t="n">
        <f aca="false">IF(Wyliczenie!$C$22="","",Wyliczenie!$C$22+1)</f>
        <v>45658</v>
      </c>
      <c r="F27" s="46" t="n">
        <f aca="false">IF(E27="","",IF(Wyliczenie!$D$22="",Wyliczenie!$B$6,Wyliczenie!$D$22))</f>
        <v>46295</v>
      </c>
      <c r="G27" s="46" t="n">
        <f aca="false">IF(Wyliczenie!$B$5=Stawki!$K$7,N(Stawki!$F$14),N(Stawki!$A$14))</f>
        <v>0</v>
      </c>
      <c r="H27" s="46" t="n">
        <f aca="false">IF(G27=0,0,IF(Wyliczenie!$B$5=Stawki!$K$7,IF(N(Stawki!$G$14)=0,DATE(2099,12,31),Stawki!$G$14),IF(N(Stawki!$B$14)=0,DATE(2099,12,31),Stawki!$B$14)))</f>
        <v>0</v>
      </c>
      <c r="I27" s="47" t="n">
        <f aca="false">IF(Wyliczenie!$B$5=Stawki!$K$7,N(Stawki!$H$14),IF(Wyliczenie!$B$5=Stawki!$K$6,N(Stawki!$D$14),N(Stawki!$C$14)))</f>
        <v>0</v>
      </c>
      <c r="J27" s="48" t="n">
        <f aca="false">IF(OR(E27="",G27=0,D27=0),0,MAX(0,MIN(F27,H27)-MAX(E27,G27)+1))</f>
        <v>0</v>
      </c>
      <c r="K27" s="46" t="str">
        <f aca="false">IF(J27&gt;0,MAX(E27,G27),"")</f>
        <v/>
      </c>
      <c r="L27" s="46" t="str">
        <f aca="false">IF(J27&gt;0,MIN(F27,H27),"")</f>
        <v/>
      </c>
      <c r="M27" s="18" t="n">
        <f aca="false">IF(J27&gt;0,ROUND(D27*I27*J27/365,2),0)</f>
        <v>0</v>
      </c>
      <c r="N27" s="10" t="n">
        <f aca="false">IF(J27&gt;0,1,0)</f>
        <v>0</v>
      </c>
      <c r="O27" s="10" t="n">
        <f aca="false">O26+N27</f>
        <v>6</v>
      </c>
    </row>
    <row r="28" customFormat="false" ht="15" hidden="false" customHeight="false" outlineLevel="0" collapsed="false">
      <c r="A28" s="0" t="n">
        <v>2</v>
      </c>
      <c r="B28" s="0" t="n">
        <v>11</v>
      </c>
      <c r="C28" s="0" t="str">
        <f aca="false">IF(Wyliczenie!$A$22="","",Wyliczenie!$A$22)</f>
        <v>FV/2024/12/088</v>
      </c>
      <c r="D28" s="18" t="n">
        <f aca="false">N(Wyliczenie!$B$22)</f>
        <v>10000</v>
      </c>
      <c r="E28" s="46" t="n">
        <f aca="false">IF(Wyliczenie!$C$22="","",Wyliczenie!$C$22+1)</f>
        <v>45658</v>
      </c>
      <c r="F28" s="46" t="n">
        <f aca="false">IF(E28="","",IF(Wyliczenie!$D$22="",Wyliczenie!$B$6,Wyliczenie!$D$22))</f>
        <v>46295</v>
      </c>
      <c r="G28" s="46" t="n">
        <f aca="false">IF(Wyliczenie!$B$5=Stawki!$K$7,N(Stawki!$F$15),N(Stawki!$A$15))</f>
        <v>0</v>
      </c>
      <c r="H28" s="46" t="n">
        <f aca="false">IF(G28=0,0,IF(Wyliczenie!$B$5=Stawki!$K$7,IF(N(Stawki!$G$15)=0,DATE(2099,12,31),Stawki!$G$15),IF(N(Stawki!$B$15)=0,DATE(2099,12,31),Stawki!$B$15)))</f>
        <v>0</v>
      </c>
      <c r="I28" s="47" t="n">
        <f aca="false">IF(Wyliczenie!$B$5=Stawki!$K$7,N(Stawki!$H$15),IF(Wyliczenie!$B$5=Stawki!$K$6,N(Stawki!$D$15),N(Stawki!$C$15)))</f>
        <v>0</v>
      </c>
      <c r="J28" s="48" t="n">
        <f aca="false">IF(OR(E28="",G28=0,D28=0),0,MAX(0,MIN(F28,H28)-MAX(E28,G28)+1))</f>
        <v>0</v>
      </c>
      <c r="K28" s="46" t="str">
        <f aca="false">IF(J28&gt;0,MAX(E28,G28),"")</f>
        <v/>
      </c>
      <c r="L28" s="46" t="str">
        <f aca="false">IF(J28&gt;0,MIN(F28,H28),"")</f>
        <v/>
      </c>
      <c r="M28" s="18" t="n">
        <f aca="false">IF(J28&gt;0,ROUND(D28*I28*J28/365,2),0)</f>
        <v>0</v>
      </c>
      <c r="N28" s="10" t="n">
        <f aca="false">IF(J28&gt;0,1,0)</f>
        <v>0</v>
      </c>
      <c r="O28" s="10" t="n">
        <f aca="false">O27+N28</f>
        <v>6</v>
      </c>
    </row>
    <row r="29" customFormat="false" ht="15" hidden="false" customHeight="false" outlineLevel="0" collapsed="false">
      <c r="A29" s="0" t="n">
        <v>2</v>
      </c>
      <c r="B29" s="0" t="n">
        <v>12</v>
      </c>
      <c r="C29" s="0" t="str">
        <f aca="false">IF(Wyliczenie!$A$22="","",Wyliczenie!$A$22)</f>
        <v>FV/2024/12/088</v>
      </c>
      <c r="D29" s="18" t="n">
        <f aca="false">N(Wyliczenie!$B$22)</f>
        <v>10000</v>
      </c>
      <c r="E29" s="46" t="n">
        <f aca="false">IF(Wyliczenie!$C$22="","",Wyliczenie!$C$22+1)</f>
        <v>45658</v>
      </c>
      <c r="F29" s="46" t="n">
        <f aca="false">IF(E29="","",IF(Wyliczenie!$D$22="",Wyliczenie!$B$6,Wyliczenie!$D$22))</f>
        <v>46295</v>
      </c>
      <c r="G29" s="46" t="n">
        <f aca="false">IF(Wyliczenie!$B$5=Stawki!$K$7,N(Stawki!$F$16),N(Stawki!$A$16))</f>
        <v>0</v>
      </c>
      <c r="H29" s="46" t="n">
        <f aca="false">IF(G29=0,0,IF(Wyliczenie!$B$5=Stawki!$K$7,IF(N(Stawki!$G$16)=0,DATE(2099,12,31),Stawki!$G$16),IF(N(Stawki!$B$16)=0,DATE(2099,12,31),Stawki!$B$16)))</f>
        <v>0</v>
      </c>
      <c r="I29" s="47" t="n">
        <f aca="false">IF(Wyliczenie!$B$5=Stawki!$K$7,N(Stawki!$H$16),IF(Wyliczenie!$B$5=Stawki!$K$6,N(Stawki!$D$16),N(Stawki!$C$16)))</f>
        <v>0</v>
      </c>
      <c r="J29" s="48" t="n">
        <f aca="false">IF(OR(E29="",G29=0,D29=0),0,MAX(0,MIN(F29,H29)-MAX(E29,G29)+1))</f>
        <v>0</v>
      </c>
      <c r="K29" s="46" t="str">
        <f aca="false">IF(J29&gt;0,MAX(E29,G29),"")</f>
        <v/>
      </c>
      <c r="L29" s="46" t="str">
        <f aca="false">IF(J29&gt;0,MIN(F29,H29),"")</f>
        <v/>
      </c>
      <c r="M29" s="18" t="n">
        <f aca="false">IF(J29&gt;0,ROUND(D29*I29*J29/365,2),0)</f>
        <v>0</v>
      </c>
      <c r="N29" s="10" t="n">
        <f aca="false">IF(J29&gt;0,1,0)</f>
        <v>0</v>
      </c>
      <c r="O29" s="10" t="n">
        <f aca="false">O28+N29</f>
        <v>6</v>
      </c>
    </row>
    <row r="30" customFormat="false" ht="15" hidden="false" customHeight="false" outlineLevel="0" collapsed="false">
      <c r="A30" s="0" t="n">
        <v>2</v>
      </c>
      <c r="B30" s="0" t="n">
        <v>13</v>
      </c>
      <c r="C30" s="0" t="str">
        <f aca="false">IF(Wyliczenie!$A$22="","",Wyliczenie!$A$22)</f>
        <v>FV/2024/12/088</v>
      </c>
      <c r="D30" s="18" t="n">
        <f aca="false">N(Wyliczenie!$B$22)</f>
        <v>10000</v>
      </c>
      <c r="E30" s="46" t="n">
        <f aca="false">IF(Wyliczenie!$C$22="","",Wyliczenie!$C$22+1)</f>
        <v>45658</v>
      </c>
      <c r="F30" s="46" t="n">
        <f aca="false">IF(E30="","",IF(Wyliczenie!$D$22="",Wyliczenie!$B$6,Wyliczenie!$D$22))</f>
        <v>46295</v>
      </c>
      <c r="G30" s="46" t="n">
        <f aca="false">IF(Wyliczenie!$B$5=Stawki!$K$7,N(Stawki!$F$17),N(Stawki!$A$17))</f>
        <v>0</v>
      </c>
      <c r="H30" s="46" t="n">
        <f aca="false">IF(G30=0,0,IF(Wyliczenie!$B$5=Stawki!$K$7,IF(N(Stawki!$G$17)=0,DATE(2099,12,31),Stawki!$G$17),IF(N(Stawki!$B$17)=0,DATE(2099,12,31),Stawki!$B$17)))</f>
        <v>0</v>
      </c>
      <c r="I30" s="47" t="n">
        <f aca="false">IF(Wyliczenie!$B$5=Stawki!$K$7,N(Stawki!$H$17),IF(Wyliczenie!$B$5=Stawki!$K$6,N(Stawki!$D$17),N(Stawki!$C$17)))</f>
        <v>0</v>
      </c>
      <c r="J30" s="48" t="n">
        <f aca="false">IF(OR(E30="",G30=0,D30=0),0,MAX(0,MIN(F30,H30)-MAX(E30,G30)+1))</f>
        <v>0</v>
      </c>
      <c r="K30" s="46" t="str">
        <f aca="false">IF(J30&gt;0,MAX(E30,G30),"")</f>
        <v/>
      </c>
      <c r="L30" s="46" t="str">
        <f aca="false">IF(J30&gt;0,MIN(F30,H30),"")</f>
        <v/>
      </c>
      <c r="M30" s="18" t="n">
        <f aca="false">IF(J30&gt;0,ROUND(D30*I30*J30/365,2),0)</f>
        <v>0</v>
      </c>
      <c r="N30" s="10" t="n">
        <f aca="false">IF(J30&gt;0,1,0)</f>
        <v>0</v>
      </c>
      <c r="O30" s="10" t="n">
        <f aca="false">O29+N30</f>
        <v>6</v>
      </c>
    </row>
    <row r="31" customFormat="false" ht="15" hidden="false" customHeight="false" outlineLevel="0" collapsed="false">
      <c r="A31" s="0" t="n">
        <v>2</v>
      </c>
      <c r="B31" s="0" t="n">
        <v>14</v>
      </c>
      <c r="C31" s="0" t="str">
        <f aca="false">IF(Wyliczenie!$A$22="","",Wyliczenie!$A$22)</f>
        <v>FV/2024/12/088</v>
      </c>
      <c r="D31" s="18" t="n">
        <f aca="false">N(Wyliczenie!$B$22)</f>
        <v>10000</v>
      </c>
      <c r="E31" s="46" t="n">
        <f aca="false">IF(Wyliczenie!$C$22="","",Wyliczenie!$C$22+1)</f>
        <v>45658</v>
      </c>
      <c r="F31" s="46" t="n">
        <f aca="false">IF(E31="","",IF(Wyliczenie!$D$22="",Wyliczenie!$B$6,Wyliczenie!$D$22))</f>
        <v>46295</v>
      </c>
      <c r="G31" s="46" t="n">
        <f aca="false">IF(Wyliczenie!$B$5=Stawki!$K$7,N(Stawki!$F$18),N(Stawki!$A$18))</f>
        <v>0</v>
      </c>
      <c r="H31" s="46" t="n">
        <f aca="false">IF(G31=0,0,IF(Wyliczenie!$B$5=Stawki!$K$7,IF(N(Stawki!$G$18)=0,DATE(2099,12,31),Stawki!$G$18),IF(N(Stawki!$B$18)=0,DATE(2099,12,31),Stawki!$B$18)))</f>
        <v>0</v>
      </c>
      <c r="I31" s="47" t="n">
        <f aca="false">IF(Wyliczenie!$B$5=Stawki!$K$7,N(Stawki!$H$18),IF(Wyliczenie!$B$5=Stawki!$K$6,N(Stawki!$D$18),N(Stawki!$C$18)))</f>
        <v>0</v>
      </c>
      <c r="J31" s="48" t="n">
        <f aca="false">IF(OR(E31="",G31=0,D31=0),0,MAX(0,MIN(F31,H31)-MAX(E31,G31)+1))</f>
        <v>0</v>
      </c>
      <c r="K31" s="46" t="str">
        <f aca="false">IF(J31&gt;0,MAX(E31,G31),"")</f>
        <v/>
      </c>
      <c r="L31" s="46" t="str">
        <f aca="false">IF(J31&gt;0,MIN(F31,H31),"")</f>
        <v/>
      </c>
      <c r="M31" s="18" t="n">
        <f aca="false">IF(J31&gt;0,ROUND(D31*I31*J31/365,2),0)</f>
        <v>0</v>
      </c>
      <c r="N31" s="10" t="n">
        <f aca="false">IF(J31&gt;0,1,0)</f>
        <v>0</v>
      </c>
      <c r="O31" s="10" t="n">
        <f aca="false">O30+N31</f>
        <v>6</v>
      </c>
    </row>
    <row r="32" customFormat="false" ht="15" hidden="false" customHeight="false" outlineLevel="0" collapsed="false">
      <c r="A32" s="0" t="n">
        <v>2</v>
      </c>
      <c r="B32" s="0" t="n">
        <v>15</v>
      </c>
      <c r="C32" s="0" t="str">
        <f aca="false">IF(Wyliczenie!$A$22="","",Wyliczenie!$A$22)</f>
        <v>FV/2024/12/088</v>
      </c>
      <c r="D32" s="18" t="n">
        <f aca="false">N(Wyliczenie!$B$22)</f>
        <v>10000</v>
      </c>
      <c r="E32" s="46" t="n">
        <f aca="false">IF(Wyliczenie!$C$22="","",Wyliczenie!$C$22+1)</f>
        <v>45658</v>
      </c>
      <c r="F32" s="46" t="n">
        <f aca="false">IF(E32="","",IF(Wyliczenie!$D$22="",Wyliczenie!$B$6,Wyliczenie!$D$22))</f>
        <v>46295</v>
      </c>
      <c r="G32" s="46" t="n">
        <f aca="false">IF(Wyliczenie!$B$5=Stawki!$K$7,N(Stawki!$F$19),N(Stawki!$A$19))</f>
        <v>0</v>
      </c>
      <c r="H32" s="46" t="n">
        <f aca="false">IF(G32=0,0,IF(Wyliczenie!$B$5=Stawki!$K$7,IF(N(Stawki!$G$19)=0,DATE(2099,12,31),Stawki!$G$19),IF(N(Stawki!$B$19)=0,DATE(2099,12,31),Stawki!$B$19)))</f>
        <v>0</v>
      </c>
      <c r="I32" s="47" t="n">
        <f aca="false">IF(Wyliczenie!$B$5=Stawki!$K$7,N(Stawki!$H$19),IF(Wyliczenie!$B$5=Stawki!$K$6,N(Stawki!$D$19),N(Stawki!$C$19)))</f>
        <v>0</v>
      </c>
      <c r="J32" s="48" t="n">
        <f aca="false">IF(OR(E32="",G32=0,D32=0),0,MAX(0,MIN(F32,H32)-MAX(E32,G32)+1))</f>
        <v>0</v>
      </c>
      <c r="K32" s="46" t="str">
        <f aca="false">IF(J32&gt;0,MAX(E32,G32),"")</f>
        <v/>
      </c>
      <c r="L32" s="46" t="str">
        <f aca="false">IF(J32&gt;0,MIN(F32,H32),"")</f>
        <v/>
      </c>
      <c r="M32" s="18" t="n">
        <f aca="false">IF(J32&gt;0,ROUND(D32*I32*J32/365,2),0)</f>
        <v>0</v>
      </c>
      <c r="N32" s="10" t="n">
        <f aca="false">IF(J32&gt;0,1,0)</f>
        <v>0</v>
      </c>
      <c r="O32" s="10" t="n">
        <f aca="false">O31+N32</f>
        <v>6</v>
      </c>
    </row>
    <row r="33" customFormat="false" ht="15" hidden="false" customHeight="false" outlineLevel="0" collapsed="false">
      <c r="A33" s="0" t="n">
        <v>2</v>
      </c>
      <c r="B33" s="0" t="n">
        <v>16</v>
      </c>
      <c r="C33" s="0" t="str">
        <f aca="false">IF(Wyliczenie!$A$22="","",Wyliczenie!$A$22)</f>
        <v>FV/2024/12/088</v>
      </c>
      <c r="D33" s="18" t="n">
        <f aca="false">N(Wyliczenie!$B$22)</f>
        <v>10000</v>
      </c>
      <c r="E33" s="46" t="n">
        <f aca="false">IF(Wyliczenie!$C$22="","",Wyliczenie!$C$22+1)</f>
        <v>45658</v>
      </c>
      <c r="F33" s="46" t="n">
        <f aca="false">IF(E33="","",IF(Wyliczenie!$D$22="",Wyliczenie!$B$6,Wyliczenie!$D$22))</f>
        <v>46295</v>
      </c>
      <c r="G33" s="46" t="n">
        <f aca="false">IF(Wyliczenie!$B$5=Stawki!$K$7,N(Stawki!$F$20),N(Stawki!$A$20))</f>
        <v>0</v>
      </c>
      <c r="H33" s="46" t="n">
        <f aca="false">IF(G33=0,0,IF(Wyliczenie!$B$5=Stawki!$K$7,IF(N(Stawki!$G$20)=0,DATE(2099,12,31),Stawki!$G$20),IF(N(Stawki!$B$20)=0,DATE(2099,12,31),Stawki!$B$20)))</f>
        <v>0</v>
      </c>
      <c r="I33" s="47" t="n">
        <f aca="false">IF(Wyliczenie!$B$5=Stawki!$K$7,N(Stawki!$H$20),IF(Wyliczenie!$B$5=Stawki!$K$6,N(Stawki!$D$20),N(Stawki!$C$20)))</f>
        <v>0</v>
      </c>
      <c r="J33" s="48" t="n">
        <f aca="false">IF(OR(E33="",G33=0,D33=0),0,MAX(0,MIN(F33,H33)-MAX(E33,G33)+1))</f>
        <v>0</v>
      </c>
      <c r="K33" s="46" t="str">
        <f aca="false">IF(J33&gt;0,MAX(E33,G33),"")</f>
        <v/>
      </c>
      <c r="L33" s="46" t="str">
        <f aca="false">IF(J33&gt;0,MIN(F33,H33),"")</f>
        <v/>
      </c>
      <c r="M33" s="18" t="n">
        <f aca="false">IF(J33&gt;0,ROUND(D33*I33*J33/365,2),0)</f>
        <v>0</v>
      </c>
      <c r="N33" s="10" t="n">
        <f aca="false">IF(J33&gt;0,1,0)</f>
        <v>0</v>
      </c>
      <c r="O33" s="10" t="n">
        <f aca="false">O32+N33</f>
        <v>6</v>
      </c>
    </row>
    <row r="34" customFormat="false" ht="15" hidden="false" customHeight="false" outlineLevel="0" collapsed="false">
      <c r="A34" s="0" t="n">
        <v>3</v>
      </c>
      <c r="B34" s="0" t="n">
        <v>1</v>
      </c>
      <c r="C34" s="0" t="str">
        <f aca="false">IF(Wyliczenie!$A$23="","",Wyliczenie!$A$23)</f>
        <v/>
      </c>
      <c r="D34" s="18" t="n">
        <f aca="false">N(Wyliczenie!$B$23)</f>
        <v>0</v>
      </c>
      <c r="E34" s="46" t="str">
        <f aca="false">IF(Wyliczenie!$C$23="","",Wyliczenie!$C$23+1)</f>
        <v/>
      </c>
      <c r="F34" s="46" t="str">
        <f aca="false">IF(E34="","",IF(Wyliczenie!$D$23="",Wyliczenie!$B$6,Wyliczenie!$D$23))</f>
        <v/>
      </c>
      <c r="G34" s="46" t="n">
        <f aca="false">IF(Wyliczenie!$B$5=Stawki!$K$7,N(Stawki!$F$5),N(Stawki!$A$5))</f>
        <v>44927</v>
      </c>
      <c r="H34" s="46" t="n">
        <f aca="false">IF(G34=0,0,IF(Wyliczenie!$B$5=Stawki!$K$7,IF(N(Stawki!$G$5)=0,DATE(2099,12,31),Stawki!$G$5),IF(N(Stawki!$B$5)=0,DATE(2099,12,31),Stawki!$B$5)))</f>
        <v>45107</v>
      </c>
      <c r="I34" s="47" t="n">
        <f aca="false">IF(Wyliczenie!$B$5=Stawki!$K$7,N(Stawki!$H$5),IF(Wyliczenie!$B$5=Stawki!$K$6,N(Stawki!$D$5),N(Stawki!$C$5)))</f>
        <v>0.1675</v>
      </c>
      <c r="J34" s="48" t="n">
        <f aca="false">IF(OR(E34="",G34=0,D34=0),0,MAX(0,MIN(F34,H34)-MAX(E34,G34)+1))</f>
        <v>0</v>
      </c>
      <c r="K34" s="46" t="str">
        <f aca="false">IF(J34&gt;0,MAX(E34,G34),"")</f>
        <v/>
      </c>
      <c r="L34" s="46" t="str">
        <f aca="false">IF(J34&gt;0,MIN(F34,H34),"")</f>
        <v/>
      </c>
      <c r="M34" s="18" t="n">
        <f aca="false">IF(J34&gt;0,ROUND(D34*I34*J34/365,2),0)</f>
        <v>0</v>
      </c>
      <c r="N34" s="10" t="n">
        <f aca="false">IF(J34&gt;0,1,0)</f>
        <v>0</v>
      </c>
      <c r="O34" s="10" t="n">
        <f aca="false">O33+N34</f>
        <v>6</v>
      </c>
    </row>
    <row r="35" customFormat="false" ht="15" hidden="false" customHeight="false" outlineLevel="0" collapsed="false">
      <c r="A35" s="0" t="n">
        <v>3</v>
      </c>
      <c r="B35" s="0" t="n">
        <v>2</v>
      </c>
      <c r="C35" s="0" t="str">
        <f aca="false">IF(Wyliczenie!$A$23="","",Wyliczenie!$A$23)</f>
        <v/>
      </c>
      <c r="D35" s="18" t="n">
        <f aca="false">N(Wyliczenie!$B$23)</f>
        <v>0</v>
      </c>
      <c r="E35" s="46" t="str">
        <f aca="false">IF(Wyliczenie!$C$23="","",Wyliczenie!$C$23+1)</f>
        <v/>
      </c>
      <c r="F35" s="46" t="str">
        <f aca="false">IF(E35="","",IF(Wyliczenie!$D$23="",Wyliczenie!$B$6,Wyliczenie!$D$23))</f>
        <v/>
      </c>
      <c r="G35" s="46" t="n">
        <f aca="false">IF(Wyliczenie!$B$5=Stawki!$K$7,N(Stawki!$F$6),N(Stawki!$A$6))</f>
        <v>45108</v>
      </c>
      <c r="H35" s="46" t="n">
        <f aca="false">IF(G35=0,0,IF(Wyliczenie!$B$5=Stawki!$K$7,IF(N(Stawki!$G$6)=0,DATE(2099,12,31),Stawki!$G$6),IF(N(Stawki!$B$6)=0,DATE(2099,12,31),Stawki!$B$6)))</f>
        <v>45291</v>
      </c>
      <c r="I35" s="47" t="n">
        <f aca="false">IF(Wyliczenie!$B$5=Stawki!$K$7,N(Stawki!$H$6),IF(Wyliczenie!$B$5=Stawki!$K$6,N(Stawki!$D$6),N(Stawki!$C$6)))</f>
        <v>0.1675</v>
      </c>
      <c r="J35" s="48" t="n">
        <f aca="false">IF(OR(E35="",G35=0,D35=0),0,MAX(0,MIN(F35,H35)-MAX(E35,G35)+1))</f>
        <v>0</v>
      </c>
      <c r="K35" s="46" t="str">
        <f aca="false">IF(J35&gt;0,MAX(E35,G35),"")</f>
        <v/>
      </c>
      <c r="L35" s="46" t="str">
        <f aca="false">IF(J35&gt;0,MIN(F35,H35),"")</f>
        <v/>
      </c>
      <c r="M35" s="18" t="n">
        <f aca="false">IF(J35&gt;0,ROUND(D35*I35*J35/365,2),0)</f>
        <v>0</v>
      </c>
      <c r="N35" s="10" t="n">
        <f aca="false">IF(J35&gt;0,1,0)</f>
        <v>0</v>
      </c>
      <c r="O35" s="10" t="n">
        <f aca="false">O34+N35</f>
        <v>6</v>
      </c>
    </row>
    <row r="36" customFormat="false" ht="15" hidden="false" customHeight="false" outlineLevel="0" collapsed="false">
      <c r="A36" s="0" t="n">
        <v>3</v>
      </c>
      <c r="B36" s="0" t="n">
        <v>3</v>
      </c>
      <c r="C36" s="0" t="str">
        <f aca="false">IF(Wyliczenie!$A$23="","",Wyliczenie!$A$23)</f>
        <v/>
      </c>
      <c r="D36" s="18" t="n">
        <f aca="false">N(Wyliczenie!$B$23)</f>
        <v>0</v>
      </c>
      <c r="E36" s="46" t="str">
        <f aca="false">IF(Wyliczenie!$C$23="","",Wyliczenie!$C$23+1)</f>
        <v/>
      </c>
      <c r="F36" s="46" t="str">
        <f aca="false">IF(E36="","",IF(Wyliczenie!$D$23="",Wyliczenie!$B$6,Wyliczenie!$D$23))</f>
        <v/>
      </c>
      <c r="G36" s="46" t="n">
        <f aca="false">IF(Wyliczenie!$B$5=Stawki!$K$7,N(Stawki!$F$7),N(Stawki!$A$7))</f>
        <v>45292</v>
      </c>
      <c r="H36" s="46" t="n">
        <f aca="false">IF(G36=0,0,IF(Wyliczenie!$B$5=Stawki!$K$7,IF(N(Stawki!$G$7)=0,DATE(2099,12,31),Stawki!$G$7),IF(N(Stawki!$B$7)=0,DATE(2099,12,31),Stawki!$B$7)))</f>
        <v>45473</v>
      </c>
      <c r="I36" s="47" t="n">
        <f aca="false">IF(Wyliczenie!$B$5=Stawki!$K$7,N(Stawki!$H$7),IF(Wyliczenie!$B$5=Stawki!$K$6,N(Stawki!$D$7),N(Stawki!$C$7)))</f>
        <v>0.1575</v>
      </c>
      <c r="J36" s="48" t="n">
        <f aca="false">IF(OR(E36="",G36=0,D36=0),0,MAX(0,MIN(F36,H36)-MAX(E36,G36)+1))</f>
        <v>0</v>
      </c>
      <c r="K36" s="46" t="str">
        <f aca="false">IF(J36&gt;0,MAX(E36,G36),"")</f>
        <v/>
      </c>
      <c r="L36" s="46" t="str">
        <f aca="false">IF(J36&gt;0,MIN(F36,H36),"")</f>
        <v/>
      </c>
      <c r="M36" s="18" t="n">
        <f aca="false">IF(J36&gt;0,ROUND(D36*I36*J36/365,2),0)</f>
        <v>0</v>
      </c>
      <c r="N36" s="10" t="n">
        <f aca="false">IF(J36&gt;0,1,0)</f>
        <v>0</v>
      </c>
      <c r="O36" s="10" t="n">
        <f aca="false">O35+N36</f>
        <v>6</v>
      </c>
    </row>
    <row r="37" customFormat="false" ht="15" hidden="false" customHeight="false" outlineLevel="0" collapsed="false">
      <c r="A37" s="0" t="n">
        <v>3</v>
      </c>
      <c r="B37" s="0" t="n">
        <v>4</v>
      </c>
      <c r="C37" s="0" t="str">
        <f aca="false">IF(Wyliczenie!$A$23="","",Wyliczenie!$A$23)</f>
        <v/>
      </c>
      <c r="D37" s="18" t="n">
        <f aca="false">N(Wyliczenie!$B$23)</f>
        <v>0</v>
      </c>
      <c r="E37" s="46" t="str">
        <f aca="false">IF(Wyliczenie!$C$23="","",Wyliczenie!$C$23+1)</f>
        <v/>
      </c>
      <c r="F37" s="46" t="str">
        <f aca="false">IF(E37="","",IF(Wyliczenie!$D$23="",Wyliczenie!$B$6,Wyliczenie!$D$23))</f>
        <v/>
      </c>
      <c r="G37" s="46" t="n">
        <f aca="false">IF(Wyliczenie!$B$5=Stawki!$K$7,N(Stawki!$F$8),N(Stawki!$A$8))</f>
        <v>45474</v>
      </c>
      <c r="H37" s="46" t="n">
        <f aca="false">IF(G37=0,0,IF(Wyliczenie!$B$5=Stawki!$K$7,IF(N(Stawki!$G$8)=0,DATE(2099,12,31),Stawki!$G$8),IF(N(Stawki!$B$8)=0,DATE(2099,12,31),Stawki!$B$8)))</f>
        <v>45657</v>
      </c>
      <c r="I37" s="47" t="n">
        <f aca="false">IF(Wyliczenie!$B$5=Stawki!$K$7,N(Stawki!$H$8),IF(Wyliczenie!$B$5=Stawki!$K$6,N(Stawki!$D$8),N(Stawki!$C$8)))</f>
        <v>0.1575</v>
      </c>
      <c r="J37" s="48" t="n">
        <f aca="false">IF(OR(E37="",G37=0,D37=0),0,MAX(0,MIN(F37,H37)-MAX(E37,G37)+1))</f>
        <v>0</v>
      </c>
      <c r="K37" s="46" t="str">
        <f aca="false">IF(J37&gt;0,MAX(E37,G37),"")</f>
        <v/>
      </c>
      <c r="L37" s="46" t="str">
        <f aca="false">IF(J37&gt;0,MIN(F37,H37),"")</f>
        <v/>
      </c>
      <c r="M37" s="18" t="n">
        <f aca="false">IF(J37&gt;0,ROUND(D37*I37*J37/365,2),0)</f>
        <v>0</v>
      </c>
      <c r="N37" s="10" t="n">
        <f aca="false">IF(J37&gt;0,1,0)</f>
        <v>0</v>
      </c>
      <c r="O37" s="10" t="n">
        <f aca="false">O36+N37</f>
        <v>6</v>
      </c>
    </row>
    <row r="38" customFormat="false" ht="15" hidden="false" customHeight="false" outlineLevel="0" collapsed="false">
      <c r="A38" s="0" t="n">
        <v>3</v>
      </c>
      <c r="B38" s="0" t="n">
        <v>5</v>
      </c>
      <c r="C38" s="0" t="str">
        <f aca="false">IF(Wyliczenie!$A$23="","",Wyliczenie!$A$23)</f>
        <v/>
      </c>
      <c r="D38" s="18" t="n">
        <f aca="false">N(Wyliczenie!$B$23)</f>
        <v>0</v>
      </c>
      <c r="E38" s="46" t="str">
        <f aca="false">IF(Wyliczenie!$C$23="","",Wyliczenie!$C$23+1)</f>
        <v/>
      </c>
      <c r="F38" s="46" t="str">
        <f aca="false">IF(E38="","",IF(Wyliczenie!$D$23="",Wyliczenie!$B$6,Wyliczenie!$D$23))</f>
        <v/>
      </c>
      <c r="G38" s="46" t="n">
        <f aca="false">IF(Wyliczenie!$B$5=Stawki!$K$7,N(Stawki!$F$9),N(Stawki!$A$9))</f>
        <v>45658</v>
      </c>
      <c r="H38" s="46" t="n">
        <f aca="false">IF(G38=0,0,IF(Wyliczenie!$B$5=Stawki!$K$7,IF(N(Stawki!$G$9)=0,DATE(2099,12,31),Stawki!$G$9),IF(N(Stawki!$B$9)=0,DATE(2099,12,31),Stawki!$B$9)))</f>
        <v>45838</v>
      </c>
      <c r="I38" s="47" t="n">
        <f aca="false">IF(Wyliczenie!$B$5=Stawki!$K$7,N(Stawki!$H$9),IF(Wyliczenie!$B$5=Stawki!$K$6,N(Stawki!$D$9),N(Stawki!$C$9)))</f>
        <v>0.1575</v>
      </c>
      <c r="J38" s="48" t="n">
        <f aca="false">IF(OR(E38="",G38=0,D38=0),0,MAX(0,MIN(F38,H38)-MAX(E38,G38)+1))</f>
        <v>0</v>
      </c>
      <c r="K38" s="46" t="str">
        <f aca="false">IF(J38&gt;0,MAX(E38,G38),"")</f>
        <v/>
      </c>
      <c r="L38" s="46" t="str">
        <f aca="false">IF(J38&gt;0,MIN(F38,H38),"")</f>
        <v/>
      </c>
      <c r="M38" s="18" t="n">
        <f aca="false">IF(J38&gt;0,ROUND(D38*I38*J38/365,2),0)</f>
        <v>0</v>
      </c>
      <c r="N38" s="10" t="n">
        <f aca="false">IF(J38&gt;0,1,0)</f>
        <v>0</v>
      </c>
      <c r="O38" s="10" t="n">
        <f aca="false">O37+N38</f>
        <v>6</v>
      </c>
    </row>
    <row r="39" customFormat="false" ht="15" hidden="false" customHeight="false" outlineLevel="0" collapsed="false">
      <c r="A39" s="0" t="n">
        <v>3</v>
      </c>
      <c r="B39" s="0" t="n">
        <v>6</v>
      </c>
      <c r="C39" s="0" t="str">
        <f aca="false">IF(Wyliczenie!$A$23="","",Wyliczenie!$A$23)</f>
        <v/>
      </c>
      <c r="D39" s="18" t="n">
        <f aca="false">N(Wyliczenie!$B$23)</f>
        <v>0</v>
      </c>
      <c r="E39" s="46" t="str">
        <f aca="false">IF(Wyliczenie!$C$23="","",Wyliczenie!$C$23+1)</f>
        <v/>
      </c>
      <c r="F39" s="46" t="str">
        <f aca="false">IF(E39="","",IF(Wyliczenie!$D$23="",Wyliczenie!$B$6,Wyliczenie!$D$23))</f>
        <v/>
      </c>
      <c r="G39" s="46" t="n">
        <f aca="false">IF(Wyliczenie!$B$5=Stawki!$K$7,N(Stawki!$F$10),N(Stawki!$A$10))</f>
        <v>45839</v>
      </c>
      <c r="H39" s="46" t="n">
        <f aca="false">IF(G39=0,0,IF(Wyliczenie!$B$5=Stawki!$K$7,IF(N(Stawki!$G$10)=0,DATE(2099,12,31),Stawki!$G$10),IF(N(Stawki!$B$10)=0,DATE(2099,12,31),Stawki!$B$10)))</f>
        <v>46022</v>
      </c>
      <c r="I39" s="47" t="n">
        <f aca="false">IF(Wyliczenie!$B$5=Stawki!$K$7,N(Stawki!$H$10),IF(Wyliczenie!$B$5=Stawki!$K$6,N(Stawki!$D$10),N(Stawki!$C$10)))</f>
        <v>0.1525</v>
      </c>
      <c r="J39" s="48" t="n">
        <f aca="false">IF(OR(E39="",G39=0,D39=0),0,MAX(0,MIN(F39,H39)-MAX(E39,G39)+1))</f>
        <v>0</v>
      </c>
      <c r="K39" s="46" t="str">
        <f aca="false">IF(J39&gt;0,MAX(E39,G39),"")</f>
        <v/>
      </c>
      <c r="L39" s="46" t="str">
        <f aca="false">IF(J39&gt;0,MIN(F39,H39),"")</f>
        <v/>
      </c>
      <c r="M39" s="18" t="n">
        <f aca="false">IF(J39&gt;0,ROUND(D39*I39*J39/365,2),0)</f>
        <v>0</v>
      </c>
      <c r="N39" s="10" t="n">
        <f aca="false">IF(J39&gt;0,1,0)</f>
        <v>0</v>
      </c>
      <c r="O39" s="10" t="n">
        <f aca="false">O38+N39</f>
        <v>6</v>
      </c>
    </row>
    <row r="40" customFormat="false" ht="15" hidden="false" customHeight="false" outlineLevel="0" collapsed="false">
      <c r="A40" s="0" t="n">
        <v>3</v>
      </c>
      <c r="B40" s="0" t="n">
        <v>7</v>
      </c>
      <c r="C40" s="0" t="str">
        <f aca="false">IF(Wyliczenie!$A$23="","",Wyliczenie!$A$23)</f>
        <v/>
      </c>
      <c r="D40" s="18" t="n">
        <f aca="false">N(Wyliczenie!$B$23)</f>
        <v>0</v>
      </c>
      <c r="E40" s="46" t="str">
        <f aca="false">IF(Wyliczenie!$C$23="","",Wyliczenie!$C$23+1)</f>
        <v/>
      </c>
      <c r="F40" s="46" t="str">
        <f aca="false">IF(E40="","",IF(Wyliczenie!$D$23="",Wyliczenie!$B$6,Wyliczenie!$D$23))</f>
        <v/>
      </c>
      <c r="G40" s="46" t="n">
        <f aca="false">IF(Wyliczenie!$B$5=Stawki!$K$7,N(Stawki!$F$11),N(Stawki!$A$11))</f>
        <v>46023</v>
      </c>
      <c r="H40" s="46" t="n">
        <f aca="false">IF(G40=0,0,IF(Wyliczenie!$B$5=Stawki!$K$7,IF(N(Stawki!$G$11)=0,DATE(2099,12,31),Stawki!$G$11),IF(N(Stawki!$B$11)=0,DATE(2099,12,31),Stawki!$B$11)))</f>
        <v>46203</v>
      </c>
      <c r="I40" s="47" t="n">
        <f aca="false">IF(Wyliczenie!$B$5=Stawki!$K$7,N(Stawki!$H$11),IF(Wyliczenie!$B$5=Stawki!$K$6,N(Stawki!$D$11),N(Stawki!$C$11)))</f>
        <v>0.14</v>
      </c>
      <c r="J40" s="48" t="n">
        <f aca="false">IF(OR(E40="",G40=0,D40=0),0,MAX(0,MIN(F40,H40)-MAX(E40,G40)+1))</f>
        <v>0</v>
      </c>
      <c r="K40" s="46" t="str">
        <f aca="false">IF(J40&gt;0,MAX(E40,G40),"")</f>
        <v/>
      </c>
      <c r="L40" s="46" t="str">
        <f aca="false">IF(J40&gt;0,MIN(F40,H40),"")</f>
        <v/>
      </c>
      <c r="M40" s="18" t="n">
        <f aca="false">IF(J40&gt;0,ROUND(D40*I40*J40/365,2),0)</f>
        <v>0</v>
      </c>
      <c r="N40" s="10" t="n">
        <f aca="false">IF(J40&gt;0,1,0)</f>
        <v>0</v>
      </c>
      <c r="O40" s="10" t="n">
        <f aca="false">O39+N40</f>
        <v>6</v>
      </c>
    </row>
    <row r="41" customFormat="false" ht="15" hidden="false" customHeight="false" outlineLevel="0" collapsed="false">
      <c r="A41" s="0" t="n">
        <v>3</v>
      </c>
      <c r="B41" s="0" t="n">
        <v>8</v>
      </c>
      <c r="C41" s="0" t="str">
        <f aca="false">IF(Wyliczenie!$A$23="","",Wyliczenie!$A$23)</f>
        <v/>
      </c>
      <c r="D41" s="18" t="n">
        <f aca="false">N(Wyliczenie!$B$23)</f>
        <v>0</v>
      </c>
      <c r="E41" s="46" t="str">
        <f aca="false">IF(Wyliczenie!$C$23="","",Wyliczenie!$C$23+1)</f>
        <v/>
      </c>
      <c r="F41" s="46" t="str">
        <f aca="false">IF(E41="","",IF(Wyliczenie!$D$23="",Wyliczenie!$B$6,Wyliczenie!$D$23))</f>
        <v/>
      </c>
      <c r="G41" s="46" t="n">
        <f aca="false">IF(Wyliczenie!$B$5=Stawki!$K$7,N(Stawki!$F$12),N(Stawki!$A$12))</f>
        <v>46204</v>
      </c>
      <c r="H41" s="46" t="n">
        <f aca="false">IF(G41=0,0,IF(Wyliczenie!$B$5=Stawki!$K$7,IF(N(Stawki!$G$12)=0,DATE(2099,12,31),Stawki!$G$12),IF(N(Stawki!$B$12)=0,DATE(2099,12,31),Stawki!$B$12)))</f>
        <v>46387</v>
      </c>
      <c r="I41" s="47" t="n">
        <f aca="false">IF(Wyliczenie!$B$5=Stawki!$K$7,N(Stawki!$H$12),IF(Wyliczenie!$B$5=Stawki!$K$6,N(Stawki!$D$12),N(Stawki!$C$12)))</f>
        <v>0.1375</v>
      </c>
      <c r="J41" s="48" t="n">
        <f aca="false">IF(OR(E41="",G41=0,D41=0),0,MAX(0,MIN(F41,H41)-MAX(E41,G41)+1))</f>
        <v>0</v>
      </c>
      <c r="K41" s="46" t="str">
        <f aca="false">IF(J41&gt;0,MAX(E41,G41),"")</f>
        <v/>
      </c>
      <c r="L41" s="46" t="str">
        <f aca="false">IF(J41&gt;0,MIN(F41,H41),"")</f>
        <v/>
      </c>
      <c r="M41" s="18" t="n">
        <f aca="false">IF(J41&gt;0,ROUND(D41*I41*J41/365,2),0)</f>
        <v>0</v>
      </c>
      <c r="N41" s="10" t="n">
        <f aca="false">IF(J41&gt;0,1,0)</f>
        <v>0</v>
      </c>
      <c r="O41" s="10" t="n">
        <f aca="false">O40+N41</f>
        <v>6</v>
      </c>
    </row>
    <row r="42" customFormat="false" ht="15" hidden="false" customHeight="false" outlineLevel="0" collapsed="false">
      <c r="A42" s="0" t="n">
        <v>3</v>
      </c>
      <c r="B42" s="0" t="n">
        <v>9</v>
      </c>
      <c r="C42" s="0" t="str">
        <f aca="false">IF(Wyliczenie!$A$23="","",Wyliczenie!$A$23)</f>
        <v/>
      </c>
      <c r="D42" s="18" t="n">
        <f aca="false">N(Wyliczenie!$B$23)</f>
        <v>0</v>
      </c>
      <c r="E42" s="46" t="str">
        <f aca="false">IF(Wyliczenie!$C$23="","",Wyliczenie!$C$23+1)</f>
        <v/>
      </c>
      <c r="F42" s="46" t="str">
        <f aca="false">IF(E42="","",IF(Wyliczenie!$D$23="",Wyliczenie!$B$6,Wyliczenie!$D$23))</f>
        <v/>
      </c>
      <c r="G42" s="46" t="n">
        <f aca="false">IF(Wyliczenie!$B$5=Stawki!$K$7,N(Stawki!$F$13),N(Stawki!$A$13))</f>
        <v>0</v>
      </c>
      <c r="H42" s="46" t="n">
        <f aca="false">IF(G42=0,0,IF(Wyliczenie!$B$5=Stawki!$K$7,IF(N(Stawki!$G$13)=0,DATE(2099,12,31),Stawki!$G$13),IF(N(Stawki!$B$13)=0,DATE(2099,12,31),Stawki!$B$13)))</f>
        <v>0</v>
      </c>
      <c r="I42" s="47" t="n">
        <f aca="false">IF(Wyliczenie!$B$5=Stawki!$K$7,N(Stawki!$H$13),IF(Wyliczenie!$B$5=Stawki!$K$6,N(Stawki!$D$13),N(Stawki!$C$13)))</f>
        <v>0</v>
      </c>
      <c r="J42" s="48" t="n">
        <f aca="false">IF(OR(E42="",G42=0,D42=0),0,MAX(0,MIN(F42,H42)-MAX(E42,G42)+1))</f>
        <v>0</v>
      </c>
      <c r="K42" s="46" t="str">
        <f aca="false">IF(J42&gt;0,MAX(E42,G42),"")</f>
        <v/>
      </c>
      <c r="L42" s="46" t="str">
        <f aca="false">IF(J42&gt;0,MIN(F42,H42),"")</f>
        <v/>
      </c>
      <c r="M42" s="18" t="n">
        <f aca="false">IF(J42&gt;0,ROUND(D42*I42*J42/365,2),0)</f>
        <v>0</v>
      </c>
      <c r="N42" s="10" t="n">
        <f aca="false">IF(J42&gt;0,1,0)</f>
        <v>0</v>
      </c>
      <c r="O42" s="10" t="n">
        <f aca="false">O41+N42</f>
        <v>6</v>
      </c>
    </row>
    <row r="43" customFormat="false" ht="15" hidden="false" customHeight="false" outlineLevel="0" collapsed="false">
      <c r="A43" s="0" t="n">
        <v>3</v>
      </c>
      <c r="B43" s="0" t="n">
        <v>10</v>
      </c>
      <c r="C43" s="0" t="str">
        <f aca="false">IF(Wyliczenie!$A$23="","",Wyliczenie!$A$23)</f>
        <v/>
      </c>
      <c r="D43" s="18" t="n">
        <f aca="false">N(Wyliczenie!$B$23)</f>
        <v>0</v>
      </c>
      <c r="E43" s="46" t="str">
        <f aca="false">IF(Wyliczenie!$C$23="","",Wyliczenie!$C$23+1)</f>
        <v/>
      </c>
      <c r="F43" s="46" t="str">
        <f aca="false">IF(E43="","",IF(Wyliczenie!$D$23="",Wyliczenie!$B$6,Wyliczenie!$D$23))</f>
        <v/>
      </c>
      <c r="G43" s="46" t="n">
        <f aca="false">IF(Wyliczenie!$B$5=Stawki!$K$7,N(Stawki!$F$14),N(Stawki!$A$14))</f>
        <v>0</v>
      </c>
      <c r="H43" s="46" t="n">
        <f aca="false">IF(G43=0,0,IF(Wyliczenie!$B$5=Stawki!$K$7,IF(N(Stawki!$G$14)=0,DATE(2099,12,31),Stawki!$G$14),IF(N(Stawki!$B$14)=0,DATE(2099,12,31),Stawki!$B$14)))</f>
        <v>0</v>
      </c>
      <c r="I43" s="47" t="n">
        <f aca="false">IF(Wyliczenie!$B$5=Stawki!$K$7,N(Stawki!$H$14),IF(Wyliczenie!$B$5=Stawki!$K$6,N(Stawki!$D$14),N(Stawki!$C$14)))</f>
        <v>0</v>
      </c>
      <c r="J43" s="48" t="n">
        <f aca="false">IF(OR(E43="",G43=0,D43=0),0,MAX(0,MIN(F43,H43)-MAX(E43,G43)+1))</f>
        <v>0</v>
      </c>
      <c r="K43" s="46" t="str">
        <f aca="false">IF(J43&gt;0,MAX(E43,G43),"")</f>
        <v/>
      </c>
      <c r="L43" s="46" t="str">
        <f aca="false">IF(J43&gt;0,MIN(F43,H43),"")</f>
        <v/>
      </c>
      <c r="M43" s="18" t="n">
        <f aca="false">IF(J43&gt;0,ROUND(D43*I43*J43/365,2),0)</f>
        <v>0</v>
      </c>
      <c r="N43" s="10" t="n">
        <f aca="false">IF(J43&gt;0,1,0)</f>
        <v>0</v>
      </c>
      <c r="O43" s="10" t="n">
        <f aca="false">O42+N43</f>
        <v>6</v>
      </c>
    </row>
    <row r="44" customFormat="false" ht="15" hidden="false" customHeight="false" outlineLevel="0" collapsed="false">
      <c r="A44" s="0" t="n">
        <v>3</v>
      </c>
      <c r="B44" s="0" t="n">
        <v>11</v>
      </c>
      <c r="C44" s="0" t="str">
        <f aca="false">IF(Wyliczenie!$A$23="","",Wyliczenie!$A$23)</f>
        <v/>
      </c>
      <c r="D44" s="18" t="n">
        <f aca="false">N(Wyliczenie!$B$23)</f>
        <v>0</v>
      </c>
      <c r="E44" s="46" t="str">
        <f aca="false">IF(Wyliczenie!$C$23="","",Wyliczenie!$C$23+1)</f>
        <v/>
      </c>
      <c r="F44" s="46" t="str">
        <f aca="false">IF(E44="","",IF(Wyliczenie!$D$23="",Wyliczenie!$B$6,Wyliczenie!$D$23))</f>
        <v/>
      </c>
      <c r="G44" s="46" t="n">
        <f aca="false">IF(Wyliczenie!$B$5=Stawki!$K$7,N(Stawki!$F$15),N(Stawki!$A$15))</f>
        <v>0</v>
      </c>
      <c r="H44" s="46" t="n">
        <f aca="false">IF(G44=0,0,IF(Wyliczenie!$B$5=Stawki!$K$7,IF(N(Stawki!$G$15)=0,DATE(2099,12,31),Stawki!$G$15),IF(N(Stawki!$B$15)=0,DATE(2099,12,31),Stawki!$B$15)))</f>
        <v>0</v>
      </c>
      <c r="I44" s="47" t="n">
        <f aca="false">IF(Wyliczenie!$B$5=Stawki!$K$7,N(Stawki!$H$15),IF(Wyliczenie!$B$5=Stawki!$K$6,N(Stawki!$D$15),N(Stawki!$C$15)))</f>
        <v>0</v>
      </c>
      <c r="J44" s="48" t="n">
        <f aca="false">IF(OR(E44="",G44=0,D44=0),0,MAX(0,MIN(F44,H44)-MAX(E44,G44)+1))</f>
        <v>0</v>
      </c>
      <c r="K44" s="46" t="str">
        <f aca="false">IF(J44&gt;0,MAX(E44,G44),"")</f>
        <v/>
      </c>
      <c r="L44" s="46" t="str">
        <f aca="false">IF(J44&gt;0,MIN(F44,H44),"")</f>
        <v/>
      </c>
      <c r="M44" s="18" t="n">
        <f aca="false">IF(J44&gt;0,ROUND(D44*I44*J44/365,2),0)</f>
        <v>0</v>
      </c>
      <c r="N44" s="10" t="n">
        <f aca="false">IF(J44&gt;0,1,0)</f>
        <v>0</v>
      </c>
      <c r="O44" s="10" t="n">
        <f aca="false">O43+N44</f>
        <v>6</v>
      </c>
    </row>
    <row r="45" customFormat="false" ht="15" hidden="false" customHeight="false" outlineLevel="0" collapsed="false">
      <c r="A45" s="0" t="n">
        <v>3</v>
      </c>
      <c r="B45" s="0" t="n">
        <v>12</v>
      </c>
      <c r="C45" s="0" t="str">
        <f aca="false">IF(Wyliczenie!$A$23="","",Wyliczenie!$A$23)</f>
        <v/>
      </c>
      <c r="D45" s="18" t="n">
        <f aca="false">N(Wyliczenie!$B$23)</f>
        <v>0</v>
      </c>
      <c r="E45" s="46" t="str">
        <f aca="false">IF(Wyliczenie!$C$23="","",Wyliczenie!$C$23+1)</f>
        <v/>
      </c>
      <c r="F45" s="46" t="str">
        <f aca="false">IF(E45="","",IF(Wyliczenie!$D$23="",Wyliczenie!$B$6,Wyliczenie!$D$23))</f>
        <v/>
      </c>
      <c r="G45" s="46" t="n">
        <f aca="false">IF(Wyliczenie!$B$5=Stawki!$K$7,N(Stawki!$F$16),N(Stawki!$A$16))</f>
        <v>0</v>
      </c>
      <c r="H45" s="46" t="n">
        <f aca="false">IF(G45=0,0,IF(Wyliczenie!$B$5=Stawki!$K$7,IF(N(Stawki!$G$16)=0,DATE(2099,12,31),Stawki!$G$16),IF(N(Stawki!$B$16)=0,DATE(2099,12,31),Stawki!$B$16)))</f>
        <v>0</v>
      </c>
      <c r="I45" s="47" t="n">
        <f aca="false">IF(Wyliczenie!$B$5=Stawki!$K$7,N(Stawki!$H$16),IF(Wyliczenie!$B$5=Stawki!$K$6,N(Stawki!$D$16),N(Stawki!$C$16)))</f>
        <v>0</v>
      </c>
      <c r="J45" s="48" t="n">
        <f aca="false">IF(OR(E45="",G45=0,D45=0),0,MAX(0,MIN(F45,H45)-MAX(E45,G45)+1))</f>
        <v>0</v>
      </c>
      <c r="K45" s="46" t="str">
        <f aca="false">IF(J45&gt;0,MAX(E45,G45),"")</f>
        <v/>
      </c>
      <c r="L45" s="46" t="str">
        <f aca="false">IF(J45&gt;0,MIN(F45,H45),"")</f>
        <v/>
      </c>
      <c r="M45" s="18" t="n">
        <f aca="false">IF(J45&gt;0,ROUND(D45*I45*J45/365,2),0)</f>
        <v>0</v>
      </c>
      <c r="N45" s="10" t="n">
        <f aca="false">IF(J45&gt;0,1,0)</f>
        <v>0</v>
      </c>
      <c r="O45" s="10" t="n">
        <f aca="false">O44+N45</f>
        <v>6</v>
      </c>
    </row>
    <row r="46" customFormat="false" ht="15" hidden="false" customHeight="false" outlineLevel="0" collapsed="false">
      <c r="A46" s="0" t="n">
        <v>3</v>
      </c>
      <c r="B46" s="0" t="n">
        <v>13</v>
      </c>
      <c r="C46" s="0" t="str">
        <f aca="false">IF(Wyliczenie!$A$23="","",Wyliczenie!$A$23)</f>
        <v/>
      </c>
      <c r="D46" s="18" t="n">
        <f aca="false">N(Wyliczenie!$B$23)</f>
        <v>0</v>
      </c>
      <c r="E46" s="46" t="str">
        <f aca="false">IF(Wyliczenie!$C$23="","",Wyliczenie!$C$23+1)</f>
        <v/>
      </c>
      <c r="F46" s="46" t="str">
        <f aca="false">IF(E46="","",IF(Wyliczenie!$D$23="",Wyliczenie!$B$6,Wyliczenie!$D$23))</f>
        <v/>
      </c>
      <c r="G46" s="46" t="n">
        <f aca="false">IF(Wyliczenie!$B$5=Stawki!$K$7,N(Stawki!$F$17),N(Stawki!$A$17))</f>
        <v>0</v>
      </c>
      <c r="H46" s="46" t="n">
        <f aca="false">IF(G46=0,0,IF(Wyliczenie!$B$5=Stawki!$K$7,IF(N(Stawki!$G$17)=0,DATE(2099,12,31),Stawki!$G$17),IF(N(Stawki!$B$17)=0,DATE(2099,12,31),Stawki!$B$17)))</f>
        <v>0</v>
      </c>
      <c r="I46" s="47" t="n">
        <f aca="false">IF(Wyliczenie!$B$5=Stawki!$K$7,N(Stawki!$H$17),IF(Wyliczenie!$B$5=Stawki!$K$6,N(Stawki!$D$17),N(Stawki!$C$17)))</f>
        <v>0</v>
      </c>
      <c r="J46" s="48" t="n">
        <f aca="false">IF(OR(E46="",G46=0,D46=0),0,MAX(0,MIN(F46,H46)-MAX(E46,G46)+1))</f>
        <v>0</v>
      </c>
      <c r="K46" s="46" t="str">
        <f aca="false">IF(J46&gt;0,MAX(E46,G46),"")</f>
        <v/>
      </c>
      <c r="L46" s="46" t="str">
        <f aca="false">IF(J46&gt;0,MIN(F46,H46),"")</f>
        <v/>
      </c>
      <c r="M46" s="18" t="n">
        <f aca="false">IF(J46&gt;0,ROUND(D46*I46*J46/365,2),0)</f>
        <v>0</v>
      </c>
      <c r="N46" s="10" t="n">
        <f aca="false">IF(J46&gt;0,1,0)</f>
        <v>0</v>
      </c>
      <c r="O46" s="10" t="n">
        <f aca="false">O45+N46</f>
        <v>6</v>
      </c>
    </row>
    <row r="47" customFormat="false" ht="15" hidden="false" customHeight="false" outlineLevel="0" collapsed="false">
      <c r="A47" s="0" t="n">
        <v>3</v>
      </c>
      <c r="B47" s="0" t="n">
        <v>14</v>
      </c>
      <c r="C47" s="0" t="str">
        <f aca="false">IF(Wyliczenie!$A$23="","",Wyliczenie!$A$23)</f>
        <v/>
      </c>
      <c r="D47" s="18" t="n">
        <f aca="false">N(Wyliczenie!$B$23)</f>
        <v>0</v>
      </c>
      <c r="E47" s="46" t="str">
        <f aca="false">IF(Wyliczenie!$C$23="","",Wyliczenie!$C$23+1)</f>
        <v/>
      </c>
      <c r="F47" s="46" t="str">
        <f aca="false">IF(E47="","",IF(Wyliczenie!$D$23="",Wyliczenie!$B$6,Wyliczenie!$D$23))</f>
        <v/>
      </c>
      <c r="G47" s="46" t="n">
        <f aca="false">IF(Wyliczenie!$B$5=Stawki!$K$7,N(Stawki!$F$18),N(Stawki!$A$18))</f>
        <v>0</v>
      </c>
      <c r="H47" s="46" t="n">
        <f aca="false">IF(G47=0,0,IF(Wyliczenie!$B$5=Stawki!$K$7,IF(N(Stawki!$G$18)=0,DATE(2099,12,31),Stawki!$G$18),IF(N(Stawki!$B$18)=0,DATE(2099,12,31),Stawki!$B$18)))</f>
        <v>0</v>
      </c>
      <c r="I47" s="47" t="n">
        <f aca="false">IF(Wyliczenie!$B$5=Stawki!$K$7,N(Stawki!$H$18),IF(Wyliczenie!$B$5=Stawki!$K$6,N(Stawki!$D$18),N(Stawki!$C$18)))</f>
        <v>0</v>
      </c>
      <c r="J47" s="48" t="n">
        <f aca="false">IF(OR(E47="",G47=0,D47=0),0,MAX(0,MIN(F47,H47)-MAX(E47,G47)+1))</f>
        <v>0</v>
      </c>
      <c r="K47" s="46" t="str">
        <f aca="false">IF(J47&gt;0,MAX(E47,G47),"")</f>
        <v/>
      </c>
      <c r="L47" s="46" t="str">
        <f aca="false">IF(J47&gt;0,MIN(F47,H47),"")</f>
        <v/>
      </c>
      <c r="M47" s="18" t="n">
        <f aca="false">IF(J47&gt;0,ROUND(D47*I47*J47/365,2),0)</f>
        <v>0</v>
      </c>
      <c r="N47" s="10" t="n">
        <f aca="false">IF(J47&gt;0,1,0)</f>
        <v>0</v>
      </c>
      <c r="O47" s="10" t="n">
        <f aca="false">O46+N47</f>
        <v>6</v>
      </c>
    </row>
    <row r="48" customFormat="false" ht="15" hidden="false" customHeight="false" outlineLevel="0" collapsed="false">
      <c r="A48" s="0" t="n">
        <v>3</v>
      </c>
      <c r="B48" s="0" t="n">
        <v>15</v>
      </c>
      <c r="C48" s="0" t="str">
        <f aca="false">IF(Wyliczenie!$A$23="","",Wyliczenie!$A$23)</f>
        <v/>
      </c>
      <c r="D48" s="18" t="n">
        <f aca="false">N(Wyliczenie!$B$23)</f>
        <v>0</v>
      </c>
      <c r="E48" s="46" t="str">
        <f aca="false">IF(Wyliczenie!$C$23="","",Wyliczenie!$C$23+1)</f>
        <v/>
      </c>
      <c r="F48" s="46" t="str">
        <f aca="false">IF(E48="","",IF(Wyliczenie!$D$23="",Wyliczenie!$B$6,Wyliczenie!$D$23))</f>
        <v/>
      </c>
      <c r="G48" s="46" t="n">
        <f aca="false">IF(Wyliczenie!$B$5=Stawki!$K$7,N(Stawki!$F$19),N(Stawki!$A$19))</f>
        <v>0</v>
      </c>
      <c r="H48" s="46" t="n">
        <f aca="false">IF(G48=0,0,IF(Wyliczenie!$B$5=Stawki!$K$7,IF(N(Stawki!$G$19)=0,DATE(2099,12,31),Stawki!$G$19),IF(N(Stawki!$B$19)=0,DATE(2099,12,31),Stawki!$B$19)))</f>
        <v>0</v>
      </c>
      <c r="I48" s="47" t="n">
        <f aca="false">IF(Wyliczenie!$B$5=Stawki!$K$7,N(Stawki!$H$19),IF(Wyliczenie!$B$5=Stawki!$K$6,N(Stawki!$D$19),N(Stawki!$C$19)))</f>
        <v>0</v>
      </c>
      <c r="J48" s="48" t="n">
        <f aca="false">IF(OR(E48="",G48=0,D48=0),0,MAX(0,MIN(F48,H48)-MAX(E48,G48)+1))</f>
        <v>0</v>
      </c>
      <c r="K48" s="46" t="str">
        <f aca="false">IF(J48&gt;0,MAX(E48,G48),"")</f>
        <v/>
      </c>
      <c r="L48" s="46" t="str">
        <f aca="false">IF(J48&gt;0,MIN(F48,H48),"")</f>
        <v/>
      </c>
      <c r="M48" s="18" t="n">
        <f aca="false">IF(J48&gt;0,ROUND(D48*I48*J48/365,2),0)</f>
        <v>0</v>
      </c>
      <c r="N48" s="10" t="n">
        <f aca="false">IF(J48&gt;0,1,0)</f>
        <v>0</v>
      </c>
      <c r="O48" s="10" t="n">
        <f aca="false">O47+N48</f>
        <v>6</v>
      </c>
    </row>
    <row r="49" customFormat="false" ht="15" hidden="false" customHeight="false" outlineLevel="0" collapsed="false">
      <c r="A49" s="0" t="n">
        <v>3</v>
      </c>
      <c r="B49" s="0" t="n">
        <v>16</v>
      </c>
      <c r="C49" s="0" t="str">
        <f aca="false">IF(Wyliczenie!$A$23="","",Wyliczenie!$A$23)</f>
        <v/>
      </c>
      <c r="D49" s="18" t="n">
        <f aca="false">N(Wyliczenie!$B$23)</f>
        <v>0</v>
      </c>
      <c r="E49" s="46" t="str">
        <f aca="false">IF(Wyliczenie!$C$23="","",Wyliczenie!$C$23+1)</f>
        <v/>
      </c>
      <c r="F49" s="46" t="str">
        <f aca="false">IF(E49="","",IF(Wyliczenie!$D$23="",Wyliczenie!$B$6,Wyliczenie!$D$23))</f>
        <v/>
      </c>
      <c r="G49" s="46" t="n">
        <f aca="false">IF(Wyliczenie!$B$5=Stawki!$K$7,N(Stawki!$F$20),N(Stawki!$A$20))</f>
        <v>0</v>
      </c>
      <c r="H49" s="46" t="n">
        <f aca="false">IF(G49=0,0,IF(Wyliczenie!$B$5=Stawki!$K$7,IF(N(Stawki!$G$20)=0,DATE(2099,12,31),Stawki!$G$20),IF(N(Stawki!$B$20)=0,DATE(2099,12,31),Stawki!$B$20)))</f>
        <v>0</v>
      </c>
      <c r="I49" s="47" t="n">
        <f aca="false">IF(Wyliczenie!$B$5=Stawki!$K$7,N(Stawki!$H$20),IF(Wyliczenie!$B$5=Stawki!$K$6,N(Stawki!$D$20),N(Stawki!$C$20)))</f>
        <v>0</v>
      </c>
      <c r="J49" s="48" t="n">
        <f aca="false">IF(OR(E49="",G49=0,D49=0),0,MAX(0,MIN(F49,H49)-MAX(E49,G49)+1))</f>
        <v>0</v>
      </c>
      <c r="K49" s="46" t="str">
        <f aca="false">IF(J49&gt;0,MAX(E49,G49),"")</f>
        <v/>
      </c>
      <c r="L49" s="46" t="str">
        <f aca="false">IF(J49&gt;0,MIN(F49,H49),"")</f>
        <v/>
      </c>
      <c r="M49" s="18" t="n">
        <f aca="false">IF(J49&gt;0,ROUND(D49*I49*J49/365,2),0)</f>
        <v>0</v>
      </c>
      <c r="N49" s="10" t="n">
        <f aca="false">IF(J49&gt;0,1,0)</f>
        <v>0</v>
      </c>
      <c r="O49" s="10" t="n">
        <f aca="false">O48+N49</f>
        <v>6</v>
      </c>
    </row>
    <row r="50" customFormat="false" ht="15" hidden="false" customHeight="false" outlineLevel="0" collapsed="false">
      <c r="A50" s="0" t="n">
        <v>4</v>
      </c>
      <c r="B50" s="0" t="n">
        <v>1</v>
      </c>
      <c r="C50" s="0" t="str">
        <f aca="false">IF(Wyliczenie!$A$24="","",Wyliczenie!$A$24)</f>
        <v/>
      </c>
      <c r="D50" s="18" t="n">
        <f aca="false">N(Wyliczenie!$B$24)</f>
        <v>0</v>
      </c>
      <c r="E50" s="46" t="str">
        <f aca="false">IF(Wyliczenie!$C$24="","",Wyliczenie!$C$24+1)</f>
        <v/>
      </c>
      <c r="F50" s="46" t="str">
        <f aca="false">IF(E50="","",IF(Wyliczenie!$D$24="",Wyliczenie!$B$6,Wyliczenie!$D$24))</f>
        <v/>
      </c>
      <c r="G50" s="46" t="n">
        <f aca="false">IF(Wyliczenie!$B$5=Stawki!$K$7,N(Stawki!$F$5),N(Stawki!$A$5))</f>
        <v>44927</v>
      </c>
      <c r="H50" s="46" t="n">
        <f aca="false">IF(G50=0,0,IF(Wyliczenie!$B$5=Stawki!$K$7,IF(N(Stawki!$G$5)=0,DATE(2099,12,31),Stawki!$G$5),IF(N(Stawki!$B$5)=0,DATE(2099,12,31),Stawki!$B$5)))</f>
        <v>45107</v>
      </c>
      <c r="I50" s="47" t="n">
        <f aca="false">IF(Wyliczenie!$B$5=Stawki!$K$7,N(Stawki!$H$5),IF(Wyliczenie!$B$5=Stawki!$K$6,N(Stawki!$D$5),N(Stawki!$C$5)))</f>
        <v>0.1675</v>
      </c>
      <c r="J50" s="48" t="n">
        <f aca="false">IF(OR(E50="",G50=0,D50=0),0,MAX(0,MIN(F50,H50)-MAX(E50,G50)+1))</f>
        <v>0</v>
      </c>
      <c r="K50" s="46" t="str">
        <f aca="false">IF(J50&gt;0,MAX(E50,G50),"")</f>
        <v/>
      </c>
      <c r="L50" s="46" t="str">
        <f aca="false">IF(J50&gt;0,MIN(F50,H50),"")</f>
        <v/>
      </c>
      <c r="M50" s="18" t="n">
        <f aca="false">IF(J50&gt;0,ROUND(D50*I50*J50/365,2),0)</f>
        <v>0</v>
      </c>
      <c r="N50" s="10" t="n">
        <f aca="false">IF(J50&gt;0,1,0)</f>
        <v>0</v>
      </c>
      <c r="O50" s="10" t="n">
        <f aca="false">O49+N50</f>
        <v>6</v>
      </c>
    </row>
    <row r="51" customFormat="false" ht="15" hidden="false" customHeight="false" outlineLevel="0" collapsed="false">
      <c r="A51" s="0" t="n">
        <v>4</v>
      </c>
      <c r="B51" s="0" t="n">
        <v>2</v>
      </c>
      <c r="C51" s="0" t="str">
        <f aca="false">IF(Wyliczenie!$A$24="","",Wyliczenie!$A$24)</f>
        <v/>
      </c>
      <c r="D51" s="18" t="n">
        <f aca="false">N(Wyliczenie!$B$24)</f>
        <v>0</v>
      </c>
      <c r="E51" s="46" t="str">
        <f aca="false">IF(Wyliczenie!$C$24="","",Wyliczenie!$C$24+1)</f>
        <v/>
      </c>
      <c r="F51" s="46" t="str">
        <f aca="false">IF(E51="","",IF(Wyliczenie!$D$24="",Wyliczenie!$B$6,Wyliczenie!$D$24))</f>
        <v/>
      </c>
      <c r="G51" s="46" t="n">
        <f aca="false">IF(Wyliczenie!$B$5=Stawki!$K$7,N(Stawki!$F$6),N(Stawki!$A$6))</f>
        <v>45108</v>
      </c>
      <c r="H51" s="46" t="n">
        <f aca="false">IF(G51=0,0,IF(Wyliczenie!$B$5=Stawki!$K$7,IF(N(Stawki!$G$6)=0,DATE(2099,12,31),Stawki!$G$6),IF(N(Stawki!$B$6)=0,DATE(2099,12,31),Stawki!$B$6)))</f>
        <v>45291</v>
      </c>
      <c r="I51" s="47" t="n">
        <f aca="false">IF(Wyliczenie!$B$5=Stawki!$K$7,N(Stawki!$H$6),IF(Wyliczenie!$B$5=Stawki!$K$6,N(Stawki!$D$6),N(Stawki!$C$6)))</f>
        <v>0.1675</v>
      </c>
      <c r="J51" s="48" t="n">
        <f aca="false">IF(OR(E51="",G51=0,D51=0),0,MAX(0,MIN(F51,H51)-MAX(E51,G51)+1))</f>
        <v>0</v>
      </c>
      <c r="K51" s="46" t="str">
        <f aca="false">IF(J51&gt;0,MAX(E51,G51),"")</f>
        <v/>
      </c>
      <c r="L51" s="46" t="str">
        <f aca="false">IF(J51&gt;0,MIN(F51,H51),"")</f>
        <v/>
      </c>
      <c r="M51" s="18" t="n">
        <f aca="false">IF(J51&gt;0,ROUND(D51*I51*J51/365,2),0)</f>
        <v>0</v>
      </c>
      <c r="N51" s="10" t="n">
        <f aca="false">IF(J51&gt;0,1,0)</f>
        <v>0</v>
      </c>
      <c r="O51" s="10" t="n">
        <f aca="false">O50+N51</f>
        <v>6</v>
      </c>
    </row>
    <row r="52" customFormat="false" ht="15" hidden="false" customHeight="false" outlineLevel="0" collapsed="false">
      <c r="A52" s="0" t="n">
        <v>4</v>
      </c>
      <c r="B52" s="0" t="n">
        <v>3</v>
      </c>
      <c r="C52" s="0" t="str">
        <f aca="false">IF(Wyliczenie!$A$24="","",Wyliczenie!$A$24)</f>
        <v/>
      </c>
      <c r="D52" s="18" t="n">
        <f aca="false">N(Wyliczenie!$B$24)</f>
        <v>0</v>
      </c>
      <c r="E52" s="46" t="str">
        <f aca="false">IF(Wyliczenie!$C$24="","",Wyliczenie!$C$24+1)</f>
        <v/>
      </c>
      <c r="F52" s="46" t="str">
        <f aca="false">IF(E52="","",IF(Wyliczenie!$D$24="",Wyliczenie!$B$6,Wyliczenie!$D$24))</f>
        <v/>
      </c>
      <c r="G52" s="46" t="n">
        <f aca="false">IF(Wyliczenie!$B$5=Stawki!$K$7,N(Stawki!$F$7),N(Stawki!$A$7))</f>
        <v>45292</v>
      </c>
      <c r="H52" s="46" t="n">
        <f aca="false">IF(G52=0,0,IF(Wyliczenie!$B$5=Stawki!$K$7,IF(N(Stawki!$G$7)=0,DATE(2099,12,31),Stawki!$G$7),IF(N(Stawki!$B$7)=0,DATE(2099,12,31),Stawki!$B$7)))</f>
        <v>45473</v>
      </c>
      <c r="I52" s="47" t="n">
        <f aca="false">IF(Wyliczenie!$B$5=Stawki!$K$7,N(Stawki!$H$7),IF(Wyliczenie!$B$5=Stawki!$K$6,N(Stawki!$D$7),N(Stawki!$C$7)))</f>
        <v>0.1575</v>
      </c>
      <c r="J52" s="48" t="n">
        <f aca="false">IF(OR(E52="",G52=0,D52=0),0,MAX(0,MIN(F52,H52)-MAX(E52,G52)+1))</f>
        <v>0</v>
      </c>
      <c r="K52" s="46" t="str">
        <f aca="false">IF(J52&gt;0,MAX(E52,G52),"")</f>
        <v/>
      </c>
      <c r="L52" s="46" t="str">
        <f aca="false">IF(J52&gt;0,MIN(F52,H52),"")</f>
        <v/>
      </c>
      <c r="M52" s="18" t="n">
        <f aca="false">IF(J52&gt;0,ROUND(D52*I52*J52/365,2),0)</f>
        <v>0</v>
      </c>
      <c r="N52" s="10" t="n">
        <f aca="false">IF(J52&gt;0,1,0)</f>
        <v>0</v>
      </c>
      <c r="O52" s="10" t="n">
        <f aca="false">O51+N52</f>
        <v>6</v>
      </c>
    </row>
    <row r="53" customFormat="false" ht="15" hidden="false" customHeight="false" outlineLevel="0" collapsed="false">
      <c r="A53" s="0" t="n">
        <v>4</v>
      </c>
      <c r="B53" s="0" t="n">
        <v>4</v>
      </c>
      <c r="C53" s="0" t="str">
        <f aca="false">IF(Wyliczenie!$A$24="","",Wyliczenie!$A$24)</f>
        <v/>
      </c>
      <c r="D53" s="18" t="n">
        <f aca="false">N(Wyliczenie!$B$24)</f>
        <v>0</v>
      </c>
      <c r="E53" s="46" t="str">
        <f aca="false">IF(Wyliczenie!$C$24="","",Wyliczenie!$C$24+1)</f>
        <v/>
      </c>
      <c r="F53" s="46" t="str">
        <f aca="false">IF(E53="","",IF(Wyliczenie!$D$24="",Wyliczenie!$B$6,Wyliczenie!$D$24))</f>
        <v/>
      </c>
      <c r="G53" s="46" t="n">
        <f aca="false">IF(Wyliczenie!$B$5=Stawki!$K$7,N(Stawki!$F$8),N(Stawki!$A$8))</f>
        <v>45474</v>
      </c>
      <c r="H53" s="46" t="n">
        <f aca="false">IF(G53=0,0,IF(Wyliczenie!$B$5=Stawki!$K$7,IF(N(Stawki!$G$8)=0,DATE(2099,12,31),Stawki!$G$8),IF(N(Stawki!$B$8)=0,DATE(2099,12,31),Stawki!$B$8)))</f>
        <v>45657</v>
      </c>
      <c r="I53" s="47" t="n">
        <f aca="false">IF(Wyliczenie!$B$5=Stawki!$K$7,N(Stawki!$H$8),IF(Wyliczenie!$B$5=Stawki!$K$6,N(Stawki!$D$8),N(Stawki!$C$8)))</f>
        <v>0.1575</v>
      </c>
      <c r="J53" s="48" t="n">
        <f aca="false">IF(OR(E53="",G53=0,D53=0),0,MAX(0,MIN(F53,H53)-MAX(E53,G53)+1))</f>
        <v>0</v>
      </c>
      <c r="K53" s="46" t="str">
        <f aca="false">IF(J53&gt;0,MAX(E53,G53),"")</f>
        <v/>
      </c>
      <c r="L53" s="46" t="str">
        <f aca="false">IF(J53&gt;0,MIN(F53,H53),"")</f>
        <v/>
      </c>
      <c r="M53" s="18" t="n">
        <f aca="false">IF(J53&gt;0,ROUND(D53*I53*J53/365,2),0)</f>
        <v>0</v>
      </c>
      <c r="N53" s="10" t="n">
        <f aca="false">IF(J53&gt;0,1,0)</f>
        <v>0</v>
      </c>
      <c r="O53" s="10" t="n">
        <f aca="false">O52+N53</f>
        <v>6</v>
      </c>
    </row>
    <row r="54" customFormat="false" ht="15" hidden="false" customHeight="false" outlineLevel="0" collapsed="false">
      <c r="A54" s="0" t="n">
        <v>4</v>
      </c>
      <c r="B54" s="0" t="n">
        <v>5</v>
      </c>
      <c r="C54" s="0" t="str">
        <f aca="false">IF(Wyliczenie!$A$24="","",Wyliczenie!$A$24)</f>
        <v/>
      </c>
      <c r="D54" s="18" t="n">
        <f aca="false">N(Wyliczenie!$B$24)</f>
        <v>0</v>
      </c>
      <c r="E54" s="46" t="str">
        <f aca="false">IF(Wyliczenie!$C$24="","",Wyliczenie!$C$24+1)</f>
        <v/>
      </c>
      <c r="F54" s="46" t="str">
        <f aca="false">IF(E54="","",IF(Wyliczenie!$D$24="",Wyliczenie!$B$6,Wyliczenie!$D$24))</f>
        <v/>
      </c>
      <c r="G54" s="46" t="n">
        <f aca="false">IF(Wyliczenie!$B$5=Stawki!$K$7,N(Stawki!$F$9),N(Stawki!$A$9))</f>
        <v>45658</v>
      </c>
      <c r="H54" s="46" t="n">
        <f aca="false">IF(G54=0,0,IF(Wyliczenie!$B$5=Stawki!$K$7,IF(N(Stawki!$G$9)=0,DATE(2099,12,31),Stawki!$G$9),IF(N(Stawki!$B$9)=0,DATE(2099,12,31),Stawki!$B$9)))</f>
        <v>45838</v>
      </c>
      <c r="I54" s="47" t="n">
        <f aca="false">IF(Wyliczenie!$B$5=Stawki!$K$7,N(Stawki!$H$9),IF(Wyliczenie!$B$5=Stawki!$K$6,N(Stawki!$D$9),N(Stawki!$C$9)))</f>
        <v>0.1575</v>
      </c>
      <c r="J54" s="48" t="n">
        <f aca="false">IF(OR(E54="",G54=0,D54=0),0,MAX(0,MIN(F54,H54)-MAX(E54,G54)+1))</f>
        <v>0</v>
      </c>
      <c r="K54" s="46" t="str">
        <f aca="false">IF(J54&gt;0,MAX(E54,G54),"")</f>
        <v/>
      </c>
      <c r="L54" s="46" t="str">
        <f aca="false">IF(J54&gt;0,MIN(F54,H54),"")</f>
        <v/>
      </c>
      <c r="M54" s="18" t="n">
        <f aca="false">IF(J54&gt;0,ROUND(D54*I54*J54/365,2),0)</f>
        <v>0</v>
      </c>
      <c r="N54" s="10" t="n">
        <f aca="false">IF(J54&gt;0,1,0)</f>
        <v>0</v>
      </c>
      <c r="O54" s="10" t="n">
        <f aca="false">O53+N54</f>
        <v>6</v>
      </c>
    </row>
    <row r="55" customFormat="false" ht="15" hidden="false" customHeight="false" outlineLevel="0" collapsed="false">
      <c r="A55" s="0" t="n">
        <v>4</v>
      </c>
      <c r="B55" s="0" t="n">
        <v>6</v>
      </c>
      <c r="C55" s="0" t="str">
        <f aca="false">IF(Wyliczenie!$A$24="","",Wyliczenie!$A$24)</f>
        <v/>
      </c>
      <c r="D55" s="18" t="n">
        <f aca="false">N(Wyliczenie!$B$24)</f>
        <v>0</v>
      </c>
      <c r="E55" s="46" t="str">
        <f aca="false">IF(Wyliczenie!$C$24="","",Wyliczenie!$C$24+1)</f>
        <v/>
      </c>
      <c r="F55" s="46" t="str">
        <f aca="false">IF(E55="","",IF(Wyliczenie!$D$24="",Wyliczenie!$B$6,Wyliczenie!$D$24))</f>
        <v/>
      </c>
      <c r="G55" s="46" t="n">
        <f aca="false">IF(Wyliczenie!$B$5=Stawki!$K$7,N(Stawki!$F$10),N(Stawki!$A$10))</f>
        <v>45839</v>
      </c>
      <c r="H55" s="46" t="n">
        <f aca="false">IF(G55=0,0,IF(Wyliczenie!$B$5=Stawki!$K$7,IF(N(Stawki!$G$10)=0,DATE(2099,12,31),Stawki!$G$10),IF(N(Stawki!$B$10)=0,DATE(2099,12,31),Stawki!$B$10)))</f>
        <v>46022</v>
      </c>
      <c r="I55" s="47" t="n">
        <f aca="false">IF(Wyliczenie!$B$5=Stawki!$K$7,N(Stawki!$H$10),IF(Wyliczenie!$B$5=Stawki!$K$6,N(Stawki!$D$10),N(Stawki!$C$10)))</f>
        <v>0.1525</v>
      </c>
      <c r="J55" s="48" t="n">
        <f aca="false">IF(OR(E55="",G55=0,D55=0),0,MAX(0,MIN(F55,H55)-MAX(E55,G55)+1))</f>
        <v>0</v>
      </c>
      <c r="K55" s="46" t="str">
        <f aca="false">IF(J55&gt;0,MAX(E55,G55),"")</f>
        <v/>
      </c>
      <c r="L55" s="46" t="str">
        <f aca="false">IF(J55&gt;0,MIN(F55,H55),"")</f>
        <v/>
      </c>
      <c r="M55" s="18" t="n">
        <f aca="false">IF(J55&gt;0,ROUND(D55*I55*J55/365,2),0)</f>
        <v>0</v>
      </c>
      <c r="N55" s="10" t="n">
        <f aca="false">IF(J55&gt;0,1,0)</f>
        <v>0</v>
      </c>
      <c r="O55" s="10" t="n">
        <f aca="false">O54+N55</f>
        <v>6</v>
      </c>
    </row>
    <row r="56" customFormat="false" ht="15" hidden="false" customHeight="false" outlineLevel="0" collapsed="false">
      <c r="A56" s="0" t="n">
        <v>4</v>
      </c>
      <c r="B56" s="0" t="n">
        <v>7</v>
      </c>
      <c r="C56" s="0" t="str">
        <f aca="false">IF(Wyliczenie!$A$24="","",Wyliczenie!$A$24)</f>
        <v/>
      </c>
      <c r="D56" s="18" t="n">
        <f aca="false">N(Wyliczenie!$B$24)</f>
        <v>0</v>
      </c>
      <c r="E56" s="46" t="str">
        <f aca="false">IF(Wyliczenie!$C$24="","",Wyliczenie!$C$24+1)</f>
        <v/>
      </c>
      <c r="F56" s="46" t="str">
        <f aca="false">IF(E56="","",IF(Wyliczenie!$D$24="",Wyliczenie!$B$6,Wyliczenie!$D$24))</f>
        <v/>
      </c>
      <c r="G56" s="46" t="n">
        <f aca="false">IF(Wyliczenie!$B$5=Stawki!$K$7,N(Stawki!$F$11),N(Stawki!$A$11))</f>
        <v>46023</v>
      </c>
      <c r="H56" s="46" t="n">
        <f aca="false">IF(G56=0,0,IF(Wyliczenie!$B$5=Stawki!$K$7,IF(N(Stawki!$G$11)=0,DATE(2099,12,31),Stawki!$G$11),IF(N(Stawki!$B$11)=0,DATE(2099,12,31),Stawki!$B$11)))</f>
        <v>46203</v>
      </c>
      <c r="I56" s="47" t="n">
        <f aca="false">IF(Wyliczenie!$B$5=Stawki!$K$7,N(Stawki!$H$11),IF(Wyliczenie!$B$5=Stawki!$K$6,N(Stawki!$D$11),N(Stawki!$C$11)))</f>
        <v>0.14</v>
      </c>
      <c r="J56" s="48" t="n">
        <f aca="false">IF(OR(E56="",G56=0,D56=0),0,MAX(0,MIN(F56,H56)-MAX(E56,G56)+1))</f>
        <v>0</v>
      </c>
      <c r="K56" s="46" t="str">
        <f aca="false">IF(J56&gt;0,MAX(E56,G56),"")</f>
        <v/>
      </c>
      <c r="L56" s="46" t="str">
        <f aca="false">IF(J56&gt;0,MIN(F56,H56),"")</f>
        <v/>
      </c>
      <c r="M56" s="18" t="n">
        <f aca="false">IF(J56&gt;0,ROUND(D56*I56*J56/365,2),0)</f>
        <v>0</v>
      </c>
      <c r="N56" s="10" t="n">
        <f aca="false">IF(J56&gt;0,1,0)</f>
        <v>0</v>
      </c>
      <c r="O56" s="10" t="n">
        <f aca="false">O55+N56</f>
        <v>6</v>
      </c>
    </row>
    <row r="57" customFormat="false" ht="15" hidden="false" customHeight="false" outlineLevel="0" collapsed="false">
      <c r="A57" s="0" t="n">
        <v>4</v>
      </c>
      <c r="B57" s="0" t="n">
        <v>8</v>
      </c>
      <c r="C57" s="0" t="str">
        <f aca="false">IF(Wyliczenie!$A$24="","",Wyliczenie!$A$24)</f>
        <v/>
      </c>
      <c r="D57" s="18" t="n">
        <f aca="false">N(Wyliczenie!$B$24)</f>
        <v>0</v>
      </c>
      <c r="E57" s="46" t="str">
        <f aca="false">IF(Wyliczenie!$C$24="","",Wyliczenie!$C$24+1)</f>
        <v/>
      </c>
      <c r="F57" s="46" t="str">
        <f aca="false">IF(E57="","",IF(Wyliczenie!$D$24="",Wyliczenie!$B$6,Wyliczenie!$D$24))</f>
        <v/>
      </c>
      <c r="G57" s="46" t="n">
        <f aca="false">IF(Wyliczenie!$B$5=Stawki!$K$7,N(Stawki!$F$12),N(Stawki!$A$12))</f>
        <v>46204</v>
      </c>
      <c r="H57" s="46" t="n">
        <f aca="false">IF(G57=0,0,IF(Wyliczenie!$B$5=Stawki!$K$7,IF(N(Stawki!$G$12)=0,DATE(2099,12,31),Stawki!$G$12),IF(N(Stawki!$B$12)=0,DATE(2099,12,31),Stawki!$B$12)))</f>
        <v>46387</v>
      </c>
      <c r="I57" s="47" t="n">
        <f aca="false">IF(Wyliczenie!$B$5=Stawki!$K$7,N(Stawki!$H$12),IF(Wyliczenie!$B$5=Stawki!$K$6,N(Stawki!$D$12),N(Stawki!$C$12)))</f>
        <v>0.1375</v>
      </c>
      <c r="J57" s="48" t="n">
        <f aca="false">IF(OR(E57="",G57=0,D57=0),0,MAX(0,MIN(F57,H57)-MAX(E57,G57)+1))</f>
        <v>0</v>
      </c>
      <c r="K57" s="46" t="str">
        <f aca="false">IF(J57&gt;0,MAX(E57,G57),"")</f>
        <v/>
      </c>
      <c r="L57" s="46" t="str">
        <f aca="false">IF(J57&gt;0,MIN(F57,H57),"")</f>
        <v/>
      </c>
      <c r="M57" s="18" t="n">
        <f aca="false">IF(J57&gt;0,ROUND(D57*I57*J57/365,2),0)</f>
        <v>0</v>
      </c>
      <c r="N57" s="10" t="n">
        <f aca="false">IF(J57&gt;0,1,0)</f>
        <v>0</v>
      </c>
      <c r="O57" s="10" t="n">
        <f aca="false">O56+N57</f>
        <v>6</v>
      </c>
    </row>
    <row r="58" customFormat="false" ht="15" hidden="false" customHeight="false" outlineLevel="0" collapsed="false">
      <c r="A58" s="0" t="n">
        <v>4</v>
      </c>
      <c r="B58" s="0" t="n">
        <v>9</v>
      </c>
      <c r="C58" s="0" t="str">
        <f aca="false">IF(Wyliczenie!$A$24="","",Wyliczenie!$A$24)</f>
        <v/>
      </c>
      <c r="D58" s="18" t="n">
        <f aca="false">N(Wyliczenie!$B$24)</f>
        <v>0</v>
      </c>
      <c r="E58" s="46" t="str">
        <f aca="false">IF(Wyliczenie!$C$24="","",Wyliczenie!$C$24+1)</f>
        <v/>
      </c>
      <c r="F58" s="46" t="str">
        <f aca="false">IF(E58="","",IF(Wyliczenie!$D$24="",Wyliczenie!$B$6,Wyliczenie!$D$24))</f>
        <v/>
      </c>
      <c r="G58" s="46" t="n">
        <f aca="false">IF(Wyliczenie!$B$5=Stawki!$K$7,N(Stawki!$F$13),N(Stawki!$A$13))</f>
        <v>0</v>
      </c>
      <c r="H58" s="46" t="n">
        <f aca="false">IF(G58=0,0,IF(Wyliczenie!$B$5=Stawki!$K$7,IF(N(Stawki!$G$13)=0,DATE(2099,12,31),Stawki!$G$13),IF(N(Stawki!$B$13)=0,DATE(2099,12,31),Stawki!$B$13)))</f>
        <v>0</v>
      </c>
      <c r="I58" s="47" t="n">
        <f aca="false">IF(Wyliczenie!$B$5=Stawki!$K$7,N(Stawki!$H$13),IF(Wyliczenie!$B$5=Stawki!$K$6,N(Stawki!$D$13),N(Stawki!$C$13)))</f>
        <v>0</v>
      </c>
      <c r="J58" s="48" t="n">
        <f aca="false">IF(OR(E58="",G58=0,D58=0),0,MAX(0,MIN(F58,H58)-MAX(E58,G58)+1))</f>
        <v>0</v>
      </c>
      <c r="K58" s="46" t="str">
        <f aca="false">IF(J58&gt;0,MAX(E58,G58),"")</f>
        <v/>
      </c>
      <c r="L58" s="46" t="str">
        <f aca="false">IF(J58&gt;0,MIN(F58,H58),"")</f>
        <v/>
      </c>
      <c r="M58" s="18" t="n">
        <f aca="false">IF(J58&gt;0,ROUND(D58*I58*J58/365,2),0)</f>
        <v>0</v>
      </c>
      <c r="N58" s="10" t="n">
        <f aca="false">IF(J58&gt;0,1,0)</f>
        <v>0</v>
      </c>
      <c r="O58" s="10" t="n">
        <f aca="false">O57+N58</f>
        <v>6</v>
      </c>
    </row>
    <row r="59" customFormat="false" ht="15" hidden="false" customHeight="false" outlineLevel="0" collapsed="false">
      <c r="A59" s="0" t="n">
        <v>4</v>
      </c>
      <c r="B59" s="0" t="n">
        <v>10</v>
      </c>
      <c r="C59" s="0" t="str">
        <f aca="false">IF(Wyliczenie!$A$24="","",Wyliczenie!$A$24)</f>
        <v/>
      </c>
      <c r="D59" s="18" t="n">
        <f aca="false">N(Wyliczenie!$B$24)</f>
        <v>0</v>
      </c>
      <c r="E59" s="46" t="str">
        <f aca="false">IF(Wyliczenie!$C$24="","",Wyliczenie!$C$24+1)</f>
        <v/>
      </c>
      <c r="F59" s="46" t="str">
        <f aca="false">IF(E59="","",IF(Wyliczenie!$D$24="",Wyliczenie!$B$6,Wyliczenie!$D$24))</f>
        <v/>
      </c>
      <c r="G59" s="46" t="n">
        <f aca="false">IF(Wyliczenie!$B$5=Stawki!$K$7,N(Stawki!$F$14),N(Stawki!$A$14))</f>
        <v>0</v>
      </c>
      <c r="H59" s="46" t="n">
        <f aca="false">IF(G59=0,0,IF(Wyliczenie!$B$5=Stawki!$K$7,IF(N(Stawki!$G$14)=0,DATE(2099,12,31),Stawki!$G$14),IF(N(Stawki!$B$14)=0,DATE(2099,12,31),Stawki!$B$14)))</f>
        <v>0</v>
      </c>
      <c r="I59" s="47" t="n">
        <f aca="false">IF(Wyliczenie!$B$5=Stawki!$K$7,N(Stawki!$H$14),IF(Wyliczenie!$B$5=Stawki!$K$6,N(Stawki!$D$14),N(Stawki!$C$14)))</f>
        <v>0</v>
      </c>
      <c r="J59" s="48" t="n">
        <f aca="false">IF(OR(E59="",G59=0,D59=0),0,MAX(0,MIN(F59,H59)-MAX(E59,G59)+1))</f>
        <v>0</v>
      </c>
      <c r="K59" s="46" t="str">
        <f aca="false">IF(J59&gt;0,MAX(E59,G59),"")</f>
        <v/>
      </c>
      <c r="L59" s="46" t="str">
        <f aca="false">IF(J59&gt;0,MIN(F59,H59),"")</f>
        <v/>
      </c>
      <c r="M59" s="18" t="n">
        <f aca="false">IF(J59&gt;0,ROUND(D59*I59*J59/365,2),0)</f>
        <v>0</v>
      </c>
      <c r="N59" s="10" t="n">
        <f aca="false">IF(J59&gt;0,1,0)</f>
        <v>0</v>
      </c>
      <c r="O59" s="10" t="n">
        <f aca="false">O58+N59</f>
        <v>6</v>
      </c>
    </row>
    <row r="60" customFormat="false" ht="15" hidden="false" customHeight="false" outlineLevel="0" collapsed="false">
      <c r="A60" s="0" t="n">
        <v>4</v>
      </c>
      <c r="B60" s="0" t="n">
        <v>11</v>
      </c>
      <c r="C60" s="0" t="str">
        <f aca="false">IF(Wyliczenie!$A$24="","",Wyliczenie!$A$24)</f>
        <v/>
      </c>
      <c r="D60" s="18" t="n">
        <f aca="false">N(Wyliczenie!$B$24)</f>
        <v>0</v>
      </c>
      <c r="E60" s="46" t="str">
        <f aca="false">IF(Wyliczenie!$C$24="","",Wyliczenie!$C$24+1)</f>
        <v/>
      </c>
      <c r="F60" s="46" t="str">
        <f aca="false">IF(E60="","",IF(Wyliczenie!$D$24="",Wyliczenie!$B$6,Wyliczenie!$D$24))</f>
        <v/>
      </c>
      <c r="G60" s="46" t="n">
        <f aca="false">IF(Wyliczenie!$B$5=Stawki!$K$7,N(Stawki!$F$15),N(Stawki!$A$15))</f>
        <v>0</v>
      </c>
      <c r="H60" s="46" t="n">
        <f aca="false">IF(G60=0,0,IF(Wyliczenie!$B$5=Stawki!$K$7,IF(N(Stawki!$G$15)=0,DATE(2099,12,31),Stawki!$G$15),IF(N(Stawki!$B$15)=0,DATE(2099,12,31),Stawki!$B$15)))</f>
        <v>0</v>
      </c>
      <c r="I60" s="47" t="n">
        <f aca="false">IF(Wyliczenie!$B$5=Stawki!$K$7,N(Stawki!$H$15),IF(Wyliczenie!$B$5=Stawki!$K$6,N(Stawki!$D$15),N(Stawki!$C$15)))</f>
        <v>0</v>
      </c>
      <c r="J60" s="48" t="n">
        <f aca="false">IF(OR(E60="",G60=0,D60=0),0,MAX(0,MIN(F60,H60)-MAX(E60,G60)+1))</f>
        <v>0</v>
      </c>
      <c r="K60" s="46" t="str">
        <f aca="false">IF(J60&gt;0,MAX(E60,G60),"")</f>
        <v/>
      </c>
      <c r="L60" s="46" t="str">
        <f aca="false">IF(J60&gt;0,MIN(F60,H60),"")</f>
        <v/>
      </c>
      <c r="M60" s="18" t="n">
        <f aca="false">IF(J60&gt;0,ROUND(D60*I60*J60/365,2),0)</f>
        <v>0</v>
      </c>
      <c r="N60" s="10" t="n">
        <f aca="false">IF(J60&gt;0,1,0)</f>
        <v>0</v>
      </c>
      <c r="O60" s="10" t="n">
        <f aca="false">O59+N60</f>
        <v>6</v>
      </c>
    </row>
    <row r="61" customFormat="false" ht="15" hidden="false" customHeight="false" outlineLevel="0" collapsed="false">
      <c r="A61" s="0" t="n">
        <v>4</v>
      </c>
      <c r="B61" s="0" t="n">
        <v>12</v>
      </c>
      <c r="C61" s="0" t="str">
        <f aca="false">IF(Wyliczenie!$A$24="","",Wyliczenie!$A$24)</f>
        <v/>
      </c>
      <c r="D61" s="18" t="n">
        <f aca="false">N(Wyliczenie!$B$24)</f>
        <v>0</v>
      </c>
      <c r="E61" s="46" t="str">
        <f aca="false">IF(Wyliczenie!$C$24="","",Wyliczenie!$C$24+1)</f>
        <v/>
      </c>
      <c r="F61" s="46" t="str">
        <f aca="false">IF(E61="","",IF(Wyliczenie!$D$24="",Wyliczenie!$B$6,Wyliczenie!$D$24))</f>
        <v/>
      </c>
      <c r="G61" s="46" t="n">
        <f aca="false">IF(Wyliczenie!$B$5=Stawki!$K$7,N(Stawki!$F$16),N(Stawki!$A$16))</f>
        <v>0</v>
      </c>
      <c r="H61" s="46" t="n">
        <f aca="false">IF(G61=0,0,IF(Wyliczenie!$B$5=Stawki!$K$7,IF(N(Stawki!$G$16)=0,DATE(2099,12,31),Stawki!$G$16),IF(N(Stawki!$B$16)=0,DATE(2099,12,31),Stawki!$B$16)))</f>
        <v>0</v>
      </c>
      <c r="I61" s="47" t="n">
        <f aca="false">IF(Wyliczenie!$B$5=Stawki!$K$7,N(Stawki!$H$16),IF(Wyliczenie!$B$5=Stawki!$K$6,N(Stawki!$D$16),N(Stawki!$C$16)))</f>
        <v>0</v>
      </c>
      <c r="J61" s="48" t="n">
        <f aca="false">IF(OR(E61="",G61=0,D61=0),0,MAX(0,MIN(F61,H61)-MAX(E61,G61)+1))</f>
        <v>0</v>
      </c>
      <c r="K61" s="46" t="str">
        <f aca="false">IF(J61&gt;0,MAX(E61,G61),"")</f>
        <v/>
      </c>
      <c r="L61" s="46" t="str">
        <f aca="false">IF(J61&gt;0,MIN(F61,H61),"")</f>
        <v/>
      </c>
      <c r="M61" s="18" t="n">
        <f aca="false">IF(J61&gt;0,ROUND(D61*I61*J61/365,2),0)</f>
        <v>0</v>
      </c>
      <c r="N61" s="10" t="n">
        <f aca="false">IF(J61&gt;0,1,0)</f>
        <v>0</v>
      </c>
      <c r="O61" s="10" t="n">
        <f aca="false">O60+N61</f>
        <v>6</v>
      </c>
    </row>
    <row r="62" customFormat="false" ht="15" hidden="false" customHeight="false" outlineLevel="0" collapsed="false">
      <c r="A62" s="0" t="n">
        <v>4</v>
      </c>
      <c r="B62" s="0" t="n">
        <v>13</v>
      </c>
      <c r="C62" s="0" t="str">
        <f aca="false">IF(Wyliczenie!$A$24="","",Wyliczenie!$A$24)</f>
        <v/>
      </c>
      <c r="D62" s="18" t="n">
        <f aca="false">N(Wyliczenie!$B$24)</f>
        <v>0</v>
      </c>
      <c r="E62" s="46" t="str">
        <f aca="false">IF(Wyliczenie!$C$24="","",Wyliczenie!$C$24+1)</f>
        <v/>
      </c>
      <c r="F62" s="46" t="str">
        <f aca="false">IF(E62="","",IF(Wyliczenie!$D$24="",Wyliczenie!$B$6,Wyliczenie!$D$24))</f>
        <v/>
      </c>
      <c r="G62" s="46" t="n">
        <f aca="false">IF(Wyliczenie!$B$5=Stawki!$K$7,N(Stawki!$F$17),N(Stawki!$A$17))</f>
        <v>0</v>
      </c>
      <c r="H62" s="46" t="n">
        <f aca="false">IF(G62=0,0,IF(Wyliczenie!$B$5=Stawki!$K$7,IF(N(Stawki!$G$17)=0,DATE(2099,12,31),Stawki!$G$17),IF(N(Stawki!$B$17)=0,DATE(2099,12,31),Stawki!$B$17)))</f>
        <v>0</v>
      </c>
      <c r="I62" s="47" t="n">
        <f aca="false">IF(Wyliczenie!$B$5=Stawki!$K$7,N(Stawki!$H$17),IF(Wyliczenie!$B$5=Stawki!$K$6,N(Stawki!$D$17),N(Stawki!$C$17)))</f>
        <v>0</v>
      </c>
      <c r="J62" s="48" t="n">
        <f aca="false">IF(OR(E62="",G62=0,D62=0),0,MAX(0,MIN(F62,H62)-MAX(E62,G62)+1))</f>
        <v>0</v>
      </c>
      <c r="K62" s="46" t="str">
        <f aca="false">IF(J62&gt;0,MAX(E62,G62),"")</f>
        <v/>
      </c>
      <c r="L62" s="46" t="str">
        <f aca="false">IF(J62&gt;0,MIN(F62,H62),"")</f>
        <v/>
      </c>
      <c r="M62" s="18" t="n">
        <f aca="false">IF(J62&gt;0,ROUND(D62*I62*J62/365,2),0)</f>
        <v>0</v>
      </c>
      <c r="N62" s="10" t="n">
        <f aca="false">IF(J62&gt;0,1,0)</f>
        <v>0</v>
      </c>
      <c r="O62" s="10" t="n">
        <f aca="false">O61+N62</f>
        <v>6</v>
      </c>
    </row>
    <row r="63" customFormat="false" ht="15" hidden="false" customHeight="false" outlineLevel="0" collapsed="false">
      <c r="A63" s="0" t="n">
        <v>4</v>
      </c>
      <c r="B63" s="0" t="n">
        <v>14</v>
      </c>
      <c r="C63" s="0" t="str">
        <f aca="false">IF(Wyliczenie!$A$24="","",Wyliczenie!$A$24)</f>
        <v/>
      </c>
      <c r="D63" s="18" t="n">
        <f aca="false">N(Wyliczenie!$B$24)</f>
        <v>0</v>
      </c>
      <c r="E63" s="46" t="str">
        <f aca="false">IF(Wyliczenie!$C$24="","",Wyliczenie!$C$24+1)</f>
        <v/>
      </c>
      <c r="F63" s="46" t="str">
        <f aca="false">IF(E63="","",IF(Wyliczenie!$D$24="",Wyliczenie!$B$6,Wyliczenie!$D$24))</f>
        <v/>
      </c>
      <c r="G63" s="46" t="n">
        <f aca="false">IF(Wyliczenie!$B$5=Stawki!$K$7,N(Stawki!$F$18),N(Stawki!$A$18))</f>
        <v>0</v>
      </c>
      <c r="H63" s="46" t="n">
        <f aca="false">IF(G63=0,0,IF(Wyliczenie!$B$5=Stawki!$K$7,IF(N(Stawki!$G$18)=0,DATE(2099,12,31),Stawki!$G$18),IF(N(Stawki!$B$18)=0,DATE(2099,12,31),Stawki!$B$18)))</f>
        <v>0</v>
      </c>
      <c r="I63" s="47" t="n">
        <f aca="false">IF(Wyliczenie!$B$5=Stawki!$K$7,N(Stawki!$H$18),IF(Wyliczenie!$B$5=Stawki!$K$6,N(Stawki!$D$18),N(Stawki!$C$18)))</f>
        <v>0</v>
      </c>
      <c r="J63" s="48" t="n">
        <f aca="false">IF(OR(E63="",G63=0,D63=0),0,MAX(0,MIN(F63,H63)-MAX(E63,G63)+1))</f>
        <v>0</v>
      </c>
      <c r="K63" s="46" t="str">
        <f aca="false">IF(J63&gt;0,MAX(E63,G63),"")</f>
        <v/>
      </c>
      <c r="L63" s="46" t="str">
        <f aca="false">IF(J63&gt;0,MIN(F63,H63),"")</f>
        <v/>
      </c>
      <c r="M63" s="18" t="n">
        <f aca="false">IF(J63&gt;0,ROUND(D63*I63*J63/365,2),0)</f>
        <v>0</v>
      </c>
      <c r="N63" s="10" t="n">
        <f aca="false">IF(J63&gt;0,1,0)</f>
        <v>0</v>
      </c>
      <c r="O63" s="10" t="n">
        <f aca="false">O62+N63</f>
        <v>6</v>
      </c>
    </row>
    <row r="64" customFormat="false" ht="15" hidden="false" customHeight="false" outlineLevel="0" collapsed="false">
      <c r="A64" s="0" t="n">
        <v>4</v>
      </c>
      <c r="B64" s="0" t="n">
        <v>15</v>
      </c>
      <c r="C64" s="0" t="str">
        <f aca="false">IF(Wyliczenie!$A$24="","",Wyliczenie!$A$24)</f>
        <v/>
      </c>
      <c r="D64" s="18" t="n">
        <f aca="false">N(Wyliczenie!$B$24)</f>
        <v>0</v>
      </c>
      <c r="E64" s="46" t="str">
        <f aca="false">IF(Wyliczenie!$C$24="","",Wyliczenie!$C$24+1)</f>
        <v/>
      </c>
      <c r="F64" s="46" t="str">
        <f aca="false">IF(E64="","",IF(Wyliczenie!$D$24="",Wyliczenie!$B$6,Wyliczenie!$D$24))</f>
        <v/>
      </c>
      <c r="G64" s="46" t="n">
        <f aca="false">IF(Wyliczenie!$B$5=Stawki!$K$7,N(Stawki!$F$19),N(Stawki!$A$19))</f>
        <v>0</v>
      </c>
      <c r="H64" s="46" t="n">
        <f aca="false">IF(G64=0,0,IF(Wyliczenie!$B$5=Stawki!$K$7,IF(N(Stawki!$G$19)=0,DATE(2099,12,31),Stawki!$G$19),IF(N(Stawki!$B$19)=0,DATE(2099,12,31),Stawki!$B$19)))</f>
        <v>0</v>
      </c>
      <c r="I64" s="47" t="n">
        <f aca="false">IF(Wyliczenie!$B$5=Stawki!$K$7,N(Stawki!$H$19),IF(Wyliczenie!$B$5=Stawki!$K$6,N(Stawki!$D$19),N(Stawki!$C$19)))</f>
        <v>0</v>
      </c>
      <c r="J64" s="48" t="n">
        <f aca="false">IF(OR(E64="",G64=0,D64=0),0,MAX(0,MIN(F64,H64)-MAX(E64,G64)+1))</f>
        <v>0</v>
      </c>
      <c r="K64" s="46" t="str">
        <f aca="false">IF(J64&gt;0,MAX(E64,G64),"")</f>
        <v/>
      </c>
      <c r="L64" s="46" t="str">
        <f aca="false">IF(J64&gt;0,MIN(F64,H64),"")</f>
        <v/>
      </c>
      <c r="M64" s="18" t="n">
        <f aca="false">IF(J64&gt;0,ROUND(D64*I64*J64/365,2),0)</f>
        <v>0</v>
      </c>
      <c r="N64" s="10" t="n">
        <f aca="false">IF(J64&gt;0,1,0)</f>
        <v>0</v>
      </c>
      <c r="O64" s="10" t="n">
        <f aca="false">O63+N64</f>
        <v>6</v>
      </c>
    </row>
    <row r="65" customFormat="false" ht="15" hidden="false" customHeight="false" outlineLevel="0" collapsed="false">
      <c r="A65" s="0" t="n">
        <v>4</v>
      </c>
      <c r="B65" s="0" t="n">
        <v>16</v>
      </c>
      <c r="C65" s="0" t="str">
        <f aca="false">IF(Wyliczenie!$A$24="","",Wyliczenie!$A$24)</f>
        <v/>
      </c>
      <c r="D65" s="18" t="n">
        <f aca="false">N(Wyliczenie!$B$24)</f>
        <v>0</v>
      </c>
      <c r="E65" s="46" t="str">
        <f aca="false">IF(Wyliczenie!$C$24="","",Wyliczenie!$C$24+1)</f>
        <v/>
      </c>
      <c r="F65" s="46" t="str">
        <f aca="false">IF(E65="","",IF(Wyliczenie!$D$24="",Wyliczenie!$B$6,Wyliczenie!$D$24))</f>
        <v/>
      </c>
      <c r="G65" s="46" t="n">
        <f aca="false">IF(Wyliczenie!$B$5=Stawki!$K$7,N(Stawki!$F$20),N(Stawki!$A$20))</f>
        <v>0</v>
      </c>
      <c r="H65" s="46" t="n">
        <f aca="false">IF(G65=0,0,IF(Wyliczenie!$B$5=Stawki!$K$7,IF(N(Stawki!$G$20)=0,DATE(2099,12,31),Stawki!$G$20),IF(N(Stawki!$B$20)=0,DATE(2099,12,31),Stawki!$B$20)))</f>
        <v>0</v>
      </c>
      <c r="I65" s="47" t="n">
        <f aca="false">IF(Wyliczenie!$B$5=Stawki!$K$7,N(Stawki!$H$20),IF(Wyliczenie!$B$5=Stawki!$K$6,N(Stawki!$D$20),N(Stawki!$C$20)))</f>
        <v>0</v>
      </c>
      <c r="J65" s="48" t="n">
        <f aca="false">IF(OR(E65="",G65=0,D65=0),0,MAX(0,MIN(F65,H65)-MAX(E65,G65)+1))</f>
        <v>0</v>
      </c>
      <c r="K65" s="46" t="str">
        <f aca="false">IF(J65&gt;0,MAX(E65,G65),"")</f>
        <v/>
      </c>
      <c r="L65" s="46" t="str">
        <f aca="false">IF(J65&gt;0,MIN(F65,H65),"")</f>
        <v/>
      </c>
      <c r="M65" s="18" t="n">
        <f aca="false">IF(J65&gt;0,ROUND(D65*I65*J65/365,2),0)</f>
        <v>0</v>
      </c>
      <c r="N65" s="10" t="n">
        <f aca="false">IF(J65&gt;0,1,0)</f>
        <v>0</v>
      </c>
      <c r="O65" s="10" t="n">
        <f aca="false">O64+N65</f>
        <v>6</v>
      </c>
    </row>
    <row r="66" customFormat="false" ht="15" hidden="false" customHeight="false" outlineLevel="0" collapsed="false">
      <c r="A66" s="0" t="n">
        <v>5</v>
      </c>
      <c r="B66" s="0" t="n">
        <v>1</v>
      </c>
      <c r="C66" s="0" t="str">
        <f aca="false">IF(Wyliczenie!$A$25="","",Wyliczenie!$A$25)</f>
        <v/>
      </c>
      <c r="D66" s="18" t="n">
        <f aca="false">N(Wyliczenie!$B$25)</f>
        <v>0</v>
      </c>
      <c r="E66" s="46" t="str">
        <f aca="false">IF(Wyliczenie!$C$25="","",Wyliczenie!$C$25+1)</f>
        <v/>
      </c>
      <c r="F66" s="46" t="str">
        <f aca="false">IF(E66="","",IF(Wyliczenie!$D$25="",Wyliczenie!$B$6,Wyliczenie!$D$25))</f>
        <v/>
      </c>
      <c r="G66" s="46" t="n">
        <f aca="false">IF(Wyliczenie!$B$5=Stawki!$K$7,N(Stawki!$F$5),N(Stawki!$A$5))</f>
        <v>44927</v>
      </c>
      <c r="H66" s="46" t="n">
        <f aca="false">IF(G66=0,0,IF(Wyliczenie!$B$5=Stawki!$K$7,IF(N(Stawki!$G$5)=0,DATE(2099,12,31),Stawki!$G$5),IF(N(Stawki!$B$5)=0,DATE(2099,12,31),Stawki!$B$5)))</f>
        <v>45107</v>
      </c>
      <c r="I66" s="47" t="n">
        <f aca="false">IF(Wyliczenie!$B$5=Stawki!$K$7,N(Stawki!$H$5),IF(Wyliczenie!$B$5=Stawki!$K$6,N(Stawki!$D$5),N(Stawki!$C$5)))</f>
        <v>0.1675</v>
      </c>
      <c r="J66" s="48" t="n">
        <f aca="false">IF(OR(E66="",G66=0,D66=0),0,MAX(0,MIN(F66,H66)-MAX(E66,G66)+1))</f>
        <v>0</v>
      </c>
      <c r="K66" s="46" t="str">
        <f aca="false">IF(J66&gt;0,MAX(E66,G66),"")</f>
        <v/>
      </c>
      <c r="L66" s="46" t="str">
        <f aca="false">IF(J66&gt;0,MIN(F66,H66),"")</f>
        <v/>
      </c>
      <c r="M66" s="18" t="n">
        <f aca="false">IF(J66&gt;0,ROUND(D66*I66*J66/365,2),0)</f>
        <v>0</v>
      </c>
      <c r="N66" s="10" t="n">
        <f aca="false">IF(J66&gt;0,1,0)</f>
        <v>0</v>
      </c>
      <c r="O66" s="10" t="n">
        <f aca="false">O65+N66</f>
        <v>6</v>
      </c>
    </row>
    <row r="67" customFormat="false" ht="15" hidden="false" customHeight="false" outlineLevel="0" collapsed="false">
      <c r="A67" s="0" t="n">
        <v>5</v>
      </c>
      <c r="B67" s="0" t="n">
        <v>2</v>
      </c>
      <c r="C67" s="0" t="str">
        <f aca="false">IF(Wyliczenie!$A$25="","",Wyliczenie!$A$25)</f>
        <v/>
      </c>
      <c r="D67" s="18" t="n">
        <f aca="false">N(Wyliczenie!$B$25)</f>
        <v>0</v>
      </c>
      <c r="E67" s="46" t="str">
        <f aca="false">IF(Wyliczenie!$C$25="","",Wyliczenie!$C$25+1)</f>
        <v/>
      </c>
      <c r="F67" s="46" t="str">
        <f aca="false">IF(E67="","",IF(Wyliczenie!$D$25="",Wyliczenie!$B$6,Wyliczenie!$D$25))</f>
        <v/>
      </c>
      <c r="G67" s="46" t="n">
        <f aca="false">IF(Wyliczenie!$B$5=Stawki!$K$7,N(Stawki!$F$6),N(Stawki!$A$6))</f>
        <v>45108</v>
      </c>
      <c r="H67" s="46" t="n">
        <f aca="false">IF(G67=0,0,IF(Wyliczenie!$B$5=Stawki!$K$7,IF(N(Stawki!$G$6)=0,DATE(2099,12,31),Stawki!$G$6),IF(N(Stawki!$B$6)=0,DATE(2099,12,31),Stawki!$B$6)))</f>
        <v>45291</v>
      </c>
      <c r="I67" s="47" t="n">
        <f aca="false">IF(Wyliczenie!$B$5=Stawki!$K$7,N(Stawki!$H$6),IF(Wyliczenie!$B$5=Stawki!$K$6,N(Stawki!$D$6),N(Stawki!$C$6)))</f>
        <v>0.1675</v>
      </c>
      <c r="J67" s="48" t="n">
        <f aca="false">IF(OR(E67="",G67=0,D67=0),0,MAX(0,MIN(F67,H67)-MAX(E67,G67)+1))</f>
        <v>0</v>
      </c>
      <c r="K67" s="46" t="str">
        <f aca="false">IF(J67&gt;0,MAX(E67,G67),"")</f>
        <v/>
      </c>
      <c r="L67" s="46" t="str">
        <f aca="false">IF(J67&gt;0,MIN(F67,H67),"")</f>
        <v/>
      </c>
      <c r="M67" s="18" t="n">
        <f aca="false">IF(J67&gt;0,ROUND(D67*I67*J67/365,2),0)</f>
        <v>0</v>
      </c>
      <c r="N67" s="10" t="n">
        <f aca="false">IF(J67&gt;0,1,0)</f>
        <v>0</v>
      </c>
      <c r="O67" s="10" t="n">
        <f aca="false">O66+N67</f>
        <v>6</v>
      </c>
    </row>
    <row r="68" customFormat="false" ht="15" hidden="false" customHeight="false" outlineLevel="0" collapsed="false">
      <c r="A68" s="0" t="n">
        <v>5</v>
      </c>
      <c r="B68" s="0" t="n">
        <v>3</v>
      </c>
      <c r="C68" s="0" t="str">
        <f aca="false">IF(Wyliczenie!$A$25="","",Wyliczenie!$A$25)</f>
        <v/>
      </c>
      <c r="D68" s="18" t="n">
        <f aca="false">N(Wyliczenie!$B$25)</f>
        <v>0</v>
      </c>
      <c r="E68" s="46" t="str">
        <f aca="false">IF(Wyliczenie!$C$25="","",Wyliczenie!$C$25+1)</f>
        <v/>
      </c>
      <c r="F68" s="46" t="str">
        <f aca="false">IF(E68="","",IF(Wyliczenie!$D$25="",Wyliczenie!$B$6,Wyliczenie!$D$25))</f>
        <v/>
      </c>
      <c r="G68" s="46" t="n">
        <f aca="false">IF(Wyliczenie!$B$5=Stawki!$K$7,N(Stawki!$F$7),N(Stawki!$A$7))</f>
        <v>45292</v>
      </c>
      <c r="H68" s="46" t="n">
        <f aca="false">IF(G68=0,0,IF(Wyliczenie!$B$5=Stawki!$K$7,IF(N(Stawki!$G$7)=0,DATE(2099,12,31),Stawki!$G$7),IF(N(Stawki!$B$7)=0,DATE(2099,12,31),Stawki!$B$7)))</f>
        <v>45473</v>
      </c>
      <c r="I68" s="47" t="n">
        <f aca="false">IF(Wyliczenie!$B$5=Stawki!$K$7,N(Stawki!$H$7),IF(Wyliczenie!$B$5=Stawki!$K$6,N(Stawki!$D$7),N(Stawki!$C$7)))</f>
        <v>0.1575</v>
      </c>
      <c r="J68" s="48" t="n">
        <f aca="false">IF(OR(E68="",G68=0,D68=0),0,MAX(0,MIN(F68,H68)-MAX(E68,G68)+1))</f>
        <v>0</v>
      </c>
      <c r="K68" s="46" t="str">
        <f aca="false">IF(J68&gt;0,MAX(E68,G68),"")</f>
        <v/>
      </c>
      <c r="L68" s="46" t="str">
        <f aca="false">IF(J68&gt;0,MIN(F68,H68),"")</f>
        <v/>
      </c>
      <c r="M68" s="18" t="n">
        <f aca="false">IF(J68&gt;0,ROUND(D68*I68*J68/365,2),0)</f>
        <v>0</v>
      </c>
      <c r="N68" s="10" t="n">
        <f aca="false">IF(J68&gt;0,1,0)</f>
        <v>0</v>
      </c>
      <c r="O68" s="10" t="n">
        <f aca="false">O67+N68</f>
        <v>6</v>
      </c>
    </row>
    <row r="69" customFormat="false" ht="15" hidden="false" customHeight="false" outlineLevel="0" collapsed="false">
      <c r="A69" s="0" t="n">
        <v>5</v>
      </c>
      <c r="B69" s="0" t="n">
        <v>4</v>
      </c>
      <c r="C69" s="0" t="str">
        <f aca="false">IF(Wyliczenie!$A$25="","",Wyliczenie!$A$25)</f>
        <v/>
      </c>
      <c r="D69" s="18" t="n">
        <f aca="false">N(Wyliczenie!$B$25)</f>
        <v>0</v>
      </c>
      <c r="E69" s="46" t="str">
        <f aca="false">IF(Wyliczenie!$C$25="","",Wyliczenie!$C$25+1)</f>
        <v/>
      </c>
      <c r="F69" s="46" t="str">
        <f aca="false">IF(E69="","",IF(Wyliczenie!$D$25="",Wyliczenie!$B$6,Wyliczenie!$D$25))</f>
        <v/>
      </c>
      <c r="G69" s="46" t="n">
        <f aca="false">IF(Wyliczenie!$B$5=Stawki!$K$7,N(Stawki!$F$8),N(Stawki!$A$8))</f>
        <v>45474</v>
      </c>
      <c r="H69" s="46" t="n">
        <f aca="false">IF(G69=0,0,IF(Wyliczenie!$B$5=Stawki!$K$7,IF(N(Stawki!$G$8)=0,DATE(2099,12,31),Stawki!$G$8),IF(N(Stawki!$B$8)=0,DATE(2099,12,31),Stawki!$B$8)))</f>
        <v>45657</v>
      </c>
      <c r="I69" s="47" t="n">
        <f aca="false">IF(Wyliczenie!$B$5=Stawki!$K$7,N(Stawki!$H$8),IF(Wyliczenie!$B$5=Stawki!$K$6,N(Stawki!$D$8),N(Stawki!$C$8)))</f>
        <v>0.1575</v>
      </c>
      <c r="J69" s="48" t="n">
        <f aca="false">IF(OR(E69="",G69=0,D69=0),0,MAX(0,MIN(F69,H69)-MAX(E69,G69)+1))</f>
        <v>0</v>
      </c>
      <c r="K69" s="46" t="str">
        <f aca="false">IF(J69&gt;0,MAX(E69,G69),"")</f>
        <v/>
      </c>
      <c r="L69" s="46" t="str">
        <f aca="false">IF(J69&gt;0,MIN(F69,H69),"")</f>
        <v/>
      </c>
      <c r="M69" s="18" t="n">
        <f aca="false">IF(J69&gt;0,ROUND(D69*I69*J69/365,2),0)</f>
        <v>0</v>
      </c>
      <c r="N69" s="10" t="n">
        <f aca="false">IF(J69&gt;0,1,0)</f>
        <v>0</v>
      </c>
      <c r="O69" s="10" t="n">
        <f aca="false">O68+N69</f>
        <v>6</v>
      </c>
    </row>
    <row r="70" customFormat="false" ht="15" hidden="false" customHeight="false" outlineLevel="0" collapsed="false">
      <c r="A70" s="0" t="n">
        <v>5</v>
      </c>
      <c r="B70" s="0" t="n">
        <v>5</v>
      </c>
      <c r="C70" s="0" t="str">
        <f aca="false">IF(Wyliczenie!$A$25="","",Wyliczenie!$A$25)</f>
        <v/>
      </c>
      <c r="D70" s="18" t="n">
        <f aca="false">N(Wyliczenie!$B$25)</f>
        <v>0</v>
      </c>
      <c r="E70" s="46" t="str">
        <f aca="false">IF(Wyliczenie!$C$25="","",Wyliczenie!$C$25+1)</f>
        <v/>
      </c>
      <c r="F70" s="46" t="str">
        <f aca="false">IF(E70="","",IF(Wyliczenie!$D$25="",Wyliczenie!$B$6,Wyliczenie!$D$25))</f>
        <v/>
      </c>
      <c r="G70" s="46" t="n">
        <f aca="false">IF(Wyliczenie!$B$5=Stawki!$K$7,N(Stawki!$F$9),N(Stawki!$A$9))</f>
        <v>45658</v>
      </c>
      <c r="H70" s="46" t="n">
        <f aca="false">IF(G70=0,0,IF(Wyliczenie!$B$5=Stawki!$K$7,IF(N(Stawki!$G$9)=0,DATE(2099,12,31),Stawki!$G$9),IF(N(Stawki!$B$9)=0,DATE(2099,12,31),Stawki!$B$9)))</f>
        <v>45838</v>
      </c>
      <c r="I70" s="47" t="n">
        <f aca="false">IF(Wyliczenie!$B$5=Stawki!$K$7,N(Stawki!$H$9),IF(Wyliczenie!$B$5=Stawki!$K$6,N(Stawki!$D$9),N(Stawki!$C$9)))</f>
        <v>0.1575</v>
      </c>
      <c r="J70" s="48" t="n">
        <f aca="false">IF(OR(E70="",G70=0,D70=0),0,MAX(0,MIN(F70,H70)-MAX(E70,G70)+1))</f>
        <v>0</v>
      </c>
      <c r="K70" s="46" t="str">
        <f aca="false">IF(J70&gt;0,MAX(E70,G70),"")</f>
        <v/>
      </c>
      <c r="L70" s="46" t="str">
        <f aca="false">IF(J70&gt;0,MIN(F70,H70),"")</f>
        <v/>
      </c>
      <c r="M70" s="18" t="n">
        <f aca="false">IF(J70&gt;0,ROUND(D70*I70*J70/365,2),0)</f>
        <v>0</v>
      </c>
      <c r="N70" s="10" t="n">
        <f aca="false">IF(J70&gt;0,1,0)</f>
        <v>0</v>
      </c>
      <c r="O70" s="10" t="n">
        <f aca="false">O69+N70</f>
        <v>6</v>
      </c>
    </row>
    <row r="71" customFormat="false" ht="15" hidden="false" customHeight="false" outlineLevel="0" collapsed="false">
      <c r="A71" s="0" t="n">
        <v>5</v>
      </c>
      <c r="B71" s="0" t="n">
        <v>6</v>
      </c>
      <c r="C71" s="0" t="str">
        <f aca="false">IF(Wyliczenie!$A$25="","",Wyliczenie!$A$25)</f>
        <v/>
      </c>
      <c r="D71" s="18" t="n">
        <f aca="false">N(Wyliczenie!$B$25)</f>
        <v>0</v>
      </c>
      <c r="E71" s="46" t="str">
        <f aca="false">IF(Wyliczenie!$C$25="","",Wyliczenie!$C$25+1)</f>
        <v/>
      </c>
      <c r="F71" s="46" t="str">
        <f aca="false">IF(E71="","",IF(Wyliczenie!$D$25="",Wyliczenie!$B$6,Wyliczenie!$D$25))</f>
        <v/>
      </c>
      <c r="G71" s="46" t="n">
        <f aca="false">IF(Wyliczenie!$B$5=Stawki!$K$7,N(Stawki!$F$10),N(Stawki!$A$10))</f>
        <v>45839</v>
      </c>
      <c r="H71" s="46" t="n">
        <f aca="false">IF(G71=0,0,IF(Wyliczenie!$B$5=Stawki!$K$7,IF(N(Stawki!$G$10)=0,DATE(2099,12,31),Stawki!$G$10),IF(N(Stawki!$B$10)=0,DATE(2099,12,31),Stawki!$B$10)))</f>
        <v>46022</v>
      </c>
      <c r="I71" s="47" t="n">
        <f aca="false">IF(Wyliczenie!$B$5=Stawki!$K$7,N(Stawki!$H$10),IF(Wyliczenie!$B$5=Stawki!$K$6,N(Stawki!$D$10),N(Stawki!$C$10)))</f>
        <v>0.1525</v>
      </c>
      <c r="J71" s="48" t="n">
        <f aca="false">IF(OR(E71="",G71=0,D71=0),0,MAX(0,MIN(F71,H71)-MAX(E71,G71)+1))</f>
        <v>0</v>
      </c>
      <c r="K71" s="46" t="str">
        <f aca="false">IF(J71&gt;0,MAX(E71,G71),"")</f>
        <v/>
      </c>
      <c r="L71" s="46" t="str">
        <f aca="false">IF(J71&gt;0,MIN(F71,H71),"")</f>
        <v/>
      </c>
      <c r="M71" s="18" t="n">
        <f aca="false">IF(J71&gt;0,ROUND(D71*I71*J71/365,2),0)</f>
        <v>0</v>
      </c>
      <c r="N71" s="10" t="n">
        <f aca="false">IF(J71&gt;0,1,0)</f>
        <v>0</v>
      </c>
      <c r="O71" s="10" t="n">
        <f aca="false">O70+N71</f>
        <v>6</v>
      </c>
    </row>
    <row r="72" customFormat="false" ht="15" hidden="false" customHeight="false" outlineLevel="0" collapsed="false">
      <c r="A72" s="0" t="n">
        <v>5</v>
      </c>
      <c r="B72" s="0" t="n">
        <v>7</v>
      </c>
      <c r="C72" s="0" t="str">
        <f aca="false">IF(Wyliczenie!$A$25="","",Wyliczenie!$A$25)</f>
        <v/>
      </c>
      <c r="D72" s="18" t="n">
        <f aca="false">N(Wyliczenie!$B$25)</f>
        <v>0</v>
      </c>
      <c r="E72" s="46" t="str">
        <f aca="false">IF(Wyliczenie!$C$25="","",Wyliczenie!$C$25+1)</f>
        <v/>
      </c>
      <c r="F72" s="46" t="str">
        <f aca="false">IF(E72="","",IF(Wyliczenie!$D$25="",Wyliczenie!$B$6,Wyliczenie!$D$25))</f>
        <v/>
      </c>
      <c r="G72" s="46" t="n">
        <f aca="false">IF(Wyliczenie!$B$5=Stawki!$K$7,N(Stawki!$F$11),N(Stawki!$A$11))</f>
        <v>46023</v>
      </c>
      <c r="H72" s="46" t="n">
        <f aca="false">IF(G72=0,0,IF(Wyliczenie!$B$5=Stawki!$K$7,IF(N(Stawki!$G$11)=0,DATE(2099,12,31),Stawki!$G$11),IF(N(Stawki!$B$11)=0,DATE(2099,12,31),Stawki!$B$11)))</f>
        <v>46203</v>
      </c>
      <c r="I72" s="47" t="n">
        <f aca="false">IF(Wyliczenie!$B$5=Stawki!$K$7,N(Stawki!$H$11),IF(Wyliczenie!$B$5=Stawki!$K$6,N(Stawki!$D$11),N(Stawki!$C$11)))</f>
        <v>0.14</v>
      </c>
      <c r="J72" s="48" t="n">
        <f aca="false">IF(OR(E72="",G72=0,D72=0),0,MAX(0,MIN(F72,H72)-MAX(E72,G72)+1))</f>
        <v>0</v>
      </c>
      <c r="K72" s="46" t="str">
        <f aca="false">IF(J72&gt;0,MAX(E72,G72),"")</f>
        <v/>
      </c>
      <c r="L72" s="46" t="str">
        <f aca="false">IF(J72&gt;0,MIN(F72,H72),"")</f>
        <v/>
      </c>
      <c r="M72" s="18" t="n">
        <f aca="false">IF(J72&gt;0,ROUND(D72*I72*J72/365,2),0)</f>
        <v>0</v>
      </c>
      <c r="N72" s="10" t="n">
        <f aca="false">IF(J72&gt;0,1,0)</f>
        <v>0</v>
      </c>
      <c r="O72" s="10" t="n">
        <f aca="false">O71+N72</f>
        <v>6</v>
      </c>
    </row>
    <row r="73" customFormat="false" ht="15" hidden="false" customHeight="false" outlineLevel="0" collapsed="false">
      <c r="A73" s="0" t="n">
        <v>5</v>
      </c>
      <c r="B73" s="0" t="n">
        <v>8</v>
      </c>
      <c r="C73" s="0" t="str">
        <f aca="false">IF(Wyliczenie!$A$25="","",Wyliczenie!$A$25)</f>
        <v/>
      </c>
      <c r="D73" s="18" t="n">
        <f aca="false">N(Wyliczenie!$B$25)</f>
        <v>0</v>
      </c>
      <c r="E73" s="46" t="str">
        <f aca="false">IF(Wyliczenie!$C$25="","",Wyliczenie!$C$25+1)</f>
        <v/>
      </c>
      <c r="F73" s="46" t="str">
        <f aca="false">IF(E73="","",IF(Wyliczenie!$D$25="",Wyliczenie!$B$6,Wyliczenie!$D$25))</f>
        <v/>
      </c>
      <c r="G73" s="46" t="n">
        <f aca="false">IF(Wyliczenie!$B$5=Stawki!$K$7,N(Stawki!$F$12),N(Stawki!$A$12))</f>
        <v>46204</v>
      </c>
      <c r="H73" s="46" t="n">
        <f aca="false">IF(G73=0,0,IF(Wyliczenie!$B$5=Stawki!$K$7,IF(N(Stawki!$G$12)=0,DATE(2099,12,31),Stawki!$G$12),IF(N(Stawki!$B$12)=0,DATE(2099,12,31),Stawki!$B$12)))</f>
        <v>46387</v>
      </c>
      <c r="I73" s="47" t="n">
        <f aca="false">IF(Wyliczenie!$B$5=Stawki!$K$7,N(Stawki!$H$12),IF(Wyliczenie!$B$5=Stawki!$K$6,N(Stawki!$D$12),N(Stawki!$C$12)))</f>
        <v>0.1375</v>
      </c>
      <c r="J73" s="48" t="n">
        <f aca="false">IF(OR(E73="",G73=0,D73=0),0,MAX(0,MIN(F73,H73)-MAX(E73,G73)+1))</f>
        <v>0</v>
      </c>
      <c r="K73" s="46" t="str">
        <f aca="false">IF(J73&gt;0,MAX(E73,G73),"")</f>
        <v/>
      </c>
      <c r="L73" s="46" t="str">
        <f aca="false">IF(J73&gt;0,MIN(F73,H73),"")</f>
        <v/>
      </c>
      <c r="M73" s="18" t="n">
        <f aca="false">IF(J73&gt;0,ROUND(D73*I73*J73/365,2),0)</f>
        <v>0</v>
      </c>
      <c r="N73" s="10" t="n">
        <f aca="false">IF(J73&gt;0,1,0)</f>
        <v>0</v>
      </c>
      <c r="O73" s="10" t="n">
        <f aca="false">O72+N73</f>
        <v>6</v>
      </c>
    </row>
    <row r="74" customFormat="false" ht="15" hidden="false" customHeight="false" outlineLevel="0" collapsed="false">
      <c r="A74" s="0" t="n">
        <v>5</v>
      </c>
      <c r="B74" s="0" t="n">
        <v>9</v>
      </c>
      <c r="C74" s="0" t="str">
        <f aca="false">IF(Wyliczenie!$A$25="","",Wyliczenie!$A$25)</f>
        <v/>
      </c>
      <c r="D74" s="18" t="n">
        <f aca="false">N(Wyliczenie!$B$25)</f>
        <v>0</v>
      </c>
      <c r="E74" s="46" t="str">
        <f aca="false">IF(Wyliczenie!$C$25="","",Wyliczenie!$C$25+1)</f>
        <v/>
      </c>
      <c r="F74" s="46" t="str">
        <f aca="false">IF(E74="","",IF(Wyliczenie!$D$25="",Wyliczenie!$B$6,Wyliczenie!$D$25))</f>
        <v/>
      </c>
      <c r="G74" s="46" t="n">
        <f aca="false">IF(Wyliczenie!$B$5=Stawki!$K$7,N(Stawki!$F$13),N(Stawki!$A$13))</f>
        <v>0</v>
      </c>
      <c r="H74" s="46" t="n">
        <f aca="false">IF(G74=0,0,IF(Wyliczenie!$B$5=Stawki!$K$7,IF(N(Stawki!$G$13)=0,DATE(2099,12,31),Stawki!$G$13),IF(N(Stawki!$B$13)=0,DATE(2099,12,31),Stawki!$B$13)))</f>
        <v>0</v>
      </c>
      <c r="I74" s="47" t="n">
        <f aca="false">IF(Wyliczenie!$B$5=Stawki!$K$7,N(Stawki!$H$13),IF(Wyliczenie!$B$5=Stawki!$K$6,N(Stawki!$D$13),N(Stawki!$C$13)))</f>
        <v>0</v>
      </c>
      <c r="J74" s="48" t="n">
        <f aca="false">IF(OR(E74="",G74=0,D74=0),0,MAX(0,MIN(F74,H74)-MAX(E74,G74)+1))</f>
        <v>0</v>
      </c>
      <c r="K74" s="46" t="str">
        <f aca="false">IF(J74&gt;0,MAX(E74,G74),"")</f>
        <v/>
      </c>
      <c r="L74" s="46" t="str">
        <f aca="false">IF(J74&gt;0,MIN(F74,H74),"")</f>
        <v/>
      </c>
      <c r="M74" s="18" t="n">
        <f aca="false">IF(J74&gt;0,ROUND(D74*I74*J74/365,2),0)</f>
        <v>0</v>
      </c>
      <c r="N74" s="10" t="n">
        <f aca="false">IF(J74&gt;0,1,0)</f>
        <v>0</v>
      </c>
      <c r="O74" s="10" t="n">
        <f aca="false">O73+N74</f>
        <v>6</v>
      </c>
    </row>
    <row r="75" customFormat="false" ht="15" hidden="false" customHeight="false" outlineLevel="0" collapsed="false">
      <c r="A75" s="0" t="n">
        <v>5</v>
      </c>
      <c r="B75" s="0" t="n">
        <v>10</v>
      </c>
      <c r="C75" s="0" t="str">
        <f aca="false">IF(Wyliczenie!$A$25="","",Wyliczenie!$A$25)</f>
        <v/>
      </c>
      <c r="D75" s="18" t="n">
        <f aca="false">N(Wyliczenie!$B$25)</f>
        <v>0</v>
      </c>
      <c r="E75" s="46" t="str">
        <f aca="false">IF(Wyliczenie!$C$25="","",Wyliczenie!$C$25+1)</f>
        <v/>
      </c>
      <c r="F75" s="46" t="str">
        <f aca="false">IF(E75="","",IF(Wyliczenie!$D$25="",Wyliczenie!$B$6,Wyliczenie!$D$25))</f>
        <v/>
      </c>
      <c r="G75" s="46" t="n">
        <f aca="false">IF(Wyliczenie!$B$5=Stawki!$K$7,N(Stawki!$F$14),N(Stawki!$A$14))</f>
        <v>0</v>
      </c>
      <c r="H75" s="46" t="n">
        <f aca="false">IF(G75=0,0,IF(Wyliczenie!$B$5=Stawki!$K$7,IF(N(Stawki!$G$14)=0,DATE(2099,12,31),Stawki!$G$14),IF(N(Stawki!$B$14)=0,DATE(2099,12,31),Stawki!$B$14)))</f>
        <v>0</v>
      </c>
      <c r="I75" s="47" t="n">
        <f aca="false">IF(Wyliczenie!$B$5=Stawki!$K$7,N(Stawki!$H$14),IF(Wyliczenie!$B$5=Stawki!$K$6,N(Stawki!$D$14),N(Stawki!$C$14)))</f>
        <v>0</v>
      </c>
      <c r="J75" s="48" t="n">
        <f aca="false">IF(OR(E75="",G75=0,D75=0),0,MAX(0,MIN(F75,H75)-MAX(E75,G75)+1))</f>
        <v>0</v>
      </c>
      <c r="K75" s="46" t="str">
        <f aca="false">IF(J75&gt;0,MAX(E75,G75),"")</f>
        <v/>
      </c>
      <c r="L75" s="46" t="str">
        <f aca="false">IF(J75&gt;0,MIN(F75,H75),"")</f>
        <v/>
      </c>
      <c r="M75" s="18" t="n">
        <f aca="false">IF(J75&gt;0,ROUND(D75*I75*J75/365,2),0)</f>
        <v>0</v>
      </c>
      <c r="N75" s="10" t="n">
        <f aca="false">IF(J75&gt;0,1,0)</f>
        <v>0</v>
      </c>
      <c r="O75" s="10" t="n">
        <f aca="false">O74+N75</f>
        <v>6</v>
      </c>
    </row>
    <row r="76" customFormat="false" ht="15" hidden="false" customHeight="false" outlineLevel="0" collapsed="false">
      <c r="A76" s="0" t="n">
        <v>5</v>
      </c>
      <c r="B76" s="0" t="n">
        <v>11</v>
      </c>
      <c r="C76" s="0" t="str">
        <f aca="false">IF(Wyliczenie!$A$25="","",Wyliczenie!$A$25)</f>
        <v/>
      </c>
      <c r="D76" s="18" t="n">
        <f aca="false">N(Wyliczenie!$B$25)</f>
        <v>0</v>
      </c>
      <c r="E76" s="46" t="str">
        <f aca="false">IF(Wyliczenie!$C$25="","",Wyliczenie!$C$25+1)</f>
        <v/>
      </c>
      <c r="F76" s="46" t="str">
        <f aca="false">IF(E76="","",IF(Wyliczenie!$D$25="",Wyliczenie!$B$6,Wyliczenie!$D$25))</f>
        <v/>
      </c>
      <c r="G76" s="46" t="n">
        <f aca="false">IF(Wyliczenie!$B$5=Stawki!$K$7,N(Stawki!$F$15),N(Stawki!$A$15))</f>
        <v>0</v>
      </c>
      <c r="H76" s="46" t="n">
        <f aca="false">IF(G76=0,0,IF(Wyliczenie!$B$5=Stawki!$K$7,IF(N(Stawki!$G$15)=0,DATE(2099,12,31),Stawki!$G$15),IF(N(Stawki!$B$15)=0,DATE(2099,12,31),Stawki!$B$15)))</f>
        <v>0</v>
      </c>
      <c r="I76" s="47" t="n">
        <f aca="false">IF(Wyliczenie!$B$5=Stawki!$K$7,N(Stawki!$H$15),IF(Wyliczenie!$B$5=Stawki!$K$6,N(Stawki!$D$15),N(Stawki!$C$15)))</f>
        <v>0</v>
      </c>
      <c r="J76" s="48" t="n">
        <f aca="false">IF(OR(E76="",G76=0,D76=0),0,MAX(0,MIN(F76,H76)-MAX(E76,G76)+1))</f>
        <v>0</v>
      </c>
      <c r="K76" s="46" t="str">
        <f aca="false">IF(J76&gt;0,MAX(E76,G76),"")</f>
        <v/>
      </c>
      <c r="L76" s="46" t="str">
        <f aca="false">IF(J76&gt;0,MIN(F76,H76),"")</f>
        <v/>
      </c>
      <c r="M76" s="18" t="n">
        <f aca="false">IF(J76&gt;0,ROUND(D76*I76*J76/365,2),0)</f>
        <v>0</v>
      </c>
      <c r="N76" s="10" t="n">
        <f aca="false">IF(J76&gt;0,1,0)</f>
        <v>0</v>
      </c>
      <c r="O76" s="10" t="n">
        <f aca="false">O75+N76</f>
        <v>6</v>
      </c>
    </row>
    <row r="77" customFormat="false" ht="15" hidden="false" customHeight="false" outlineLevel="0" collapsed="false">
      <c r="A77" s="0" t="n">
        <v>5</v>
      </c>
      <c r="B77" s="0" t="n">
        <v>12</v>
      </c>
      <c r="C77" s="0" t="str">
        <f aca="false">IF(Wyliczenie!$A$25="","",Wyliczenie!$A$25)</f>
        <v/>
      </c>
      <c r="D77" s="18" t="n">
        <f aca="false">N(Wyliczenie!$B$25)</f>
        <v>0</v>
      </c>
      <c r="E77" s="46" t="str">
        <f aca="false">IF(Wyliczenie!$C$25="","",Wyliczenie!$C$25+1)</f>
        <v/>
      </c>
      <c r="F77" s="46" t="str">
        <f aca="false">IF(E77="","",IF(Wyliczenie!$D$25="",Wyliczenie!$B$6,Wyliczenie!$D$25))</f>
        <v/>
      </c>
      <c r="G77" s="46" t="n">
        <f aca="false">IF(Wyliczenie!$B$5=Stawki!$K$7,N(Stawki!$F$16),N(Stawki!$A$16))</f>
        <v>0</v>
      </c>
      <c r="H77" s="46" t="n">
        <f aca="false">IF(G77=0,0,IF(Wyliczenie!$B$5=Stawki!$K$7,IF(N(Stawki!$G$16)=0,DATE(2099,12,31),Stawki!$G$16),IF(N(Stawki!$B$16)=0,DATE(2099,12,31),Stawki!$B$16)))</f>
        <v>0</v>
      </c>
      <c r="I77" s="47" t="n">
        <f aca="false">IF(Wyliczenie!$B$5=Stawki!$K$7,N(Stawki!$H$16),IF(Wyliczenie!$B$5=Stawki!$K$6,N(Stawki!$D$16),N(Stawki!$C$16)))</f>
        <v>0</v>
      </c>
      <c r="J77" s="48" t="n">
        <f aca="false">IF(OR(E77="",G77=0,D77=0),0,MAX(0,MIN(F77,H77)-MAX(E77,G77)+1))</f>
        <v>0</v>
      </c>
      <c r="K77" s="46" t="str">
        <f aca="false">IF(J77&gt;0,MAX(E77,G77),"")</f>
        <v/>
      </c>
      <c r="L77" s="46" t="str">
        <f aca="false">IF(J77&gt;0,MIN(F77,H77),"")</f>
        <v/>
      </c>
      <c r="M77" s="18" t="n">
        <f aca="false">IF(J77&gt;0,ROUND(D77*I77*J77/365,2),0)</f>
        <v>0</v>
      </c>
      <c r="N77" s="10" t="n">
        <f aca="false">IF(J77&gt;0,1,0)</f>
        <v>0</v>
      </c>
      <c r="O77" s="10" t="n">
        <f aca="false">O76+N77</f>
        <v>6</v>
      </c>
    </row>
    <row r="78" customFormat="false" ht="15" hidden="false" customHeight="false" outlineLevel="0" collapsed="false">
      <c r="A78" s="0" t="n">
        <v>5</v>
      </c>
      <c r="B78" s="0" t="n">
        <v>13</v>
      </c>
      <c r="C78" s="0" t="str">
        <f aca="false">IF(Wyliczenie!$A$25="","",Wyliczenie!$A$25)</f>
        <v/>
      </c>
      <c r="D78" s="18" t="n">
        <f aca="false">N(Wyliczenie!$B$25)</f>
        <v>0</v>
      </c>
      <c r="E78" s="46" t="str">
        <f aca="false">IF(Wyliczenie!$C$25="","",Wyliczenie!$C$25+1)</f>
        <v/>
      </c>
      <c r="F78" s="46" t="str">
        <f aca="false">IF(E78="","",IF(Wyliczenie!$D$25="",Wyliczenie!$B$6,Wyliczenie!$D$25))</f>
        <v/>
      </c>
      <c r="G78" s="46" t="n">
        <f aca="false">IF(Wyliczenie!$B$5=Stawki!$K$7,N(Stawki!$F$17),N(Stawki!$A$17))</f>
        <v>0</v>
      </c>
      <c r="H78" s="46" t="n">
        <f aca="false">IF(G78=0,0,IF(Wyliczenie!$B$5=Stawki!$K$7,IF(N(Stawki!$G$17)=0,DATE(2099,12,31),Stawki!$G$17),IF(N(Stawki!$B$17)=0,DATE(2099,12,31),Stawki!$B$17)))</f>
        <v>0</v>
      </c>
      <c r="I78" s="47" t="n">
        <f aca="false">IF(Wyliczenie!$B$5=Stawki!$K$7,N(Stawki!$H$17),IF(Wyliczenie!$B$5=Stawki!$K$6,N(Stawki!$D$17),N(Stawki!$C$17)))</f>
        <v>0</v>
      </c>
      <c r="J78" s="48" t="n">
        <f aca="false">IF(OR(E78="",G78=0,D78=0),0,MAX(0,MIN(F78,H78)-MAX(E78,G78)+1))</f>
        <v>0</v>
      </c>
      <c r="K78" s="46" t="str">
        <f aca="false">IF(J78&gt;0,MAX(E78,G78),"")</f>
        <v/>
      </c>
      <c r="L78" s="46" t="str">
        <f aca="false">IF(J78&gt;0,MIN(F78,H78),"")</f>
        <v/>
      </c>
      <c r="M78" s="18" t="n">
        <f aca="false">IF(J78&gt;0,ROUND(D78*I78*J78/365,2),0)</f>
        <v>0</v>
      </c>
      <c r="N78" s="10" t="n">
        <f aca="false">IF(J78&gt;0,1,0)</f>
        <v>0</v>
      </c>
      <c r="O78" s="10" t="n">
        <f aca="false">O77+N78</f>
        <v>6</v>
      </c>
    </row>
    <row r="79" customFormat="false" ht="15" hidden="false" customHeight="false" outlineLevel="0" collapsed="false">
      <c r="A79" s="0" t="n">
        <v>5</v>
      </c>
      <c r="B79" s="0" t="n">
        <v>14</v>
      </c>
      <c r="C79" s="0" t="str">
        <f aca="false">IF(Wyliczenie!$A$25="","",Wyliczenie!$A$25)</f>
        <v/>
      </c>
      <c r="D79" s="18" t="n">
        <f aca="false">N(Wyliczenie!$B$25)</f>
        <v>0</v>
      </c>
      <c r="E79" s="46" t="str">
        <f aca="false">IF(Wyliczenie!$C$25="","",Wyliczenie!$C$25+1)</f>
        <v/>
      </c>
      <c r="F79" s="46" t="str">
        <f aca="false">IF(E79="","",IF(Wyliczenie!$D$25="",Wyliczenie!$B$6,Wyliczenie!$D$25))</f>
        <v/>
      </c>
      <c r="G79" s="46" t="n">
        <f aca="false">IF(Wyliczenie!$B$5=Stawki!$K$7,N(Stawki!$F$18),N(Stawki!$A$18))</f>
        <v>0</v>
      </c>
      <c r="H79" s="46" t="n">
        <f aca="false">IF(G79=0,0,IF(Wyliczenie!$B$5=Stawki!$K$7,IF(N(Stawki!$G$18)=0,DATE(2099,12,31),Stawki!$G$18),IF(N(Stawki!$B$18)=0,DATE(2099,12,31),Stawki!$B$18)))</f>
        <v>0</v>
      </c>
      <c r="I79" s="47" t="n">
        <f aca="false">IF(Wyliczenie!$B$5=Stawki!$K$7,N(Stawki!$H$18),IF(Wyliczenie!$B$5=Stawki!$K$6,N(Stawki!$D$18),N(Stawki!$C$18)))</f>
        <v>0</v>
      </c>
      <c r="J79" s="48" t="n">
        <f aca="false">IF(OR(E79="",G79=0,D79=0),0,MAX(0,MIN(F79,H79)-MAX(E79,G79)+1))</f>
        <v>0</v>
      </c>
      <c r="K79" s="46" t="str">
        <f aca="false">IF(J79&gt;0,MAX(E79,G79),"")</f>
        <v/>
      </c>
      <c r="L79" s="46" t="str">
        <f aca="false">IF(J79&gt;0,MIN(F79,H79),"")</f>
        <v/>
      </c>
      <c r="M79" s="18" t="n">
        <f aca="false">IF(J79&gt;0,ROUND(D79*I79*J79/365,2),0)</f>
        <v>0</v>
      </c>
      <c r="N79" s="10" t="n">
        <f aca="false">IF(J79&gt;0,1,0)</f>
        <v>0</v>
      </c>
      <c r="O79" s="10" t="n">
        <f aca="false">O78+N79</f>
        <v>6</v>
      </c>
    </row>
    <row r="80" customFormat="false" ht="15" hidden="false" customHeight="false" outlineLevel="0" collapsed="false">
      <c r="A80" s="0" t="n">
        <v>5</v>
      </c>
      <c r="B80" s="0" t="n">
        <v>15</v>
      </c>
      <c r="C80" s="0" t="str">
        <f aca="false">IF(Wyliczenie!$A$25="","",Wyliczenie!$A$25)</f>
        <v/>
      </c>
      <c r="D80" s="18" t="n">
        <f aca="false">N(Wyliczenie!$B$25)</f>
        <v>0</v>
      </c>
      <c r="E80" s="46" t="str">
        <f aca="false">IF(Wyliczenie!$C$25="","",Wyliczenie!$C$25+1)</f>
        <v/>
      </c>
      <c r="F80" s="46" t="str">
        <f aca="false">IF(E80="","",IF(Wyliczenie!$D$25="",Wyliczenie!$B$6,Wyliczenie!$D$25))</f>
        <v/>
      </c>
      <c r="G80" s="46" t="n">
        <f aca="false">IF(Wyliczenie!$B$5=Stawki!$K$7,N(Stawki!$F$19),N(Stawki!$A$19))</f>
        <v>0</v>
      </c>
      <c r="H80" s="46" t="n">
        <f aca="false">IF(G80=0,0,IF(Wyliczenie!$B$5=Stawki!$K$7,IF(N(Stawki!$G$19)=0,DATE(2099,12,31),Stawki!$G$19),IF(N(Stawki!$B$19)=0,DATE(2099,12,31),Stawki!$B$19)))</f>
        <v>0</v>
      </c>
      <c r="I80" s="47" t="n">
        <f aca="false">IF(Wyliczenie!$B$5=Stawki!$K$7,N(Stawki!$H$19),IF(Wyliczenie!$B$5=Stawki!$K$6,N(Stawki!$D$19),N(Stawki!$C$19)))</f>
        <v>0</v>
      </c>
      <c r="J80" s="48" t="n">
        <f aca="false">IF(OR(E80="",G80=0,D80=0),0,MAX(0,MIN(F80,H80)-MAX(E80,G80)+1))</f>
        <v>0</v>
      </c>
      <c r="K80" s="46" t="str">
        <f aca="false">IF(J80&gt;0,MAX(E80,G80),"")</f>
        <v/>
      </c>
      <c r="L80" s="46" t="str">
        <f aca="false">IF(J80&gt;0,MIN(F80,H80),"")</f>
        <v/>
      </c>
      <c r="M80" s="18" t="n">
        <f aca="false">IF(J80&gt;0,ROUND(D80*I80*J80/365,2),0)</f>
        <v>0</v>
      </c>
      <c r="N80" s="10" t="n">
        <f aca="false">IF(J80&gt;0,1,0)</f>
        <v>0</v>
      </c>
      <c r="O80" s="10" t="n">
        <f aca="false">O79+N80</f>
        <v>6</v>
      </c>
    </row>
    <row r="81" customFormat="false" ht="15" hidden="false" customHeight="false" outlineLevel="0" collapsed="false">
      <c r="A81" s="0" t="n">
        <v>5</v>
      </c>
      <c r="B81" s="0" t="n">
        <v>16</v>
      </c>
      <c r="C81" s="0" t="str">
        <f aca="false">IF(Wyliczenie!$A$25="","",Wyliczenie!$A$25)</f>
        <v/>
      </c>
      <c r="D81" s="18" t="n">
        <f aca="false">N(Wyliczenie!$B$25)</f>
        <v>0</v>
      </c>
      <c r="E81" s="46" t="str">
        <f aca="false">IF(Wyliczenie!$C$25="","",Wyliczenie!$C$25+1)</f>
        <v/>
      </c>
      <c r="F81" s="46" t="str">
        <f aca="false">IF(E81="","",IF(Wyliczenie!$D$25="",Wyliczenie!$B$6,Wyliczenie!$D$25))</f>
        <v/>
      </c>
      <c r="G81" s="46" t="n">
        <f aca="false">IF(Wyliczenie!$B$5=Stawki!$K$7,N(Stawki!$F$20),N(Stawki!$A$20))</f>
        <v>0</v>
      </c>
      <c r="H81" s="46" t="n">
        <f aca="false">IF(G81=0,0,IF(Wyliczenie!$B$5=Stawki!$K$7,IF(N(Stawki!$G$20)=0,DATE(2099,12,31),Stawki!$G$20),IF(N(Stawki!$B$20)=0,DATE(2099,12,31),Stawki!$B$20)))</f>
        <v>0</v>
      </c>
      <c r="I81" s="47" t="n">
        <f aca="false">IF(Wyliczenie!$B$5=Stawki!$K$7,N(Stawki!$H$20),IF(Wyliczenie!$B$5=Stawki!$K$6,N(Stawki!$D$20),N(Stawki!$C$20)))</f>
        <v>0</v>
      </c>
      <c r="J81" s="48" t="n">
        <f aca="false">IF(OR(E81="",G81=0,D81=0),0,MAX(0,MIN(F81,H81)-MAX(E81,G81)+1))</f>
        <v>0</v>
      </c>
      <c r="K81" s="46" t="str">
        <f aca="false">IF(J81&gt;0,MAX(E81,G81),"")</f>
        <v/>
      </c>
      <c r="L81" s="46" t="str">
        <f aca="false">IF(J81&gt;0,MIN(F81,H81),"")</f>
        <v/>
      </c>
      <c r="M81" s="18" t="n">
        <f aca="false">IF(J81&gt;0,ROUND(D81*I81*J81/365,2),0)</f>
        <v>0</v>
      </c>
      <c r="N81" s="10" t="n">
        <f aca="false">IF(J81&gt;0,1,0)</f>
        <v>0</v>
      </c>
      <c r="O81" s="10" t="n">
        <f aca="false">O80+N81</f>
        <v>6</v>
      </c>
    </row>
    <row r="82" customFormat="false" ht="15" hidden="false" customHeight="false" outlineLevel="0" collapsed="false">
      <c r="A82" s="0" t="n">
        <v>6</v>
      </c>
      <c r="B82" s="0" t="n">
        <v>1</v>
      </c>
      <c r="C82" s="0" t="str">
        <f aca="false">IF(Wyliczenie!$A$26="","",Wyliczenie!$A$26)</f>
        <v/>
      </c>
      <c r="D82" s="18" t="n">
        <f aca="false">N(Wyliczenie!$B$26)</f>
        <v>0</v>
      </c>
      <c r="E82" s="46" t="str">
        <f aca="false">IF(Wyliczenie!$C$26="","",Wyliczenie!$C$26+1)</f>
        <v/>
      </c>
      <c r="F82" s="46" t="str">
        <f aca="false">IF(E82="","",IF(Wyliczenie!$D$26="",Wyliczenie!$B$6,Wyliczenie!$D$26))</f>
        <v/>
      </c>
      <c r="G82" s="46" t="n">
        <f aca="false">IF(Wyliczenie!$B$5=Stawki!$K$7,N(Stawki!$F$5),N(Stawki!$A$5))</f>
        <v>44927</v>
      </c>
      <c r="H82" s="46" t="n">
        <f aca="false">IF(G82=0,0,IF(Wyliczenie!$B$5=Stawki!$K$7,IF(N(Stawki!$G$5)=0,DATE(2099,12,31),Stawki!$G$5),IF(N(Stawki!$B$5)=0,DATE(2099,12,31),Stawki!$B$5)))</f>
        <v>45107</v>
      </c>
      <c r="I82" s="47" t="n">
        <f aca="false">IF(Wyliczenie!$B$5=Stawki!$K$7,N(Stawki!$H$5),IF(Wyliczenie!$B$5=Stawki!$K$6,N(Stawki!$D$5),N(Stawki!$C$5)))</f>
        <v>0.1675</v>
      </c>
      <c r="J82" s="48" t="n">
        <f aca="false">IF(OR(E82="",G82=0,D82=0),0,MAX(0,MIN(F82,H82)-MAX(E82,G82)+1))</f>
        <v>0</v>
      </c>
      <c r="K82" s="46" t="str">
        <f aca="false">IF(J82&gt;0,MAX(E82,G82),"")</f>
        <v/>
      </c>
      <c r="L82" s="46" t="str">
        <f aca="false">IF(J82&gt;0,MIN(F82,H82),"")</f>
        <v/>
      </c>
      <c r="M82" s="18" t="n">
        <f aca="false">IF(J82&gt;0,ROUND(D82*I82*J82/365,2),0)</f>
        <v>0</v>
      </c>
      <c r="N82" s="10" t="n">
        <f aca="false">IF(J82&gt;0,1,0)</f>
        <v>0</v>
      </c>
      <c r="O82" s="10" t="n">
        <f aca="false">O81+N82</f>
        <v>6</v>
      </c>
    </row>
    <row r="83" customFormat="false" ht="15" hidden="false" customHeight="false" outlineLevel="0" collapsed="false">
      <c r="A83" s="0" t="n">
        <v>6</v>
      </c>
      <c r="B83" s="0" t="n">
        <v>2</v>
      </c>
      <c r="C83" s="0" t="str">
        <f aca="false">IF(Wyliczenie!$A$26="","",Wyliczenie!$A$26)</f>
        <v/>
      </c>
      <c r="D83" s="18" t="n">
        <f aca="false">N(Wyliczenie!$B$26)</f>
        <v>0</v>
      </c>
      <c r="E83" s="46" t="str">
        <f aca="false">IF(Wyliczenie!$C$26="","",Wyliczenie!$C$26+1)</f>
        <v/>
      </c>
      <c r="F83" s="46" t="str">
        <f aca="false">IF(E83="","",IF(Wyliczenie!$D$26="",Wyliczenie!$B$6,Wyliczenie!$D$26))</f>
        <v/>
      </c>
      <c r="G83" s="46" t="n">
        <f aca="false">IF(Wyliczenie!$B$5=Stawki!$K$7,N(Stawki!$F$6),N(Stawki!$A$6))</f>
        <v>45108</v>
      </c>
      <c r="H83" s="46" t="n">
        <f aca="false">IF(G83=0,0,IF(Wyliczenie!$B$5=Stawki!$K$7,IF(N(Stawki!$G$6)=0,DATE(2099,12,31),Stawki!$G$6),IF(N(Stawki!$B$6)=0,DATE(2099,12,31),Stawki!$B$6)))</f>
        <v>45291</v>
      </c>
      <c r="I83" s="47" t="n">
        <f aca="false">IF(Wyliczenie!$B$5=Stawki!$K$7,N(Stawki!$H$6),IF(Wyliczenie!$B$5=Stawki!$K$6,N(Stawki!$D$6),N(Stawki!$C$6)))</f>
        <v>0.1675</v>
      </c>
      <c r="J83" s="48" t="n">
        <f aca="false">IF(OR(E83="",G83=0,D83=0),0,MAX(0,MIN(F83,H83)-MAX(E83,G83)+1))</f>
        <v>0</v>
      </c>
      <c r="K83" s="46" t="str">
        <f aca="false">IF(J83&gt;0,MAX(E83,G83),"")</f>
        <v/>
      </c>
      <c r="L83" s="46" t="str">
        <f aca="false">IF(J83&gt;0,MIN(F83,H83),"")</f>
        <v/>
      </c>
      <c r="M83" s="18" t="n">
        <f aca="false">IF(J83&gt;0,ROUND(D83*I83*J83/365,2),0)</f>
        <v>0</v>
      </c>
      <c r="N83" s="10" t="n">
        <f aca="false">IF(J83&gt;0,1,0)</f>
        <v>0</v>
      </c>
      <c r="O83" s="10" t="n">
        <f aca="false">O82+N83</f>
        <v>6</v>
      </c>
    </row>
    <row r="84" customFormat="false" ht="15" hidden="false" customHeight="false" outlineLevel="0" collapsed="false">
      <c r="A84" s="0" t="n">
        <v>6</v>
      </c>
      <c r="B84" s="0" t="n">
        <v>3</v>
      </c>
      <c r="C84" s="0" t="str">
        <f aca="false">IF(Wyliczenie!$A$26="","",Wyliczenie!$A$26)</f>
        <v/>
      </c>
      <c r="D84" s="18" t="n">
        <f aca="false">N(Wyliczenie!$B$26)</f>
        <v>0</v>
      </c>
      <c r="E84" s="46" t="str">
        <f aca="false">IF(Wyliczenie!$C$26="","",Wyliczenie!$C$26+1)</f>
        <v/>
      </c>
      <c r="F84" s="46" t="str">
        <f aca="false">IF(E84="","",IF(Wyliczenie!$D$26="",Wyliczenie!$B$6,Wyliczenie!$D$26))</f>
        <v/>
      </c>
      <c r="G84" s="46" t="n">
        <f aca="false">IF(Wyliczenie!$B$5=Stawki!$K$7,N(Stawki!$F$7),N(Stawki!$A$7))</f>
        <v>45292</v>
      </c>
      <c r="H84" s="46" t="n">
        <f aca="false">IF(G84=0,0,IF(Wyliczenie!$B$5=Stawki!$K$7,IF(N(Stawki!$G$7)=0,DATE(2099,12,31),Stawki!$G$7),IF(N(Stawki!$B$7)=0,DATE(2099,12,31),Stawki!$B$7)))</f>
        <v>45473</v>
      </c>
      <c r="I84" s="47" t="n">
        <f aca="false">IF(Wyliczenie!$B$5=Stawki!$K$7,N(Stawki!$H$7),IF(Wyliczenie!$B$5=Stawki!$K$6,N(Stawki!$D$7),N(Stawki!$C$7)))</f>
        <v>0.1575</v>
      </c>
      <c r="J84" s="48" t="n">
        <f aca="false">IF(OR(E84="",G84=0,D84=0),0,MAX(0,MIN(F84,H84)-MAX(E84,G84)+1))</f>
        <v>0</v>
      </c>
      <c r="K84" s="46" t="str">
        <f aca="false">IF(J84&gt;0,MAX(E84,G84),"")</f>
        <v/>
      </c>
      <c r="L84" s="46" t="str">
        <f aca="false">IF(J84&gt;0,MIN(F84,H84),"")</f>
        <v/>
      </c>
      <c r="M84" s="18" t="n">
        <f aca="false">IF(J84&gt;0,ROUND(D84*I84*J84/365,2),0)</f>
        <v>0</v>
      </c>
      <c r="N84" s="10" t="n">
        <f aca="false">IF(J84&gt;0,1,0)</f>
        <v>0</v>
      </c>
      <c r="O84" s="10" t="n">
        <f aca="false">O83+N84</f>
        <v>6</v>
      </c>
    </row>
    <row r="85" customFormat="false" ht="15" hidden="false" customHeight="false" outlineLevel="0" collapsed="false">
      <c r="A85" s="0" t="n">
        <v>6</v>
      </c>
      <c r="B85" s="0" t="n">
        <v>4</v>
      </c>
      <c r="C85" s="0" t="str">
        <f aca="false">IF(Wyliczenie!$A$26="","",Wyliczenie!$A$26)</f>
        <v/>
      </c>
      <c r="D85" s="18" t="n">
        <f aca="false">N(Wyliczenie!$B$26)</f>
        <v>0</v>
      </c>
      <c r="E85" s="46" t="str">
        <f aca="false">IF(Wyliczenie!$C$26="","",Wyliczenie!$C$26+1)</f>
        <v/>
      </c>
      <c r="F85" s="46" t="str">
        <f aca="false">IF(E85="","",IF(Wyliczenie!$D$26="",Wyliczenie!$B$6,Wyliczenie!$D$26))</f>
        <v/>
      </c>
      <c r="G85" s="46" t="n">
        <f aca="false">IF(Wyliczenie!$B$5=Stawki!$K$7,N(Stawki!$F$8),N(Stawki!$A$8))</f>
        <v>45474</v>
      </c>
      <c r="H85" s="46" t="n">
        <f aca="false">IF(G85=0,0,IF(Wyliczenie!$B$5=Stawki!$K$7,IF(N(Stawki!$G$8)=0,DATE(2099,12,31),Stawki!$G$8),IF(N(Stawki!$B$8)=0,DATE(2099,12,31),Stawki!$B$8)))</f>
        <v>45657</v>
      </c>
      <c r="I85" s="47" t="n">
        <f aca="false">IF(Wyliczenie!$B$5=Stawki!$K$7,N(Stawki!$H$8),IF(Wyliczenie!$B$5=Stawki!$K$6,N(Stawki!$D$8),N(Stawki!$C$8)))</f>
        <v>0.1575</v>
      </c>
      <c r="J85" s="48" t="n">
        <f aca="false">IF(OR(E85="",G85=0,D85=0),0,MAX(0,MIN(F85,H85)-MAX(E85,G85)+1))</f>
        <v>0</v>
      </c>
      <c r="K85" s="46" t="str">
        <f aca="false">IF(J85&gt;0,MAX(E85,G85),"")</f>
        <v/>
      </c>
      <c r="L85" s="46" t="str">
        <f aca="false">IF(J85&gt;0,MIN(F85,H85),"")</f>
        <v/>
      </c>
      <c r="M85" s="18" t="n">
        <f aca="false">IF(J85&gt;0,ROUND(D85*I85*J85/365,2),0)</f>
        <v>0</v>
      </c>
      <c r="N85" s="10" t="n">
        <f aca="false">IF(J85&gt;0,1,0)</f>
        <v>0</v>
      </c>
      <c r="O85" s="10" t="n">
        <f aca="false">O84+N85</f>
        <v>6</v>
      </c>
    </row>
    <row r="86" customFormat="false" ht="15" hidden="false" customHeight="false" outlineLevel="0" collapsed="false">
      <c r="A86" s="0" t="n">
        <v>6</v>
      </c>
      <c r="B86" s="0" t="n">
        <v>5</v>
      </c>
      <c r="C86" s="0" t="str">
        <f aca="false">IF(Wyliczenie!$A$26="","",Wyliczenie!$A$26)</f>
        <v/>
      </c>
      <c r="D86" s="18" t="n">
        <f aca="false">N(Wyliczenie!$B$26)</f>
        <v>0</v>
      </c>
      <c r="E86" s="46" t="str">
        <f aca="false">IF(Wyliczenie!$C$26="","",Wyliczenie!$C$26+1)</f>
        <v/>
      </c>
      <c r="F86" s="46" t="str">
        <f aca="false">IF(E86="","",IF(Wyliczenie!$D$26="",Wyliczenie!$B$6,Wyliczenie!$D$26))</f>
        <v/>
      </c>
      <c r="G86" s="46" t="n">
        <f aca="false">IF(Wyliczenie!$B$5=Stawki!$K$7,N(Stawki!$F$9),N(Stawki!$A$9))</f>
        <v>45658</v>
      </c>
      <c r="H86" s="46" t="n">
        <f aca="false">IF(G86=0,0,IF(Wyliczenie!$B$5=Stawki!$K$7,IF(N(Stawki!$G$9)=0,DATE(2099,12,31),Stawki!$G$9),IF(N(Stawki!$B$9)=0,DATE(2099,12,31),Stawki!$B$9)))</f>
        <v>45838</v>
      </c>
      <c r="I86" s="47" t="n">
        <f aca="false">IF(Wyliczenie!$B$5=Stawki!$K$7,N(Stawki!$H$9),IF(Wyliczenie!$B$5=Stawki!$K$6,N(Stawki!$D$9),N(Stawki!$C$9)))</f>
        <v>0.1575</v>
      </c>
      <c r="J86" s="48" t="n">
        <f aca="false">IF(OR(E86="",G86=0,D86=0),0,MAX(0,MIN(F86,H86)-MAX(E86,G86)+1))</f>
        <v>0</v>
      </c>
      <c r="K86" s="46" t="str">
        <f aca="false">IF(J86&gt;0,MAX(E86,G86),"")</f>
        <v/>
      </c>
      <c r="L86" s="46" t="str">
        <f aca="false">IF(J86&gt;0,MIN(F86,H86),"")</f>
        <v/>
      </c>
      <c r="M86" s="18" t="n">
        <f aca="false">IF(J86&gt;0,ROUND(D86*I86*J86/365,2),0)</f>
        <v>0</v>
      </c>
      <c r="N86" s="10" t="n">
        <f aca="false">IF(J86&gt;0,1,0)</f>
        <v>0</v>
      </c>
      <c r="O86" s="10" t="n">
        <f aca="false">O85+N86</f>
        <v>6</v>
      </c>
    </row>
    <row r="87" customFormat="false" ht="15" hidden="false" customHeight="false" outlineLevel="0" collapsed="false">
      <c r="A87" s="0" t="n">
        <v>6</v>
      </c>
      <c r="B87" s="0" t="n">
        <v>6</v>
      </c>
      <c r="C87" s="0" t="str">
        <f aca="false">IF(Wyliczenie!$A$26="","",Wyliczenie!$A$26)</f>
        <v/>
      </c>
      <c r="D87" s="18" t="n">
        <f aca="false">N(Wyliczenie!$B$26)</f>
        <v>0</v>
      </c>
      <c r="E87" s="46" t="str">
        <f aca="false">IF(Wyliczenie!$C$26="","",Wyliczenie!$C$26+1)</f>
        <v/>
      </c>
      <c r="F87" s="46" t="str">
        <f aca="false">IF(E87="","",IF(Wyliczenie!$D$26="",Wyliczenie!$B$6,Wyliczenie!$D$26))</f>
        <v/>
      </c>
      <c r="G87" s="46" t="n">
        <f aca="false">IF(Wyliczenie!$B$5=Stawki!$K$7,N(Stawki!$F$10),N(Stawki!$A$10))</f>
        <v>45839</v>
      </c>
      <c r="H87" s="46" t="n">
        <f aca="false">IF(G87=0,0,IF(Wyliczenie!$B$5=Stawki!$K$7,IF(N(Stawki!$G$10)=0,DATE(2099,12,31),Stawki!$G$10),IF(N(Stawki!$B$10)=0,DATE(2099,12,31),Stawki!$B$10)))</f>
        <v>46022</v>
      </c>
      <c r="I87" s="47" t="n">
        <f aca="false">IF(Wyliczenie!$B$5=Stawki!$K$7,N(Stawki!$H$10),IF(Wyliczenie!$B$5=Stawki!$K$6,N(Stawki!$D$10),N(Stawki!$C$10)))</f>
        <v>0.1525</v>
      </c>
      <c r="J87" s="48" t="n">
        <f aca="false">IF(OR(E87="",G87=0,D87=0),0,MAX(0,MIN(F87,H87)-MAX(E87,G87)+1))</f>
        <v>0</v>
      </c>
      <c r="K87" s="46" t="str">
        <f aca="false">IF(J87&gt;0,MAX(E87,G87),"")</f>
        <v/>
      </c>
      <c r="L87" s="46" t="str">
        <f aca="false">IF(J87&gt;0,MIN(F87,H87),"")</f>
        <v/>
      </c>
      <c r="M87" s="18" t="n">
        <f aca="false">IF(J87&gt;0,ROUND(D87*I87*J87/365,2),0)</f>
        <v>0</v>
      </c>
      <c r="N87" s="10" t="n">
        <f aca="false">IF(J87&gt;0,1,0)</f>
        <v>0</v>
      </c>
      <c r="O87" s="10" t="n">
        <f aca="false">O86+N87</f>
        <v>6</v>
      </c>
    </row>
    <row r="88" customFormat="false" ht="15" hidden="false" customHeight="false" outlineLevel="0" collapsed="false">
      <c r="A88" s="0" t="n">
        <v>6</v>
      </c>
      <c r="B88" s="0" t="n">
        <v>7</v>
      </c>
      <c r="C88" s="0" t="str">
        <f aca="false">IF(Wyliczenie!$A$26="","",Wyliczenie!$A$26)</f>
        <v/>
      </c>
      <c r="D88" s="18" t="n">
        <f aca="false">N(Wyliczenie!$B$26)</f>
        <v>0</v>
      </c>
      <c r="E88" s="46" t="str">
        <f aca="false">IF(Wyliczenie!$C$26="","",Wyliczenie!$C$26+1)</f>
        <v/>
      </c>
      <c r="F88" s="46" t="str">
        <f aca="false">IF(E88="","",IF(Wyliczenie!$D$26="",Wyliczenie!$B$6,Wyliczenie!$D$26))</f>
        <v/>
      </c>
      <c r="G88" s="46" t="n">
        <f aca="false">IF(Wyliczenie!$B$5=Stawki!$K$7,N(Stawki!$F$11),N(Stawki!$A$11))</f>
        <v>46023</v>
      </c>
      <c r="H88" s="46" t="n">
        <f aca="false">IF(G88=0,0,IF(Wyliczenie!$B$5=Stawki!$K$7,IF(N(Stawki!$G$11)=0,DATE(2099,12,31),Stawki!$G$11),IF(N(Stawki!$B$11)=0,DATE(2099,12,31),Stawki!$B$11)))</f>
        <v>46203</v>
      </c>
      <c r="I88" s="47" t="n">
        <f aca="false">IF(Wyliczenie!$B$5=Stawki!$K$7,N(Stawki!$H$11),IF(Wyliczenie!$B$5=Stawki!$K$6,N(Stawki!$D$11),N(Stawki!$C$11)))</f>
        <v>0.14</v>
      </c>
      <c r="J88" s="48" t="n">
        <f aca="false">IF(OR(E88="",G88=0,D88=0),0,MAX(0,MIN(F88,H88)-MAX(E88,G88)+1))</f>
        <v>0</v>
      </c>
      <c r="K88" s="46" t="str">
        <f aca="false">IF(J88&gt;0,MAX(E88,G88),"")</f>
        <v/>
      </c>
      <c r="L88" s="46" t="str">
        <f aca="false">IF(J88&gt;0,MIN(F88,H88),"")</f>
        <v/>
      </c>
      <c r="M88" s="18" t="n">
        <f aca="false">IF(J88&gt;0,ROUND(D88*I88*J88/365,2),0)</f>
        <v>0</v>
      </c>
      <c r="N88" s="10" t="n">
        <f aca="false">IF(J88&gt;0,1,0)</f>
        <v>0</v>
      </c>
      <c r="O88" s="10" t="n">
        <f aca="false">O87+N88</f>
        <v>6</v>
      </c>
    </row>
    <row r="89" customFormat="false" ht="15" hidden="false" customHeight="false" outlineLevel="0" collapsed="false">
      <c r="A89" s="0" t="n">
        <v>6</v>
      </c>
      <c r="B89" s="0" t="n">
        <v>8</v>
      </c>
      <c r="C89" s="0" t="str">
        <f aca="false">IF(Wyliczenie!$A$26="","",Wyliczenie!$A$26)</f>
        <v/>
      </c>
      <c r="D89" s="18" t="n">
        <f aca="false">N(Wyliczenie!$B$26)</f>
        <v>0</v>
      </c>
      <c r="E89" s="46" t="str">
        <f aca="false">IF(Wyliczenie!$C$26="","",Wyliczenie!$C$26+1)</f>
        <v/>
      </c>
      <c r="F89" s="46" t="str">
        <f aca="false">IF(E89="","",IF(Wyliczenie!$D$26="",Wyliczenie!$B$6,Wyliczenie!$D$26))</f>
        <v/>
      </c>
      <c r="G89" s="46" t="n">
        <f aca="false">IF(Wyliczenie!$B$5=Stawki!$K$7,N(Stawki!$F$12),N(Stawki!$A$12))</f>
        <v>46204</v>
      </c>
      <c r="H89" s="46" t="n">
        <f aca="false">IF(G89=0,0,IF(Wyliczenie!$B$5=Stawki!$K$7,IF(N(Stawki!$G$12)=0,DATE(2099,12,31),Stawki!$G$12),IF(N(Stawki!$B$12)=0,DATE(2099,12,31),Stawki!$B$12)))</f>
        <v>46387</v>
      </c>
      <c r="I89" s="47" t="n">
        <f aca="false">IF(Wyliczenie!$B$5=Stawki!$K$7,N(Stawki!$H$12),IF(Wyliczenie!$B$5=Stawki!$K$6,N(Stawki!$D$12),N(Stawki!$C$12)))</f>
        <v>0.1375</v>
      </c>
      <c r="J89" s="48" t="n">
        <f aca="false">IF(OR(E89="",G89=0,D89=0),0,MAX(0,MIN(F89,H89)-MAX(E89,G89)+1))</f>
        <v>0</v>
      </c>
      <c r="K89" s="46" t="str">
        <f aca="false">IF(J89&gt;0,MAX(E89,G89),"")</f>
        <v/>
      </c>
      <c r="L89" s="46" t="str">
        <f aca="false">IF(J89&gt;0,MIN(F89,H89),"")</f>
        <v/>
      </c>
      <c r="M89" s="18" t="n">
        <f aca="false">IF(J89&gt;0,ROUND(D89*I89*J89/365,2),0)</f>
        <v>0</v>
      </c>
      <c r="N89" s="10" t="n">
        <f aca="false">IF(J89&gt;0,1,0)</f>
        <v>0</v>
      </c>
      <c r="O89" s="10" t="n">
        <f aca="false">O88+N89</f>
        <v>6</v>
      </c>
    </row>
    <row r="90" customFormat="false" ht="15" hidden="false" customHeight="false" outlineLevel="0" collapsed="false">
      <c r="A90" s="0" t="n">
        <v>6</v>
      </c>
      <c r="B90" s="0" t="n">
        <v>9</v>
      </c>
      <c r="C90" s="0" t="str">
        <f aca="false">IF(Wyliczenie!$A$26="","",Wyliczenie!$A$26)</f>
        <v/>
      </c>
      <c r="D90" s="18" t="n">
        <f aca="false">N(Wyliczenie!$B$26)</f>
        <v>0</v>
      </c>
      <c r="E90" s="46" t="str">
        <f aca="false">IF(Wyliczenie!$C$26="","",Wyliczenie!$C$26+1)</f>
        <v/>
      </c>
      <c r="F90" s="46" t="str">
        <f aca="false">IF(E90="","",IF(Wyliczenie!$D$26="",Wyliczenie!$B$6,Wyliczenie!$D$26))</f>
        <v/>
      </c>
      <c r="G90" s="46" t="n">
        <f aca="false">IF(Wyliczenie!$B$5=Stawki!$K$7,N(Stawki!$F$13),N(Stawki!$A$13))</f>
        <v>0</v>
      </c>
      <c r="H90" s="46" t="n">
        <f aca="false">IF(G90=0,0,IF(Wyliczenie!$B$5=Stawki!$K$7,IF(N(Stawki!$G$13)=0,DATE(2099,12,31),Stawki!$G$13),IF(N(Stawki!$B$13)=0,DATE(2099,12,31),Stawki!$B$13)))</f>
        <v>0</v>
      </c>
      <c r="I90" s="47" t="n">
        <f aca="false">IF(Wyliczenie!$B$5=Stawki!$K$7,N(Stawki!$H$13),IF(Wyliczenie!$B$5=Stawki!$K$6,N(Stawki!$D$13),N(Stawki!$C$13)))</f>
        <v>0</v>
      </c>
      <c r="J90" s="48" t="n">
        <f aca="false">IF(OR(E90="",G90=0,D90=0),0,MAX(0,MIN(F90,H90)-MAX(E90,G90)+1))</f>
        <v>0</v>
      </c>
      <c r="K90" s="46" t="str">
        <f aca="false">IF(J90&gt;0,MAX(E90,G90),"")</f>
        <v/>
      </c>
      <c r="L90" s="46" t="str">
        <f aca="false">IF(J90&gt;0,MIN(F90,H90),"")</f>
        <v/>
      </c>
      <c r="M90" s="18" t="n">
        <f aca="false">IF(J90&gt;0,ROUND(D90*I90*J90/365,2),0)</f>
        <v>0</v>
      </c>
      <c r="N90" s="10" t="n">
        <f aca="false">IF(J90&gt;0,1,0)</f>
        <v>0</v>
      </c>
      <c r="O90" s="10" t="n">
        <f aca="false">O89+N90</f>
        <v>6</v>
      </c>
    </row>
    <row r="91" customFormat="false" ht="15" hidden="false" customHeight="false" outlineLevel="0" collapsed="false">
      <c r="A91" s="0" t="n">
        <v>6</v>
      </c>
      <c r="B91" s="0" t="n">
        <v>10</v>
      </c>
      <c r="C91" s="0" t="str">
        <f aca="false">IF(Wyliczenie!$A$26="","",Wyliczenie!$A$26)</f>
        <v/>
      </c>
      <c r="D91" s="18" t="n">
        <f aca="false">N(Wyliczenie!$B$26)</f>
        <v>0</v>
      </c>
      <c r="E91" s="46" t="str">
        <f aca="false">IF(Wyliczenie!$C$26="","",Wyliczenie!$C$26+1)</f>
        <v/>
      </c>
      <c r="F91" s="46" t="str">
        <f aca="false">IF(E91="","",IF(Wyliczenie!$D$26="",Wyliczenie!$B$6,Wyliczenie!$D$26))</f>
        <v/>
      </c>
      <c r="G91" s="46" t="n">
        <f aca="false">IF(Wyliczenie!$B$5=Stawki!$K$7,N(Stawki!$F$14),N(Stawki!$A$14))</f>
        <v>0</v>
      </c>
      <c r="H91" s="46" t="n">
        <f aca="false">IF(G91=0,0,IF(Wyliczenie!$B$5=Stawki!$K$7,IF(N(Stawki!$G$14)=0,DATE(2099,12,31),Stawki!$G$14),IF(N(Stawki!$B$14)=0,DATE(2099,12,31),Stawki!$B$14)))</f>
        <v>0</v>
      </c>
      <c r="I91" s="47" t="n">
        <f aca="false">IF(Wyliczenie!$B$5=Stawki!$K$7,N(Stawki!$H$14),IF(Wyliczenie!$B$5=Stawki!$K$6,N(Stawki!$D$14),N(Stawki!$C$14)))</f>
        <v>0</v>
      </c>
      <c r="J91" s="48" t="n">
        <f aca="false">IF(OR(E91="",G91=0,D91=0),0,MAX(0,MIN(F91,H91)-MAX(E91,G91)+1))</f>
        <v>0</v>
      </c>
      <c r="K91" s="46" t="str">
        <f aca="false">IF(J91&gt;0,MAX(E91,G91),"")</f>
        <v/>
      </c>
      <c r="L91" s="46" t="str">
        <f aca="false">IF(J91&gt;0,MIN(F91,H91),"")</f>
        <v/>
      </c>
      <c r="M91" s="18" t="n">
        <f aca="false">IF(J91&gt;0,ROUND(D91*I91*J91/365,2),0)</f>
        <v>0</v>
      </c>
      <c r="N91" s="10" t="n">
        <f aca="false">IF(J91&gt;0,1,0)</f>
        <v>0</v>
      </c>
      <c r="O91" s="10" t="n">
        <f aca="false">O90+N91</f>
        <v>6</v>
      </c>
    </row>
    <row r="92" customFormat="false" ht="15" hidden="false" customHeight="false" outlineLevel="0" collapsed="false">
      <c r="A92" s="0" t="n">
        <v>6</v>
      </c>
      <c r="B92" s="0" t="n">
        <v>11</v>
      </c>
      <c r="C92" s="0" t="str">
        <f aca="false">IF(Wyliczenie!$A$26="","",Wyliczenie!$A$26)</f>
        <v/>
      </c>
      <c r="D92" s="18" t="n">
        <f aca="false">N(Wyliczenie!$B$26)</f>
        <v>0</v>
      </c>
      <c r="E92" s="46" t="str">
        <f aca="false">IF(Wyliczenie!$C$26="","",Wyliczenie!$C$26+1)</f>
        <v/>
      </c>
      <c r="F92" s="46" t="str">
        <f aca="false">IF(E92="","",IF(Wyliczenie!$D$26="",Wyliczenie!$B$6,Wyliczenie!$D$26))</f>
        <v/>
      </c>
      <c r="G92" s="46" t="n">
        <f aca="false">IF(Wyliczenie!$B$5=Stawki!$K$7,N(Stawki!$F$15),N(Stawki!$A$15))</f>
        <v>0</v>
      </c>
      <c r="H92" s="46" t="n">
        <f aca="false">IF(G92=0,0,IF(Wyliczenie!$B$5=Stawki!$K$7,IF(N(Stawki!$G$15)=0,DATE(2099,12,31),Stawki!$G$15),IF(N(Stawki!$B$15)=0,DATE(2099,12,31),Stawki!$B$15)))</f>
        <v>0</v>
      </c>
      <c r="I92" s="47" t="n">
        <f aca="false">IF(Wyliczenie!$B$5=Stawki!$K$7,N(Stawki!$H$15),IF(Wyliczenie!$B$5=Stawki!$K$6,N(Stawki!$D$15),N(Stawki!$C$15)))</f>
        <v>0</v>
      </c>
      <c r="J92" s="48" t="n">
        <f aca="false">IF(OR(E92="",G92=0,D92=0),0,MAX(0,MIN(F92,H92)-MAX(E92,G92)+1))</f>
        <v>0</v>
      </c>
      <c r="K92" s="46" t="str">
        <f aca="false">IF(J92&gt;0,MAX(E92,G92),"")</f>
        <v/>
      </c>
      <c r="L92" s="46" t="str">
        <f aca="false">IF(J92&gt;0,MIN(F92,H92),"")</f>
        <v/>
      </c>
      <c r="M92" s="18" t="n">
        <f aca="false">IF(J92&gt;0,ROUND(D92*I92*J92/365,2),0)</f>
        <v>0</v>
      </c>
      <c r="N92" s="10" t="n">
        <f aca="false">IF(J92&gt;0,1,0)</f>
        <v>0</v>
      </c>
      <c r="O92" s="10" t="n">
        <f aca="false">O91+N92</f>
        <v>6</v>
      </c>
    </row>
    <row r="93" customFormat="false" ht="15" hidden="false" customHeight="false" outlineLevel="0" collapsed="false">
      <c r="A93" s="0" t="n">
        <v>6</v>
      </c>
      <c r="B93" s="0" t="n">
        <v>12</v>
      </c>
      <c r="C93" s="0" t="str">
        <f aca="false">IF(Wyliczenie!$A$26="","",Wyliczenie!$A$26)</f>
        <v/>
      </c>
      <c r="D93" s="18" t="n">
        <f aca="false">N(Wyliczenie!$B$26)</f>
        <v>0</v>
      </c>
      <c r="E93" s="46" t="str">
        <f aca="false">IF(Wyliczenie!$C$26="","",Wyliczenie!$C$26+1)</f>
        <v/>
      </c>
      <c r="F93" s="46" t="str">
        <f aca="false">IF(E93="","",IF(Wyliczenie!$D$26="",Wyliczenie!$B$6,Wyliczenie!$D$26))</f>
        <v/>
      </c>
      <c r="G93" s="46" t="n">
        <f aca="false">IF(Wyliczenie!$B$5=Stawki!$K$7,N(Stawki!$F$16),N(Stawki!$A$16))</f>
        <v>0</v>
      </c>
      <c r="H93" s="46" t="n">
        <f aca="false">IF(G93=0,0,IF(Wyliczenie!$B$5=Stawki!$K$7,IF(N(Stawki!$G$16)=0,DATE(2099,12,31),Stawki!$G$16),IF(N(Stawki!$B$16)=0,DATE(2099,12,31),Stawki!$B$16)))</f>
        <v>0</v>
      </c>
      <c r="I93" s="47" t="n">
        <f aca="false">IF(Wyliczenie!$B$5=Stawki!$K$7,N(Stawki!$H$16),IF(Wyliczenie!$B$5=Stawki!$K$6,N(Stawki!$D$16),N(Stawki!$C$16)))</f>
        <v>0</v>
      </c>
      <c r="J93" s="48" t="n">
        <f aca="false">IF(OR(E93="",G93=0,D93=0),0,MAX(0,MIN(F93,H93)-MAX(E93,G93)+1))</f>
        <v>0</v>
      </c>
      <c r="K93" s="46" t="str">
        <f aca="false">IF(J93&gt;0,MAX(E93,G93),"")</f>
        <v/>
      </c>
      <c r="L93" s="46" t="str">
        <f aca="false">IF(J93&gt;0,MIN(F93,H93),"")</f>
        <v/>
      </c>
      <c r="M93" s="18" t="n">
        <f aca="false">IF(J93&gt;0,ROUND(D93*I93*J93/365,2),0)</f>
        <v>0</v>
      </c>
      <c r="N93" s="10" t="n">
        <f aca="false">IF(J93&gt;0,1,0)</f>
        <v>0</v>
      </c>
      <c r="O93" s="10" t="n">
        <f aca="false">O92+N93</f>
        <v>6</v>
      </c>
    </row>
    <row r="94" customFormat="false" ht="15" hidden="false" customHeight="false" outlineLevel="0" collapsed="false">
      <c r="A94" s="0" t="n">
        <v>6</v>
      </c>
      <c r="B94" s="0" t="n">
        <v>13</v>
      </c>
      <c r="C94" s="0" t="str">
        <f aca="false">IF(Wyliczenie!$A$26="","",Wyliczenie!$A$26)</f>
        <v/>
      </c>
      <c r="D94" s="18" t="n">
        <f aca="false">N(Wyliczenie!$B$26)</f>
        <v>0</v>
      </c>
      <c r="E94" s="46" t="str">
        <f aca="false">IF(Wyliczenie!$C$26="","",Wyliczenie!$C$26+1)</f>
        <v/>
      </c>
      <c r="F94" s="46" t="str">
        <f aca="false">IF(E94="","",IF(Wyliczenie!$D$26="",Wyliczenie!$B$6,Wyliczenie!$D$26))</f>
        <v/>
      </c>
      <c r="G94" s="46" t="n">
        <f aca="false">IF(Wyliczenie!$B$5=Stawki!$K$7,N(Stawki!$F$17),N(Stawki!$A$17))</f>
        <v>0</v>
      </c>
      <c r="H94" s="46" t="n">
        <f aca="false">IF(G94=0,0,IF(Wyliczenie!$B$5=Stawki!$K$7,IF(N(Stawki!$G$17)=0,DATE(2099,12,31),Stawki!$G$17),IF(N(Stawki!$B$17)=0,DATE(2099,12,31),Stawki!$B$17)))</f>
        <v>0</v>
      </c>
      <c r="I94" s="47" t="n">
        <f aca="false">IF(Wyliczenie!$B$5=Stawki!$K$7,N(Stawki!$H$17),IF(Wyliczenie!$B$5=Stawki!$K$6,N(Stawki!$D$17),N(Stawki!$C$17)))</f>
        <v>0</v>
      </c>
      <c r="J94" s="48" t="n">
        <f aca="false">IF(OR(E94="",G94=0,D94=0),0,MAX(0,MIN(F94,H94)-MAX(E94,G94)+1))</f>
        <v>0</v>
      </c>
      <c r="K94" s="46" t="str">
        <f aca="false">IF(J94&gt;0,MAX(E94,G94),"")</f>
        <v/>
      </c>
      <c r="L94" s="46" t="str">
        <f aca="false">IF(J94&gt;0,MIN(F94,H94),"")</f>
        <v/>
      </c>
      <c r="M94" s="18" t="n">
        <f aca="false">IF(J94&gt;0,ROUND(D94*I94*J94/365,2),0)</f>
        <v>0</v>
      </c>
      <c r="N94" s="10" t="n">
        <f aca="false">IF(J94&gt;0,1,0)</f>
        <v>0</v>
      </c>
      <c r="O94" s="10" t="n">
        <f aca="false">O93+N94</f>
        <v>6</v>
      </c>
    </row>
    <row r="95" customFormat="false" ht="15" hidden="false" customHeight="false" outlineLevel="0" collapsed="false">
      <c r="A95" s="0" t="n">
        <v>6</v>
      </c>
      <c r="B95" s="0" t="n">
        <v>14</v>
      </c>
      <c r="C95" s="0" t="str">
        <f aca="false">IF(Wyliczenie!$A$26="","",Wyliczenie!$A$26)</f>
        <v/>
      </c>
      <c r="D95" s="18" t="n">
        <f aca="false">N(Wyliczenie!$B$26)</f>
        <v>0</v>
      </c>
      <c r="E95" s="46" t="str">
        <f aca="false">IF(Wyliczenie!$C$26="","",Wyliczenie!$C$26+1)</f>
        <v/>
      </c>
      <c r="F95" s="46" t="str">
        <f aca="false">IF(E95="","",IF(Wyliczenie!$D$26="",Wyliczenie!$B$6,Wyliczenie!$D$26))</f>
        <v/>
      </c>
      <c r="G95" s="46" t="n">
        <f aca="false">IF(Wyliczenie!$B$5=Stawki!$K$7,N(Stawki!$F$18),N(Stawki!$A$18))</f>
        <v>0</v>
      </c>
      <c r="H95" s="46" t="n">
        <f aca="false">IF(G95=0,0,IF(Wyliczenie!$B$5=Stawki!$K$7,IF(N(Stawki!$G$18)=0,DATE(2099,12,31),Stawki!$G$18),IF(N(Stawki!$B$18)=0,DATE(2099,12,31),Stawki!$B$18)))</f>
        <v>0</v>
      </c>
      <c r="I95" s="47" t="n">
        <f aca="false">IF(Wyliczenie!$B$5=Stawki!$K$7,N(Stawki!$H$18),IF(Wyliczenie!$B$5=Stawki!$K$6,N(Stawki!$D$18),N(Stawki!$C$18)))</f>
        <v>0</v>
      </c>
      <c r="J95" s="48" t="n">
        <f aca="false">IF(OR(E95="",G95=0,D95=0),0,MAX(0,MIN(F95,H95)-MAX(E95,G95)+1))</f>
        <v>0</v>
      </c>
      <c r="K95" s="46" t="str">
        <f aca="false">IF(J95&gt;0,MAX(E95,G95),"")</f>
        <v/>
      </c>
      <c r="L95" s="46" t="str">
        <f aca="false">IF(J95&gt;0,MIN(F95,H95),"")</f>
        <v/>
      </c>
      <c r="M95" s="18" t="n">
        <f aca="false">IF(J95&gt;0,ROUND(D95*I95*J95/365,2),0)</f>
        <v>0</v>
      </c>
      <c r="N95" s="10" t="n">
        <f aca="false">IF(J95&gt;0,1,0)</f>
        <v>0</v>
      </c>
      <c r="O95" s="10" t="n">
        <f aca="false">O94+N95</f>
        <v>6</v>
      </c>
    </row>
    <row r="96" customFormat="false" ht="15" hidden="false" customHeight="false" outlineLevel="0" collapsed="false">
      <c r="A96" s="0" t="n">
        <v>6</v>
      </c>
      <c r="B96" s="0" t="n">
        <v>15</v>
      </c>
      <c r="C96" s="0" t="str">
        <f aca="false">IF(Wyliczenie!$A$26="","",Wyliczenie!$A$26)</f>
        <v/>
      </c>
      <c r="D96" s="18" t="n">
        <f aca="false">N(Wyliczenie!$B$26)</f>
        <v>0</v>
      </c>
      <c r="E96" s="46" t="str">
        <f aca="false">IF(Wyliczenie!$C$26="","",Wyliczenie!$C$26+1)</f>
        <v/>
      </c>
      <c r="F96" s="46" t="str">
        <f aca="false">IF(E96="","",IF(Wyliczenie!$D$26="",Wyliczenie!$B$6,Wyliczenie!$D$26))</f>
        <v/>
      </c>
      <c r="G96" s="46" t="n">
        <f aca="false">IF(Wyliczenie!$B$5=Stawki!$K$7,N(Stawki!$F$19),N(Stawki!$A$19))</f>
        <v>0</v>
      </c>
      <c r="H96" s="46" t="n">
        <f aca="false">IF(G96=0,0,IF(Wyliczenie!$B$5=Stawki!$K$7,IF(N(Stawki!$G$19)=0,DATE(2099,12,31),Stawki!$G$19),IF(N(Stawki!$B$19)=0,DATE(2099,12,31),Stawki!$B$19)))</f>
        <v>0</v>
      </c>
      <c r="I96" s="47" t="n">
        <f aca="false">IF(Wyliczenie!$B$5=Stawki!$K$7,N(Stawki!$H$19),IF(Wyliczenie!$B$5=Stawki!$K$6,N(Stawki!$D$19),N(Stawki!$C$19)))</f>
        <v>0</v>
      </c>
      <c r="J96" s="48" t="n">
        <f aca="false">IF(OR(E96="",G96=0,D96=0),0,MAX(0,MIN(F96,H96)-MAX(E96,G96)+1))</f>
        <v>0</v>
      </c>
      <c r="K96" s="46" t="str">
        <f aca="false">IF(J96&gt;0,MAX(E96,G96),"")</f>
        <v/>
      </c>
      <c r="L96" s="46" t="str">
        <f aca="false">IF(J96&gt;0,MIN(F96,H96),"")</f>
        <v/>
      </c>
      <c r="M96" s="18" t="n">
        <f aca="false">IF(J96&gt;0,ROUND(D96*I96*J96/365,2),0)</f>
        <v>0</v>
      </c>
      <c r="N96" s="10" t="n">
        <f aca="false">IF(J96&gt;0,1,0)</f>
        <v>0</v>
      </c>
      <c r="O96" s="10" t="n">
        <f aca="false">O95+N96</f>
        <v>6</v>
      </c>
    </row>
    <row r="97" customFormat="false" ht="15" hidden="false" customHeight="false" outlineLevel="0" collapsed="false">
      <c r="A97" s="0" t="n">
        <v>6</v>
      </c>
      <c r="B97" s="0" t="n">
        <v>16</v>
      </c>
      <c r="C97" s="0" t="str">
        <f aca="false">IF(Wyliczenie!$A$26="","",Wyliczenie!$A$26)</f>
        <v/>
      </c>
      <c r="D97" s="18" t="n">
        <f aca="false">N(Wyliczenie!$B$26)</f>
        <v>0</v>
      </c>
      <c r="E97" s="46" t="str">
        <f aca="false">IF(Wyliczenie!$C$26="","",Wyliczenie!$C$26+1)</f>
        <v/>
      </c>
      <c r="F97" s="46" t="str">
        <f aca="false">IF(E97="","",IF(Wyliczenie!$D$26="",Wyliczenie!$B$6,Wyliczenie!$D$26))</f>
        <v/>
      </c>
      <c r="G97" s="46" t="n">
        <f aca="false">IF(Wyliczenie!$B$5=Stawki!$K$7,N(Stawki!$F$20),N(Stawki!$A$20))</f>
        <v>0</v>
      </c>
      <c r="H97" s="46" t="n">
        <f aca="false">IF(G97=0,0,IF(Wyliczenie!$B$5=Stawki!$K$7,IF(N(Stawki!$G$20)=0,DATE(2099,12,31),Stawki!$G$20),IF(N(Stawki!$B$20)=0,DATE(2099,12,31),Stawki!$B$20)))</f>
        <v>0</v>
      </c>
      <c r="I97" s="47" t="n">
        <f aca="false">IF(Wyliczenie!$B$5=Stawki!$K$7,N(Stawki!$H$20),IF(Wyliczenie!$B$5=Stawki!$K$6,N(Stawki!$D$20),N(Stawki!$C$20)))</f>
        <v>0</v>
      </c>
      <c r="J97" s="48" t="n">
        <f aca="false">IF(OR(E97="",G97=0,D97=0),0,MAX(0,MIN(F97,H97)-MAX(E97,G97)+1))</f>
        <v>0</v>
      </c>
      <c r="K97" s="46" t="str">
        <f aca="false">IF(J97&gt;0,MAX(E97,G97),"")</f>
        <v/>
      </c>
      <c r="L97" s="46" t="str">
        <f aca="false">IF(J97&gt;0,MIN(F97,H97),"")</f>
        <v/>
      </c>
      <c r="M97" s="18" t="n">
        <f aca="false">IF(J97&gt;0,ROUND(D97*I97*J97/365,2),0)</f>
        <v>0</v>
      </c>
      <c r="N97" s="10" t="n">
        <f aca="false">IF(J97&gt;0,1,0)</f>
        <v>0</v>
      </c>
      <c r="O97" s="10" t="n">
        <f aca="false">O96+N97</f>
        <v>6</v>
      </c>
    </row>
    <row r="98" customFormat="false" ht="15" hidden="false" customHeight="false" outlineLevel="0" collapsed="false">
      <c r="A98" s="0" t="n">
        <v>7</v>
      </c>
      <c r="B98" s="0" t="n">
        <v>1</v>
      </c>
      <c r="C98" s="0" t="str">
        <f aca="false">IF(Wyliczenie!$A$27="","",Wyliczenie!$A$27)</f>
        <v/>
      </c>
      <c r="D98" s="18" t="n">
        <f aca="false">N(Wyliczenie!$B$27)</f>
        <v>0</v>
      </c>
      <c r="E98" s="46" t="str">
        <f aca="false">IF(Wyliczenie!$C$27="","",Wyliczenie!$C$27+1)</f>
        <v/>
      </c>
      <c r="F98" s="46" t="str">
        <f aca="false">IF(E98="","",IF(Wyliczenie!$D$27="",Wyliczenie!$B$6,Wyliczenie!$D$27))</f>
        <v/>
      </c>
      <c r="G98" s="46" t="n">
        <f aca="false">IF(Wyliczenie!$B$5=Stawki!$K$7,N(Stawki!$F$5),N(Stawki!$A$5))</f>
        <v>44927</v>
      </c>
      <c r="H98" s="46" t="n">
        <f aca="false">IF(G98=0,0,IF(Wyliczenie!$B$5=Stawki!$K$7,IF(N(Stawki!$G$5)=0,DATE(2099,12,31),Stawki!$G$5),IF(N(Stawki!$B$5)=0,DATE(2099,12,31),Stawki!$B$5)))</f>
        <v>45107</v>
      </c>
      <c r="I98" s="47" t="n">
        <f aca="false">IF(Wyliczenie!$B$5=Stawki!$K$7,N(Stawki!$H$5),IF(Wyliczenie!$B$5=Stawki!$K$6,N(Stawki!$D$5),N(Stawki!$C$5)))</f>
        <v>0.1675</v>
      </c>
      <c r="J98" s="48" t="n">
        <f aca="false">IF(OR(E98="",G98=0,D98=0),0,MAX(0,MIN(F98,H98)-MAX(E98,G98)+1))</f>
        <v>0</v>
      </c>
      <c r="K98" s="46" t="str">
        <f aca="false">IF(J98&gt;0,MAX(E98,G98),"")</f>
        <v/>
      </c>
      <c r="L98" s="46" t="str">
        <f aca="false">IF(J98&gt;0,MIN(F98,H98),"")</f>
        <v/>
      </c>
      <c r="M98" s="18" t="n">
        <f aca="false">IF(J98&gt;0,ROUND(D98*I98*J98/365,2),0)</f>
        <v>0</v>
      </c>
      <c r="N98" s="10" t="n">
        <f aca="false">IF(J98&gt;0,1,0)</f>
        <v>0</v>
      </c>
      <c r="O98" s="10" t="n">
        <f aca="false">O97+N98</f>
        <v>6</v>
      </c>
    </row>
    <row r="99" customFormat="false" ht="15" hidden="false" customHeight="false" outlineLevel="0" collapsed="false">
      <c r="A99" s="0" t="n">
        <v>7</v>
      </c>
      <c r="B99" s="0" t="n">
        <v>2</v>
      </c>
      <c r="C99" s="0" t="str">
        <f aca="false">IF(Wyliczenie!$A$27="","",Wyliczenie!$A$27)</f>
        <v/>
      </c>
      <c r="D99" s="18" t="n">
        <f aca="false">N(Wyliczenie!$B$27)</f>
        <v>0</v>
      </c>
      <c r="E99" s="46" t="str">
        <f aca="false">IF(Wyliczenie!$C$27="","",Wyliczenie!$C$27+1)</f>
        <v/>
      </c>
      <c r="F99" s="46" t="str">
        <f aca="false">IF(E99="","",IF(Wyliczenie!$D$27="",Wyliczenie!$B$6,Wyliczenie!$D$27))</f>
        <v/>
      </c>
      <c r="G99" s="46" t="n">
        <f aca="false">IF(Wyliczenie!$B$5=Stawki!$K$7,N(Stawki!$F$6),N(Stawki!$A$6))</f>
        <v>45108</v>
      </c>
      <c r="H99" s="46" t="n">
        <f aca="false">IF(G99=0,0,IF(Wyliczenie!$B$5=Stawki!$K$7,IF(N(Stawki!$G$6)=0,DATE(2099,12,31),Stawki!$G$6),IF(N(Stawki!$B$6)=0,DATE(2099,12,31),Stawki!$B$6)))</f>
        <v>45291</v>
      </c>
      <c r="I99" s="47" t="n">
        <f aca="false">IF(Wyliczenie!$B$5=Stawki!$K$7,N(Stawki!$H$6),IF(Wyliczenie!$B$5=Stawki!$K$6,N(Stawki!$D$6),N(Stawki!$C$6)))</f>
        <v>0.1675</v>
      </c>
      <c r="J99" s="48" t="n">
        <f aca="false">IF(OR(E99="",G99=0,D99=0),0,MAX(0,MIN(F99,H99)-MAX(E99,G99)+1))</f>
        <v>0</v>
      </c>
      <c r="K99" s="46" t="str">
        <f aca="false">IF(J99&gt;0,MAX(E99,G99),"")</f>
        <v/>
      </c>
      <c r="L99" s="46" t="str">
        <f aca="false">IF(J99&gt;0,MIN(F99,H99),"")</f>
        <v/>
      </c>
      <c r="M99" s="18" t="n">
        <f aca="false">IF(J99&gt;0,ROUND(D99*I99*J99/365,2),0)</f>
        <v>0</v>
      </c>
      <c r="N99" s="10" t="n">
        <f aca="false">IF(J99&gt;0,1,0)</f>
        <v>0</v>
      </c>
      <c r="O99" s="10" t="n">
        <f aca="false">O98+N99</f>
        <v>6</v>
      </c>
    </row>
    <row r="100" customFormat="false" ht="15" hidden="false" customHeight="false" outlineLevel="0" collapsed="false">
      <c r="A100" s="0" t="n">
        <v>7</v>
      </c>
      <c r="B100" s="0" t="n">
        <v>3</v>
      </c>
      <c r="C100" s="0" t="str">
        <f aca="false">IF(Wyliczenie!$A$27="","",Wyliczenie!$A$27)</f>
        <v/>
      </c>
      <c r="D100" s="18" t="n">
        <f aca="false">N(Wyliczenie!$B$27)</f>
        <v>0</v>
      </c>
      <c r="E100" s="46" t="str">
        <f aca="false">IF(Wyliczenie!$C$27="","",Wyliczenie!$C$27+1)</f>
        <v/>
      </c>
      <c r="F100" s="46" t="str">
        <f aca="false">IF(E100="","",IF(Wyliczenie!$D$27="",Wyliczenie!$B$6,Wyliczenie!$D$27))</f>
        <v/>
      </c>
      <c r="G100" s="46" t="n">
        <f aca="false">IF(Wyliczenie!$B$5=Stawki!$K$7,N(Stawki!$F$7),N(Stawki!$A$7))</f>
        <v>45292</v>
      </c>
      <c r="H100" s="46" t="n">
        <f aca="false">IF(G100=0,0,IF(Wyliczenie!$B$5=Stawki!$K$7,IF(N(Stawki!$G$7)=0,DATE(2099,12,31),Stawki!$G$7),IF(N(Stawki!$B$7)=0,DATE(2099,12,31),Stawki!$B$7)))</f>
        <v>45473</v>
      </c>
      <c r="I100" s="47" t="n">
        <f aca="false">IF(Wyliczenie!$B$5=Stawki!$K$7,N(Stawki!$H$7),IF(Wyliczenie!$B$5=Stawki!$K$6,N(Stawki!$D$7),N(Stawki!$C$7)))</f>
        <v>0.1575</v>
      </c>
      <c r="J100" s="48" t="n">
        <f aca="false">IF(OR(E100="",G100=0,D100=0),0,MAX(0,MIN(F100,H100)-MAX(E100,G100)+1))</f>
        <v>0</v>
      </c>
      <c r="K100" s="46" t="str">
        <f aca="false">IF(J100&gt;0,MAX(E100,G100),"")</f>
        <v/>
      </c>
      <c r="L100" s="46" t="str">
        <f aca="false">IF(J100&gt;0,MIN(F100,H100),"")</f>
        <v/>
      </c>
      <c r="M100" s="18" t="n">
        <f aca="false">IF(J100&gt;0,ROUND(D100*I100*J100/365,2),0)</f>
        <v>0</v>
      </c>
      <c r="N100" s="10" t="n">
        <f aca="false">IF(J100&gt;0,1,0)</f>
        <v>0</v>
      </c>
      <c r="O100" s="10" t="n">
        <f aca="false">O99+N100</f>
        <v>6</v>
      </c>
    </row>
    <row r="101" customFormat="false" ht="15" hidden="false" customHeight="false" outlineLevel="0" collapsed="false">
      <c r="A101" s="0" t="n">
        <v>7</v>
      </c>
      <c r="B101" s="0" t="n">
        <v>4</v>
      </c>
      <c r="C101" s="0" t="str">
        <f aca="false">IF(Wyliczenie!$A$27="","",Wyliczenie!$A$27)</f>
        <v/>
      </c>
      <c r="D101" s="18" t="n">
        <f aca="false">N(Wyliczenie!$B$27)</f>
        <v>0</v>
      </c>
      <c r="E101" s="46" t="str">
        <f aca="false">IF(Wyliczenie!$C$27="","",Wyliczenie!$C$27+1)</f>
        <v/>
      </c>
      <c r="F101" s="46" t="str">
        <f aca="false">IF(E101="","",IF(Wyliczenie!$D$27="",Wyliczenie!$B$6,Wyliczenie!$D$27))</f>
        <v/>
      </c>
      <c r="G101" s="46" t="n">
        <f aca="false">IF(Wyliczenie!$B$5=Stawki!$K$7,N(Stawki!$F$8),N(Stawki!$A$8))</f>
        <v>45474</v>
      </c>
      <c r="H101" s="46" t="n">
        <f aca="false">IF(G101=0,0,IF(Wyliczenie!$B$5=Stawki!$K$7,IF(N(Stawki!$G$8)=0,DATE(2099,12,31),Stawki!$G$8),IF(N(Stawki!$B$8)=0,DATE(2099,12,31),Stawki!$B$8)))</f>
        <v>45657</v>
      </c>
      <c r="I101" s="47" t="n">
        <f aca="false">IF(Wyliczenie!$B$5=Stawki!$K$7,N(Stawki!$H$8),IF(Wyliczenie!$B$5=Stawki!$K$6,N(Stawki!$D$8),N(Stawki!$C$8)))</f>
        <v>0.1575</v>
      </c>
      <c r="J101" s="48" t="n">
        <f aca="false">IF(OR(E101="",G101=0,D101=0),0,MAX(0,MIN(F101,H101)-MAX(E101,G101)+1))</f>
        <v>0</v>
      </c>
      <c r="K101" s="46" t="str">
        <f aca="false">IF(J101&gt;0,MAX(E101,G101),"")</f>
        <v/>
      </c>
      <c r="L101" s="46" t="str">
        <f aca="false">IF(J101&gt;0,MIN(F101,H101),"")</f>
        <v/>
      </c>
      <c r="M101" s="18" t="n">
        <f aca="false">IF(J101&gt;0,ROUND(D101*I101*J101/365,2),0)</f>
        <v>0</v>
      </c>
      <c r="N101" s="10" t="n">
        <f aca="false">IF(J101&gt;0,1,0)</f>
        <v>0</v>
      </c>
      <c r="O101" s="10" t="n">
        <f aca="false">O100+N101</f>
        <v>6</v>
      </c>
    </row>
    <row r="102" customFormat="false" ht="15" hidden="false" customHeight="false" outlineLevel="0" collapsed="false">
      <c r="A102" s="0" t="n">
        <v>7</v>
      </c>
      <c r="B102" s="0" t="n">
        <v>5</v>
      </c>
      <c r="C102" s="0" t="str">
        <f aca="false">IF(Wyliczenie!$A$27="","",Wyliczenie!$A$27)</f>
        <v/>
      </c>
      <c r="D102" s="18" t="n">
        <f aca="false">N(Wyliczenie!$B$27)</f>
        <v>0</v>
      </c>
      <c r="E102" s="46" t="str">
        <f aca="false">IF(Wyliczenie!$C$27="","",Wyliczenie!$C$27+1)</f>
        <v/>
      </c>
      <c r="F102" s="46" t="str">
        <f aca="false">IF(E102="","",IF(Wyliczenie!$D$27="",Wyliczenie!$B$6,Wyliczenie!$D$27))</f>
        <v/>
      </c>
      <c r="G102" s="46" t="n">
        <f aca="false">IF(Wyliczenie!$B$5=Stawki!$K$7,N(Stawki!$F$9),N(Stawki!$A$9))</f>
        <v>45658</v>
      </c>
      <c r="H102" s="46" t="n">
        <f aca="false">IF(G102=0,0,IF(Wyliczenie!$B$5=Stawki!$K$7,IF(N(Stawki!$G$9)=0,DATE(2099,12,31),Stawki!$G$9),IF(N(Stawki!$B$9)=0,DATE(2099,12,31),Stawki!$B$9)))</f>
        <v>45838</v>
      </c>
      <c r="I102" s="47" t="n">
        <f aca="false">IF(Wyliczenie!$B$5=Stawki!$K$7,N(Stawki!$H$9),IF(Wyliczenie!$B$5=Stawki!$K$6,N(Stawki!$D$9),N(Stawki!$C$9)))</f>
        <v>0.1575</v>
      </c>
      <c r="J102" s="48" t="n">
        <f aca="false">IF(OR(E102="",G102=0,D102=0),0,MAX(0,MIN(F102,H102)-MAX(E102,G102)+1))</f>
        <v>0</v>
      </c>
      <c r="K102" s="46" t="str">
        <f aca="false">IF(J102&gt;0,MAX(E102,G102),"")</f>
        <v/>
      </c>
      <c r="L102" s="46" t="str">
        <f aca="false">IF(J102&gt;0,MIN(F102,H102),"")</f>
        <v/>
      </c>
      <c r="M102" s="18" t="n">
        <f aca="false">IF(J102&gt;0,ROUND(D102*I102*J102/365,2),0)</f>
        <v>0</v>
      </c>
      <c r="N102" s="10" t="n">
        <f aca="false">IF(J102&gt;0,1,0)</f>
        <v>0</v>
      </c>
      <c r="O102" s="10" t="n">
        <f aca="false">O101+N102</f>
        <v>6</v>
      </c>
    </row>
    <row r="103" customFormat="false" ht="15" hidden="false" customHeight="false" outlineLevel="0" collapsed="false">
      <c r="A103" s="0" t="n">
        <v>7</v>
      </c>
      <c r="B103" s="0" t="n">
        <v>6</v>
      </c>
      <c r="C103" s="0" t="str">
        <f aca="false">IF(Wyliczenie!$A$27="","",Wyliczenie!$A$27)</f>
        <v/>
      </c>
      <c r="D103" s="18" t="n">
        <f aca="false">N(Wyliczenie!$B$27)</f>
        <v>0</v>
      </c>
      <c r="E103" s="46" t="str">
        <f aca="false">IF(Wyliczenie!$C$27="","",Wyliczenie!$C$27+1)</f>
        <v/>
      </c>
      <c r="F103" s="46" t="str">
        <f aca="false">IF(E103="","",IF(Wyliczenie!$D$27="",Wyliczenie!$B$6,Wyliczenie!$D$27))</f>
        <v/>
      </c>
      <c r="G103" s="46" t="n">
        <f aca="false">IF(Wyliczenie!$B$5=Stawki!$K$7,N(Stawki!$F$10),N(Stawki!$A$10))</f>
        <v>45839</v>
      </c>
      <c r="H103" s="46" t="n">
        <f aca="false">IF(G103=0,0,IF(Wyliczenie!$B$5=Stawki!$K$7,IF(N(Stawki!$G$10)=0,DATE(2099,12,31),Stawki!$G$10),IF(N(Stawki!$B$10)=0,DATE(2099,12,31),Stawki!$B$10)))</f>
        <v>46022</v>
      </c>
      <c r="I103" s="47" t="n">
        <f aca="false">IF(Wyliczenie!$B$5=Stawki!$K$7,N(Stawki!$H$10),IF(Wyliczenie!$B$5=Stawki!$K$6,N(Stawki!$D$10),N(Stawki!$C$10)))</f>
        <v>0.1525</v>
      </c>
      <c r="J103" s="48" t="n">
        <f aca="false">IF(OR(E103="",G103=0,D103=0),0,MAX(0,MIN(F103,H103)-MAX(E103,G103)+1))</f>
        <v>0</v>
      </c>
      <c r="K103" s="46" t="str">
        <f aca="false">IF(J103&gt;0,MAX(E103,G103),"")</f>
        <v/>
      </c>
      <c r="L103" s="46" t="str">
        <f aca="false">IF(J103&gt;0,MIN(F103,H103),"")</f>
        <v/>
      </c>
      <c r="M103" s="18" t="n">
        <f aca="false">IF(J103&gt;0,ROUND(D103*I103*J103/365,2),0)</f>
        <v>0</v>
      </c>
      <c r="N103" s="10" t="n">
        <f aca="false">IF(J103&gt;0,1,0)</f>
        <v>0</v>
      </c>
      <c r="O103" s="10" t="n">
        <f aca="false">O102+N103</f>
        <v>6</v>
      </c>
    </row>
    <row r="104" customFormat="false" ht="15" hidden="false" customHeight="false" outlineLevel="0" collapsed="false">
      <c r="A104" s="0" t="n">
        <v>7</v>
      </c>
      <c r="B104" s="0" t="n">
        <v>7</v>
      </c>
      <c r="C104" s="0" t="str">
        <f aca="false">IF(Wyliczenie!$A$27="","",Wyliczenie!$A$27)</f>
        <v/>
      </c>
      <c r="D104" s="18" t="n">
        <f aca="false">N(Wyliczenie!$B$27)</f>
        <v>0</v>
      </c>
      <c r="E104" s="46" t="str">
        <f aca="false">IF(Wyliczenie!$C$27="","",Wyliczenie!$C$27+1)</f>
        <v/>
      </c>
      <c r="F104" s="46" t="str">
        <f aca="false">IF(E104="","",IF(Wyliczenie!$D$27="",Wyliczenie!$B$6,Wyliczenie!$D$27))</f>
        <v/>
      </c>
      <c r="G104" s="46" t="n">
        <f aca="false">IF(Wyliczenie!$B$5=Stawki!$K$7,N(Stawki!$F$11),N(Stawki!$A$11))</f>
        <v>46023</v>
      </c>
      <c r="H104" s="46" t="n">
        <f aca="false">IF(G104=0,0,IF(Wyliczenie!$B$5=Stawki!$K$7,IF(N(Stawki!$G$11)=0,DATE(2099,12,31),Stawki!$G$11),IF(N(Stawki!$B$11)=0,DATE(2099,12,31),Stawki!$B$11)))</f>
        <v>46203</v>
      </c>
      <c r="I104" s="47" t="n">
        <f aca="false">IF(Wyliczenie!$B$5=Stawki!$K$7,N(Stawki!$H$11),IF(Wyliczenie!$B$5=Stawki!$K$6,N(Stawki!$D$11),N(Stawki!$C$11)))</f>
        <v>0.14</v>
      </c>
      <c r="J104" s="48" t="n">
        <f aca="false">IF(OR(E104="",G104=0,D104=0),0,MAX(0,MIN(F104,H104)-MAX(E104,G104)+1))</f>
        <v>0</v>
      </c>
      <c r="K104" s="46" t="str">
        <f aca="false">IF(J104&gt;0,MAX(E104,G104),"")</f>
        <v/>
      </c>
      <c r="L104" s="46" t="str">
        <f aca="false">IF(J104&gt;0,MIN(F104,H104),"")</f>
        <v/>
      </c>
      <c r="M104" s="18" t="n">
        <f aca="false">IF(J104&gt;0,ROUND(D104*I104*J104/365,2),0)</f>
        <v>0</v>
      </c>
      <c r="N104" s="10" t="n">
        <f aca="false">IF(J104&gt;0,1,0)</f>
        <v>0</v>
      </c>
      <c r="O104" s="10" t="n">
        <f aca="false">O103+N104</f>
        <v>6</v>
      </c>
    </row>
    <row r="105" customFormat="false" ht="15" hidden="false" customHeight="false" outlineLevel="0" collapsed="false">
      <c r="A105" s="0" t="n">
        <v>7</v>
      </c>
      <c r="B105" s="0" t="n">
        <v>8</v>
      </c>
      <c r="C105" s="0" t="str">
        <f aca="false">IF(Wyliczenie!$A$27="","",Wyliczenie!$A$27)</f>
        <v/>
      </c>
      <c r="D105" s="18" t="n">
        <f aca="false">N(Wyliczenie!$B$27)</f>
        <v>0</v>
      </c>
      <c r="E105" s="46" t="str">
        <f aca="false">IF(Wyliczenie!$C$27="","",Wyliczenie!$C$27+1)</f>
        <v/>
      </c>
      <c r="F105" s="46" t="str">
        <f aca="false">IF(E105="","",IF(Wyliczenie!$D$27="",Wyliczenie!$B$6,Wyliczenie!$D$27))</f>
        <v/>
      </c>
      <c r="G105" s="46" t="n">
        <f aca="false">IF(Wyliczenie!$B$5=Stawki!$K$7,N(Stawki!$F$12),N(Stawki!$A$12))</f>
        <v>46204</v>
      </c>
      <c r="H105" s="46" t="n">
        <f aca="false">IF(G105=0,0,IF(Wyliczenie!$B$5=Stawki!$K$7,IF(N(Stawki!$G$12)=0,DATE(2099,12,31),Stawki!$G$12),IF(N(Stawki!$B$12)=0,DATE(2099,12,31),Stawki!$B$12)))</f>
        <v>46387</v>
      </c>
      <c r="I105" s="47" t="n">
        <f aca="false">IF(Wyliczenie!$B$5=Stawki!$K$7,N(Stawki!$H$12),IF(Wyliczenie!$B$5=Stawki!$K$6,N(Stawki!$D$12),N(Stawki!$C$12)))</f>
        <v>0.1375</v>
      </c>
      <c r="J105" s="48" t="n">
        <f aca="false">IF(OR(E105="",G105=0,D105=0),0,MAX(0,MIN(F105,H105)-MAX(E105,G105)+1))</f>
        <v>0</v>
      </c>
      <c r="K105" s="46" t="str">
        <f aca="false">IF(J105&gt;0,MAX(E105,G105),"")</f>
        <v/>
      </c>
      <c r="L105" s="46" t="str">
        <f aca="false">IF(J105&gt;0,MIN(F105,H105),"")</f>
        <v/>
      </c>
      <c r="M105" s="18" t="n">
        <f aca="false">IF(J105&gt;0,ROUND(D105*I105*J105/365,2),0)</f>
        <v>0</v>
      </c>
      <c r="N105" s="10" t="n">
        <f aca="false">IF(J105&gt;0,1,0)</f>
        <v>0</v>
      </c>
      <c r="O105" s="10" t="n">
        <f aca="false">O104+N105</f>
        <v>6</v>
      </c>
    </row>
    <row r="106" customFormat="false" ht="15" hidden="false" customHeight="false" outlineLevel="0" collapsed="false">
      <c r="A106" s="0" t="n">
        <v>7</v>
      </c>
      <c r="B106" s="0" t="n">
        <v>9</v>
      </c>
      <c r="C106" s="0" t="str">
        <f aca="false">IF(Wyliczenie!$A$27="","",Wyliczenie!$A$27)</f>
        <v/>
      </c>
      <c r="D106" s="18" t="n">
        <f aca="false">N(Wyliczenie!$B$27)</f>
        <v>0</v>
      </c>
      <c r="E106" s="46" t="str">
        <f aca="false">IF(Wyliczenie!$C$27="","",Wyliczenie!$C$27+1)</f>
        <v/>
      </c>
      <c r="F106" s="46" t="str">
        <f aca="false">IF(E106="","",IF(Wyliczenie!$D$27="",Wyliczenie!$B$6,Wyliczenie!$D$27))</f>
        <v/>
      </c>
      <c r="G106" s="46" t="n">
        <f aca="false">IF(Wyliczenie!$B$5=Stawki!$K$7,N(Stawki!$F$13),N(Stawki!$A$13))</f>
        <v>0</v>
      </c>
      <c r="H106" s="46" t="n">
        <f aca="false">IF(G106=0,0,IF(Wyliczenie!$B$5=Stawki!$K$7,IF(N(Stawki!$G$13)=0,DATE(2099,12,31),Stawki!$G$13),IF(N(Stawki!$B$13)=0,DATE(2099,12,31),Stawki!$B$13)))</f>
        <v>0</v>
      </c>
      <c r="I106" s="47" t="n">
        <f aca="false">IF(Wyliczenie!$B$5=Stawki!$K$7,N(Stawki!$H$13),IF(Wyliczenie!$B$5=Stawki!$K$6,N(Stawki!$D$13),N(Stawki!$C$13)))</f>
        <v>0</v>
      </c>
      <c r="J106" s="48" t="n">
        <f aca="false">IF(OR(E106="",G106=0,D106=0),0,MAX(0,MIN(F106,H106)-MAX(E106,G106)+1))</f>
        <v>0</v>
      </c>
      <c r="K106" s="46" t="str">
        <f aca="false">IF(J106&gt;0,MAX(E106,G106),"")</f>
        <v/>
      </c>
      <c r="L106" s="46" t="str">
        <f aca="false">IF(J106&gt;0,MIN(F106,H106),"")</f>
        <v/>
      </c>
      <c r="M106" s="18" t="n">
        <f aca="false">IF(J106&gt;0,ROUND(D106*I106*J106/365,2),0)</f>
        <v>0</v>
      </c>
      <c r="N106" s="10" t="n">
        <f aca="false">IF(J106&gt;0,1,0)</f>
        <v>0</v>
      </c>
      <c r="O106" s="10" t="n">
        <f aca="false">O105+N106</f>
        <v>6</v>
      </c>
    </row>
    <row r="107" customFormat="false" ht="15" hidden="false" customHeight="false" outlineLevel="0" collapsed="false">
      <c r="A107" s="0" t="n">
        <v>7</v>
      </c>
      <c r="B107" s="0" t="n">
        <v>10</v>
      </c>
      <c r="C107" s="0" t="str">
        <f aca="false">IF(Wyliczenie!$A$27="","",Wyliczenie!$A$27)</f>
        <v/>
      </c>
      <c r="D107" s="18" t="n">
        <f aca="false">N(Wyliczenie!$B$27)</f>
        <v>0</v>
      </c>
      <c r="E107" s="46" t="str">
        <f aca="false">IF(Wyliczenie!$C$27="","",Wyliczenie!$C$27+1)</f>
        <v/>
      </c>
      <c r="F107" s="46" t="str">
        <f aca="false">IF(E107="","",IF(Wyliczenie!$D$27="",Wyliczenie!$B$6,Wyliczenie!$D$27))</f>
        <v/>
      </c>
      <c r="G107" s="46" t="n">
        <f aca="false">IF(Wyliczenie!$B$5=Stawki!$K$7,N(Stawki!$F$14),N(Stawki!$A$14))</f>
        <v>0</v>
      </c>
      <c r="H107" s="46" t="n">
        <f aca="false">IF(G107=0,0,IF(Wyliczenie!$B$5=Stawki!$K$7,IF(N(Stawki!$G$14)=0,DATE(2099,12,31),Stawki!$G$14),IF(N(Stawki!$B$14)=0,DATE(2099,12,31),Stawki!$B$14)))</f>
        <v>0</v>
      </c>
      <c r="I107" s="47" t="n">
        <f aca="false">IF(Wyliczenie!$B$5=Stawki!$K$7,N(Stawki!$H$14),IF(Wyliczenie!$B$5=Stawki!$K$6,N(Stawki!$D$14),N(Stawki!$C$14)))</f>
        <v>0</v>
      </c>
      <c r="J107" s="48" t="n">
        <f aca="false">IF(OR(E107="",G107=0,D107=0),0,MAX(0,MIN(F107,H107)-MAX(E107,G107)+1))</f>
        <v>0</v>
      </c>
      <c r="K107" s="46" t="str">
        <f aca="false">IF(J107&gt;0,MAX(E107,G107),"")</f>
        <v/>
      </c>
      <c r="L107" s="46" t="str">
        <f aca="false">IF(J107&gt;0,MIN(F107,H107),"")</f>
        <v/>
      </c>
      <c r="M107" s="18" t="n">
        <f aca="false">IF(J107&gt;0,ROUND(D107*I107*J107/365,2),0)</f>
        <v>0</v>
      </c>
      <c r="N107" s="10" t="n">
        <f aca="false">IF(J107&gt;0,1,0)</f>
        <v>0</v>
      </c>
      <c r="O107" s="10" t="n">
        <f aca="false">O106+N107</f>
        <v>6</v>
      </c>
    </row>
    <row r="108" customFormat="false" ht="15" hidden="false" customHeight="false" outlineLevel="0" collapsed="false">
      <c r="A108" s="0" t="n">
        <v>7</v>
      </c>
      <c r="B108" s="0" t="n">
        <v>11</v>
      </c>
      <c r="C108" s="0" t="str">
        <f aca="false">IF(Wyliczenie!$A$27="","",Wyliczenie!$A$27)</f>
        <v/>
      </c>
      <c r="D108" s="18" t="n">
        <f aca="false">N(Wyliczenie!$B$27)</f>
        <v>0</v>
      </c>
      <c r="E108" s="46" t="str">
        <f aca="false">IF(Wyliczenie!$C$27="","",Wyliczenie!$C$27+1)</f>
        <v/>
      </c>
      <c r="F108" s="46" t="str">
        <f aca="false">IF(E108="","",IF(Wyliczenie!$D$27="",Wyliczenie!$B$6,Wyliczenie!$D$27))</f>
        <v/>
      </c>
      <c r="G108" s="46" t="n">
        <f aca="false">IF(Wyliczenie!$B$5=Stawki!$K$7,N(Stawki!$F$15),N(Stawki!$A$15))</f>
        <v>0</v>
      </c>
      <c r="H108" s="46" t="n">
        <f aca="false">IF(G108=0,0,IF(Wyliczenie!$B$5=Stawki!$K$7,IF(N(Stawki!$G$15)=0,DATE(2099,12,31),Stawki!$G$15),IF(N(Stawki!$B$15)=0,DATE(2099,12,31),Stawki!$B$15)))</f>
        <v>0</v>
      </c>
      <c r="I108" s="47" t="n">
        <f aca="false">IF(Wyliczenie!$B$5=Stawki!$K$7,N(Stawki!$H$15),IF(Wyliczenie!$B$5=Stawki!$K$6,N(Stawki!$D$15),N(Stawki!$C$15)))</f>
        <v>0</v>
      </c>
      <c r="J108" s="48" t="n">
        <f aca="false">IF(OR(E108="",G108=0,D108=0),0,MAX(0,MIN(F108,H108)-MAX(E108,G108)+1))</f>
        <v>0</v>
      </c>
      <c r="K108" s="46" t="str">
        <f aca="false">IF(J108&gt;0,MAX(E108,G108),"")</f>
        <v/>
      </c>
      <c r="L108" s="46" t="str">
        <f aca="false">IF(J108&gt;0,MIN(F108,H108),"")</f>
        <v/>
      </c>
      <c r="M108" s="18" t="n">
        <f aca="false">IF(J108&gt;0,ROUND(D108*I108*J108/365,2),0)</f>
        <v>0</v>
      </c>
      <c r="N108" s="10" t="n">
        <f aca="false">IF(J108&gt;0,1,0)</f>
        <v>0</v>
      </c>
      <c r="O108" s="10" t="n">
        <f aca="false">O107+N108</f>
        <v>6</v>
      </c>
    </row>
    <row r="109" customFormat="false" ht="15" hidden="false" customHeight="false" outlineLevel="0" collapsed="false">
      <c r="A109" s="0" t="n">
        <v>7</v>
      </c>
      <c r="B109" s="0" t="n">
        <v>12</v>
      </c>
      <c r="C109" s="0" t="str">
        <f aca="false">IF(Wyliczenie!$A$27="","",Wyliczenie!$A$27)</f>
        <v/>
      </c>
      <c r="D109" s="18" t="n">
        <f aca="false">N(Wyliczenie!$B$27)</f>
        <v>0</v>
      </c>
      <c r="E109" s="46" t="str">
        <f aca="false">IF(Wyliczenie!$C$27="","",Wyliczenie!$C$27+1)</f>
        <v/>
      </c>
      <c r="F109" s="46" t="str">
        <f aca="false">IF(E109="","",IF(Wyliczenie!$D$27="",Wyliczenie!$B$6,Wyliczenie!$D$27))</f>
        <v/>
      </c>
      <c r="G109" s="46" t="n">
        <f aca="false">IF(Wyliczenie!$B$5=Stawki!$K$7,N(Stawki!$F$16),N(Stawki!$A$16))</f>
        <v>0</v>
      </c>
      <c r="H109" s="46" t="n">
        <f aca="false">IF(G109=0,0,IF(Wyliczenie!$B$5=Stawki!$K$7,IF(N(Stawki!$G$16)=0,DATE(2099,12,31),Stawki!$G$16),IF(N(Stawki!$B$16)=0,DATE(2099,12,31),Stawki!$B$16)))</f>
        <v>0</v>
      </c>
      <c r="I109" s="47" t="n">
        <f aca="false">IF(Wyliczenie!$B$5=Stawki!$K$7,N(Stawki!$H$16),IF(Wyliczenie!$B$5=Stawki!$K$6,N(Stawki!$D$16),N(Stawki!$C$16)))</f>
        <v>0</v>
      </c>
      <c r="J109" s="48" t="n">
        <f aca="false">IF(OR(E109="",G109=0,D109=0),0,MAX(0,MIN(F109,H109)-MAX(E109,G109)+1))</f>
        <v>0</v>
      </c>
      <c r="K109" s="46" t="str">
        <f aca="false">IF(J109&gt;0,MAX(E109,G109),"")</f>
        <v/>
      </c>
      <c r="L109" s="46" t="str">
        <f aca="false">IF(J109&gt;0,MIN(F109,H109),"")</f>
        <v/>
      </c>
      <c r="M109" s="18" t="n">
        <f aca="false">IF(J109&gt;0,ROUND(D109*I109*J109/365,2),0)</f>
        <v>0</v>
      </c>
      <c r="N109" s="10" t="n">
        <f aca="false">IF(J109&gt;0,1,0)</f>
        <v>0</v>
      </c>
      <c r="O109" s="10" t="n">
        <f aca="false">O108+N109</f>
        <v>6</v>
      </c>
    </row>
    <row r="110" customFormat="false" ht="15" hidden="false" customHeight="false" outlineLevel="0" collapsed="false">
      <c r="A110" s="0" t="n">
        <v>7</v>
      </c>
      <c r="B110" s="0" t="n">
        <v>13</v>
      </c>
      <c r="C110" s="0" t="str">
        <f aca="false">IF(Wyliczenie!$A$27="","",Wyliczenie!$A$27)</f>
        <v/>
      </c>
      <c r="D110" s="18" t="n">
        <f aca="false">N(Wyliczenie!$B$27)</f>
        <v>0</v>
      </c>
      <c r="E110" s="46" t="str">
        <f aca="false">IF(Wyliczenie!$C$27="","",Wyliczenie!$C$27+1)</f>
        <v/>
      </c>
      <c r="F110" s="46" t="str">
        <f aca="false">IF(E110="","",IF(Wyliczenie!$D$27="",Wyliczenie!$B$6,Wyliczenie!$D$27))</f>
        <v/>
      </c>
      <c r="G110" s="46" t="n">
        <f aca="false">IF(Wyliczenie!$B$5=Stawki!$K$7,N(Stawki!$F$17),N(Stawki!$A$17))</f>
        <v>0</v>
      </c>
      <c r="H110" s="46" t="n">
        <f aca="false">IF(G110=0,0,IF(Wyliczenie!$B$5=Stawki!$K$7,IF(N(Stawki!$G$17)=0,DATE(2099,12,31),Stawki!$G$17),IF(N(Stawki!$B$17)=0,DATE(2099,12,31),Stawki!$B$17)))</f>
        <v>0</v>
      </c>
      <c r="I110" s="47" t="n">
        <f aca="false">IF(Wyliczenie!$B$5=Stawki!$K$7,N(Stawki!$H$17),IF(Wyliczenie!$B$5=Stawki!$K$6,N(Stawki!$D$17),N(Stawki!$C$17)))</f>
        <v>0</v>
      </c>
      <c r="J110" s="48" t="n">
        <f aca="false">IF(OR(E110="",G110=0,D110=0),0,MAX(0,MIN(F110,H110)-MAX(E110,G110)+1))</f>
        <v>0</v>
      </c>
      <c r="K110" s="46" t="str">
        <f aca="false">IF(J110&gt;0,MAX(E110,G110),"")</f>
        <v/>
      </c>
      <c r="L110" s="46" t="str">
        <f aca="false">IF(J110&gt;0,MIN(F110,H110),"")</f>
        <v/>
      </c>
      <c r="M110" s="18" t="n">
        <f aca="false">IF(J110&gt;0,ROUND(D110*I110*J110/365,2),0)</f>
        <v>0</v>
      </c>
      <c r="N110" s="10" t="n">
        <f aca="false">IF(J110&gt;0,1,0)</f>
        <v>0</v>
      </c>
      <c r="O110" s="10" t="n">
        <f aca="false">O109+N110</f>
        <v>6</v>
      </c>
    </row>
    <row r="111" customFormat="false" ht="15" hidden="false" customHeight="false" outlineLevel="0" collapsed="false">
      <c r="A111" s="0" t="n">
        <v>7</v>
      </c>
      <c r="B111" s="0" t="n">
        <v>14</v>
      </c>
      <c r="C111" s="0" t="str">
        <f aca="false">IF(Wyliczenie!$A$27="","",Wyliczenie!$A$27)</f>
        <v/>
      </c>
      <c r="D111" s="18" t="n">
        <f aca="false">N(Wyliczenie!$B$27)</f>
        <v>0</v>
      </c>
      <c r="E111" s="46" t="str">
        <f aca="false">IF(Wyliczenie!$C$27="","",Wyliczenie!$C$27+1)</f>
        <v/>
      </c>
      <c r="F111" s="46" t="str">
        <f aca="false">IF(E111="","",IF(Wyliczenie!$D$27="",Wyliczenie!$B$6,Wyliczenie!$D$27))</f>
        <v/>
      </c>
      <c r="G111" s="46" t="n">
        <f aca="false">IF(Wyliczenie!$B$5=Stawki!$K$7,N(Stawki!$F$18),N(Stawki!$A$18))</f>
        <v>0</v>
      </c>
      <c r="H111" s="46" t="n">
        <f aca="false">IF(G111=0,0,IF(Wyliczenie!$B$5=Stawki!$K$7,IF(N(Stawki!$G$18)=0,DATE(2099,12,31),Stawki!$G$18),IF(N(Stawki!$B$18)=0,DATE(2099,12,31),Stawki!$B$18)))</f>
        <v>0</v>
      </c>
      <c r="I111" s="47" t="n">
        <f aca="false">IF(Wyliczenie!$B$5=Stawki!$K$7,N(Stawki!$H$18),IF(Wyliczenie!$B$5=Stawki!$K$6,N(Stawki!$D$18),N(Stawki!$C$18)))</f>
        <v>0</v>
      </c>
      <c r="J111" s="48" t="n">
        <f aca="false">IF(OR(E111="",G111=0,D111=0),0,MAX(0,MIN(F111,H111)-MAX(E111,G111)+1))</f>
        <v>0</v>
      </c>
      <c r="K111" s="46" t="str">
        <f aca="false">IF(J111&gt;0,MAX(E111,G111),"")</f>
        <v/>
      </c>
      <c r="L111" s="46" t="str">
        <f aca="false">IF(J111&gt;0,MIN(F111,H111),"")</f>
        <v/>
      </c>
      <c r="M111" s="18" t="n">
        <f aca="false">IF(J111&gt;0,ROUND(D111*I111*J111/365,2),0)</f>
        <v>0</v>
      </c>
      <c r="N111" s="10" t="n">
        <f aca="false">IF(J111&gt;0,1,0)</f>
        <v>0</v>
      </c>
      <c r="O111" s="10" t="n">
        <f aca="false">O110+N111</f>
        <v>6</v>
      </c>
    </row>
    <row r="112" customFormat="false" ht="15" hidden="false" customHeight="false" outlineLevel="0" collapsed="false">
      <c r="A112" s="0" t="n">
        <v>7</v>
      </c>
      <c r="B112" s="0" t="n">
        <v>15</v>
      </c>
      <c r="C112" s="0" t="str">
        <f aca="false">IF(Wyliczenie!$A$27="","",Wyliczenie!$A$27)</f>
        <v/>
      </c>
      <c r="D112" s="18" t="n">
        <f aca="false">N(Wyliczenie!$B$27)</f>
        <v>0</v>
      </c>
      <c r="E112" s="46" t="str">
        <f aca="false">IF(Wyliczenie!$C$27="","",Wyliczenie!$C$27+1)</f>
        <v/>
      </c>
      <c r="F112" s="46" t="str">
        <f aca="false">IF(E112="","",IF(Wyliczenie!$D$27="",Wyliczenie!$B$6,Wyliczenie!$D$27))</f>
        <v/>
      </c>
      <c r="G112" s="46" t="n">
        <f aca="false">IF(Wyliczenie!$B$5=Stawki!$K$7,N(Stawki!$F$19),N(Stawki!$A$19))</f>
        <v>0</v>
      </c>
      <c r="H112" s="46" t="n">
        <f aca="false">IF(G112=0,0,IF(Wyliczenie!$B$5=Stawki!$K$7,IF(N(Stawki!$G$19)=0,DATE(2099,12,31),Stawki!$G$19),IF(N(Stawki!$B$19)=0,DATE(2099,12,31),Stawki!$B$19)))</f>
        <v>0</v>
      </c>
      <c r="I112" s="47" t="n">
        <f aca="false">IF(Wyliczenie!$B$5=Stawki!$K$7,N(Stawki!$H$19),IF(Wyliczenie!$B$5=Stawki!$K$6,N(Stawki!$D$19),N(Stawki!$C$19)))</f>
        <v>0</v>
      </c>
      <c r="J112" s="48" t="n">
        <f aca="false">IF(OR(E112="",G112=0,D112=0),0,MAX(0,MIN(F112,H112)-MAX(E112,G112)+1))</f>
        <v>0</v>
      </c>
      <c r="K112" s="46" t="str">
        <f aca="false">IF(J112&gt;0,MAX(E112,G112),"")</f>
        <v/>
      </c>
      <c r="L112" s="46" t="str">
        <f aca="false">IF(J112&gt;0,MIN(F112,H112),"")</f>
        <v/>
      </c>
      <c r="M112" s="18" t="n">
        <f aca="false">IF(J112&gt;0,ROUND(D112*I112*J112/365,2),0)</f>
        <v>0</v>
      </c>
      <c r="N112" s="10" t="n">
        <f aca="false">IF(J112&gt;0,1,0)</f>
        <v>0</v>
      </c>
      <c r="O112" s="10" t="n">
        <f aca="false">O111+N112</f>
        <v>6</v>
      </c>
    </row>
    <row r="113" customFormat="false" ht="15" hidden="false" customHeight="false" outlineLevel="0" collapsed="false">
      <c r="A113" s="0" t="n">
        <v>7</v>
      </c>
      <c r="B113" s="0" t="n">
        <v>16</v>
      </c>
      <c r="C113" s="0" t="str">
        <f aca="false">IF(Wyliczenie!$A$27="","",Wyliczenie!$A$27)</f>
        <v/>
      </c>
      <c r="D113" s="18" t="n">
        <f aca="false">N(Wyliczenie!$B$27)</f>
        <v>0</v>
      </c>
      <c r="E113" s="46" t="str">
        <f aca="false">IF(Wyliczenie!$C$27="","",Wyliczenie!$C$27+1)</f>
        <v/>
      </c>
      <c r="F113" s="46" t="str">
        <f aca="false">IF(E113="","",IF(Wyliczenie!$D$27="",Wyliczenie!$B$6,Wyliczenie!$D$27))</f>
        <v/>
      </c>
      <c r="G113" s="46" t="n">
        <f aca="false">IF(Wyliczenie!$B$5=Stawki!$K$7,N(Stawki!$F$20),N(Stawki!$A$20))</f>
        <v>0</v>
      </c>
      <c r="H113" s="46" t="n">
        <f aca="false">IF(G113=0,0,IF(Wyliczenie!$B$5=Stawki!$K$7,IF(N(Stawki!$G$20)=0,DATE(2099,12,31),Stawki!$G$20),IF(N(Stawki!$B$20)=0,DATE(2099,12,31),Stawki!$B$20)))</f>
        <v>0</v>
      </c>
      <c r="I113" s="47" t="n">
        <f aca="false">IF(Wyliczenie!$B$5=Stawki!$K$7,N(Stawki!$H$20),IF(Wyliczenie!$B$5=Stawki!$K$6,N(Stawki!$D$20),N(Stawki!$C$20)))</f>
        <v>0</v>
      </c>
      <c r="J113" s="48" t="n">
        <f aca="false">IF(OR(E113="",G113=0,D113=0),0,MAX(0,MIN(F113,H113)-MAX(E113,G113)+1))</f>
        <v>0</v>
      </c>
      <c r="K113" s="46" t="str">
        <f aca="false">IF(J113&gt;0,MAX(E113,G113),"")</f>
        <v/>
      </c>
      <c r="L113" s="46" t="str">
        <f aca="false">IF(J113&gt;0,MIN(F113,H113),"")</f>
        <v/>
      </c>
      <c r="M113" s="18" t="n">
        <f aca="false">IF(J113&gt;0,ROUND(D113*I113*J113/365,2),0)</f>
        <v>0</v>
      </c>
      <c r="N113" s="10" t="n">
        <f aca="false">IF(J113&gt;0,1,0)</f>
        <v>0</v>
      </c>
      <c r="O113" s="10" t="n">
        <f aca="false">O112+N113</f>
        <v>6</v>
      </c>
    </row>
    <row r="114" customFormat="false" ht="15" hidden="false" customHeight="false" outlineLevel="0" collapsed="false">
      <c r="A114" s="0" t="n">
        <v>8</v>
      </c>
      <c r="B114" s="0" t="n">
        <v>1</v>
      </c>
      <c r="C114" s="0" t="str">
        <f aca="false">IF(Wyliczenie!$A$28="","",Wyliczenie!$A$28)</f>
        <v/>
      </c>
      <c r="D114" s="18" t="n">
        <f aca="false">N(Wyliczenie!$B$28)</f>
        <v>0</v>
      </c>
      <c r="E114" s="46" t="str">
        <f aca="false">IF(Wyliczenie!$C$28="","",Wyliczenie!$C$28+1)</f>
        <v/>
      </c>
      <c r="F114" s="46" t="str">
        <f aca="false">IF(E114="","",IF(Wyliczenie!$D$28="",Wyliczenie!$B$6,Wyliczenie!$D$28))</f>
        <v/>
      </c>
      <c r="G114" s="46" t="n">
        <f aca="false">IF(Wyliczenie!$B$5=Stawki!$K$7,N(Stawki!$F$5),N(Stawki!$A$5))</f>
        <v>44927</v>
      </c>
      <c r="H114" s="46" t="n">
        <f aca="false">IF(G114=0,0,IF(Wyliczenie!$B$5=Stawki!$K$7,IF(N(Stawki!$G$5)=0,DATE(2099,12,31),Stawki!$G$5),IF(N(Stawki!$B$5)=0,DATE(2099,12,31),Stawki!$B$5)))</f>
        <v>45107</v>
      </c>
      <c r="I114" s="47" t="n">
        <f aca="false">IF(Wyliczenie!$B$5=Stawki!$K$7,N(Stawki!$H$5),IF(Wyliczenie!$B$5=Stawki!$K$6,N(Stawki!$D$5),N(Stawki!$C$5)))</f>
        <v>0.1675</v>
      </c>
      <c r="J114" s="48" t="n">
        <f aca="false">IF(OR(E114="",G114=0,D114=0),0,MAX(0,MIN(F114,H114)-MAX(E114,G114)+1))</f>
        <v>0</v>
      </c>
      <c r="K114" s="46" t="str">
        <f aca="false">IF(J114&gt;0,MAX(E114,G114),"")</f>
        <v/>
      </c>
      <c r="L114" s="46" t="str">
        <f aca="false">IF(J114&gt;0,MIN(F114,H114),"")</f>
        <v/>
      </c>
      <c r="M114" s="18" t="n">
        <f aca="false">IF(J114&gt;0,ROUND(D114*I114*J114/365,2),0)</f>
        <v>0</v>
      </c>
      <c r="N114" s="10" t="n">
        <f aca="false">IF(J114&gt;0,1,0)</f>
        <v>0</v>
      </c>
      <c r="O114" s="10" t="n">
        <f aca="false">O113+N114</f>
        <v>6</v>
      </c>
    </row>
    <row r="115" customFormat="false" ht="15" hidden="false" customHeight="false" outlineLevel="0" collapsed="false">
      <c r="A115" s="0" t="n">
        <v>8</v>
      </c>
      <c r="B115" s="0" t="n">
        <v>2</v>
      </c>
      <c r="C115" s="0" t="str">
        <f aca="false">IF(Wyliczenie!$A$28="","",Wyliczenie!$A$28)</f>
        <v/>
      </c>
      <c r="D115" s="18" t="n">
        <f aca="false">N(Wyliczenie!$B$28)</f>
        <v>0</v>
      </c>
      <c r="E115" s="46" t="str">
        <f aca="false">IF(Wyliczenie!$C$28="","",Wyliczenie!$C$28+1)</f>
        <v/>
      </c>
      <c r="F115" s="46" t="str">
        <f aca="false">IF(E115="","",IF(Wyliczenie!$D$28="",Wyliczenie!$B$6,Wyliczenie!$D$28))</f>
        <v/>
      </c>
      <c r="G115" s="46" t="n">
        <f aca="false">IF(Wyliczenie!$B$5=Stawki!$K$7,N(Stawki!$F$6),N(Stawki!$A$6))</f>
        <v>45108</v>
      </c>
      <c r="H115" s="46" t="n">
        <f aca="false">IF(G115=0,0,IF(Wyliczenie!$B$5=Stawki!$K$7,IF(N(Stawki!$G$6)=0,DATE(2099,12,31),Stawki!$G$6),IF(N(Stawki!$B$6)=0,DATE(2099,12,31),Stawki!$B$6)))</f>
        <v>45291</v>
      </c>
      <c r="I115" s="47" t="n">
        <f aca="false">IF(Wyliczenie!$B$5=Stawki!$K$7,N(Stawki!$H$6),IF(Wyliczenie!$B$5=Stawki!$K$6,N(Stawki!$D$6),N(Stawki!$C$6)))</f>
        <v>0.1675</v>
      </c>
      <c r="J115" s="48" t="n">
        <f aca="false">IF(OR(E115="",G115=0,D115=0),0,MAX(0,MIN(F115,H115)-MAX(E115,G115)+1))</f>
        <v>0</v>
      </c>
      <c r="K115" s="46" t="str">
        <f aca="false">IF(J115&gt;0,MAX(E115,G115),"")</f>
        <v/>
      </c>
      <c r="L115" s="46" t="str">
        <f aca="false">IF(J115&gt;0,MIN(F115,H115),"")</f>
        <v/>
      </c>
      <c r="M115" s="18" t="n">
        <f aca="false">IF(J115&gt;0,ROUND(D115*I115*J115/365,2),0)</f>
        <v>0</v>
      </c>
      <c r="N115" s="10" t="n">
        <f aca="false">IF(J115&gt;0,1,0)</f>
        <v>0</v>
      </c>
      <c r="O115" s="10" t="n">
        <f aca="false">O114+N115</f>
        <v>6</v>
      </c>
    </row>
    <row r="116" customFormat="false" ht="15" hidden="false" customHeight="false" outlineLevel="0" collapsed="false">
      <c r="A116" s="0" t="n">
        <v>8</v>
      </c>
      <c r="B116" s="0" t="n">
        <v>3</v>
      </c>
      <c r="C116" s="0" t="str">
        <f aca="false">IF(Wyliczenie!$A$28="","",Wyliczenie!$A$28)</f>
        <v/>
      </c>
      <c r="D116" s="18" t="n">
        <f aca="false">N(Wyliczenie!$B$28)</f>
        <v>0</v>
      </c>
      <c r="E116" s="46" t="str">
        <f aca="false">IF(Wyliczenie!$C$28="","",Wyliczenie!$C$28+1)</f>
        <v/>
      </c>
      <c r="F116" s="46" t="str">
        <f aca="false">IF(E116="","",IF(Wyliczenie!$D$28="",Wyliczenie!$B$6,Wyliczenie!$D$28))</f>
        <v/>
      </c>
      <c r="G116" s="46" t="n">
        <f aca="false">IF(Wyliczenie!$B$5=Stawki!$K$7,N(Stawki!$F$7),N(Stawki!$A$7))</f>
        <v>45292</v>
      </c>
      <c r="H116" s="46" t="n">
        <f aca="false">IF(G116=0,0,IF(Wyliczenie!$B$5=Stawki!$K$7,IF(N(Stawki!$G$7)=0,DATE(2099,12,31),Stawki!$G$7),IF(N(Stawki!$B$7)=0,DATE(2099,12,31),Stawki!$B$7)))</f>
        <v>45473</v>
      </c>
      <c r="I116" s="47" t="n">
        <f aca="false">IF(Wyliczenie!$B$5=Stawki!$K$7,N(Stawki!$H$7),IF(Wyliczenie!$B$5=Stawki!$K$6,N(Stawki!$D$7),N(Stawki!$C$7)))</f>
        <v>0.1575</v>
      </c>
      <c r="J116" s="48" t="n">
        <f aca="false">IF(OR(E116="",G116=0,D116=0),0,MAX(0,MIN(F116,H116)-MAX(E116,G116)+1))</f>
        <v>0</v>
      </c>
      <c r="K116" s="46" t="str">
        <f aca="false">IF(J116&gt;0,MAX(E116,G116),"")</f>
        <v/>
      </c>
      <c r="L116" s="46" t="str">
        <f aca="false">IF(J116&gt;0,MIN(F116,H116),"")</f>
        <v/>
      </c>
      <c r="M116" s="18" t="n">
        <f aca="false">IF(J116&gt;0,ROUND(D116*I116*J116/365,2),0)</f>
        <v>0</v>
      </c>
      <c r="N116" s="10" t="n">
        <f aca="false">IF(J116&gt;0,1,0)</f>
        <v>0</v>
      </c>
      <c r="O116" s="10" t="n">
        <f aca="false">O115+N116</f>
        <v>6</v>
      </c>
    </row>
    <row r="117" customFormat="false" ht="15" hidden="false" customHeight="false" outlineLevel="0" collapsed="false">
      <c r="A117" s="0" t="n">
        <v>8</v>
      </c>
      <c r="B117" s="0" t="n">
        <v>4</v>
      </c>
      <c r="C117" s="0" t="str">
        <f aca="false">IF(Wyliczenie!$A$28="","",Wyliczenie!$A$28)</f>
        <v/>
      </c>
      <c r="D117" s="18" t="n">
        <f aca="false">N(Wyliczenie!$B$28)</f>
        <v>0</v>
      </c>
      <c r="E117" s="46" t="str">
        <f aca="false">IF(Wyliczenie!$C$28="","",Wyliczenie!$C$28+1)</f>
        <v/>
      </c>
      <c r="F117" s="46" t="str">
        <f aca="false">IF(E117="","",IF(Wyliczenie!$D$28="",Wyliczenie!$B$6,Wyliczenie!$D$28))</f>
        <v/>
      </c>
      <c r="G117" s="46" t="n">
        <f aca="false">IF(Wyliczenie!$B$5=Stawki!$K$7,N(Stawki!$F$8),N(Stawki!$A$8))</f>
        <v>45474</v>
      </c>
      <c r="H117" s="46" t="n">
        <f aca="false">IF(G117=0,0,IF(Wyliczenie!$B$5=Stawki!$K$7,IF(N(Stawki!$G$8)=0,DATE(2099,12,31),Stawki!$G$8),IF(N(Stawki!$B$8)=0,DATE(2099,12,31),Stawki!$B$8)))</f>
        <v>45657</v>
      </c>
      <c r="I117" s="47" t="n">
        <f aca="false">IF(Wyliczenie!$B$5=Stawki!$K$7,N(Stawki!$H$8),IF(Wyliczenie!$B$5=Stawki!$K$6,N(Stawki!$D$8),N(Stawki!$C$8)))</f>
        <v>0.1575</v>
      </c>
      <c r="J117" s="48" t="n">
        <f aca="false">IF(OR(E117="",G117=0,D117=0),0,MAX(0,MIN(F117,H117)-MAX(E117,G117)+1))</f>
        <v>0</v>
      </c>
      <c r="K117" s="46" t="str">
        <f aca="false">IF(J117&gt;0,MAX(E117,G117),"")</f>
        <v/>
      </c>
      <c r="L117" s="46" t="str">
        <f aca="false">IF(J117&gt;0,MIN(F117,H117),"")</f>
        <v/>
      </c>
      <c r="M117" s="18" t="n">
        <f aca="false">IF(J117&gt;0,ROUND(D117*I117*J117/365,2),0)</f>
        <v>0</v>
      </c>
      <c r="N117" s="10" t="n">
        <f aca="false">IF(J117&gt;0,1,0)</f>
        <v>0</v>
      </c>
      <c r="O117" s="10" t="n">
        <f aca="false">O116+N117</f>
        <v>6</v>
      </c>
    </row>
    <row r="118" customFormat="false" ht="15" hidden="false" customHeight="false" outlineLevel="0" collapsed="false">
      <c r="A118" s="0" t="n">
        <v>8</v>
      </c>
      <c r="B118" s="0" t="n">
        <v>5</v>
      </c>
      <c r="C118" s="0" t="str">
        <f aca="false">IF(Wyliczenie!$A$28="","",Wyliczenie!$A$28)</f>
        <v/>
      </c>
      <c r="D118" s="18" t="n">
        <f aca="false">N(Wyliczenie!$B$28)</f>
        <v>0</v>
      </c>
      <c r="E118" s="46" t="str">
        <f aca="false">IF(Wyliczenie!$C$28="","",Wyliczenie!$C$28+1)</f>
        <v/>
      </c>
      <c r="F118" s="46" t="str">
        <f aca="false">IF(E118="","",IF(Wyliczenie!$D$28="",Wyliczenie!$B$6,Wyliczenie!$D$28))</f>
        <v/>
      </c>
      <c r="G118" s="46" t="n">
        <f aca="false">IF(Wyliczenie!$B$5=Stawki!$K$7,N(Stawki!$F$9),N(Stawki!$A$9))</f>
        <v>45658</v>
      </c>
      <c r="H118" s="46" t="n">
        <f aca="false">IF(G118=0,0,IF(Wyliczenie!$B$5=Stawki!$K$7,IF(N(Stawki!$G$9)=0,DATE(2099,12,31),Stawki!$G$9),IF(N(Stawki!$B$9)=0,DATE(2099,12,31),Stawki!$B$9)))</f>
        <v>45838</v>
      </c>
      <c r="I118" s="47" t="n">
        <f aca="false">IF(Wyliczenie!$B$5=Stawki!$K$7,N(Stawki!$H$9),IF(Wyliczenie!$B$5=Stawki!$K$6,N(Stawki!$D$9),N(Stawki!$C$9)))</f>
        <v>0.1575</v>
      </c>
      <c r="J118" s="48" t="n">
        <f aca="false">IF(OR(E118="",G118=0,D118=0),0,MAX(0,MIN(F118,H118)-MAX(E118,G118)+1))</f>
        <v>0</v>
      </c>
      <c r="K118" s="46" t="str">
        <f aca="false">IF(J118&gt;0,MAX(E118,G118),"")</f>
        <v/>
      </c>
      <c r="L118" s="46" t="str">
        <f aca="false">IF(J118&gt;0,MIN(F118,H118),"")</f>
        <v/>
      </c>
      <c r="M118" s="18" t="n">
        <f aca="false">IF(J118&gt;0,ROUND(D118*I118*J118/365,2),0)</f>
        <v>0</v>
      </c>
      <c r="N118" s="10" t="n">
        <f aca="false">IF(J118&gt;0,1,0)</f>
        <v>0</v>
      </c>
      <c r="O118" s="10" t="n">
        <f aca="false">O117+N118</f>
        <v>6</v>
      </c>
    </row>
    <row r="119" customFormat="false" ht="15" hidden="false" customHeight="false" outlineLevel="0" collapsed="false">
      <c r="A119" s="0" t="n">
        <v>8</v>
      </c>
      <c r="B119" s="0" t="n">
        <v>6</v>
      </c>
      <c r="C119" s="0" t="str">
        <f aca="false">IF(Wyliczenie!$A$28="","",Wyliczenie!$A$28)</f>
        <v/>
      </c>
      <c r="D119" s="18" t="n">
        <f aca="false">N(Wyliczenie!$B$28)</f>
        <v>0</v>
      </c>
      <c r="E119" s="46" t="str">
        <f aca="false">IF(Wyliczenie!$C$28="","",Wyliczenie!$C$28+1)</f>
        <v/>
      </c>
      <c r="F119" s="46" t="str">
        <f aca="false">IF(E119="","",IF(Wyliczenie!$D$28="",Wyliczenie!$B$6,Wyliczenie!$D$28))</f>
        <v/>
      </c>
      <c r="G119" s="46" t="n">
        <f aca="false">IF(Wyliczenie!$B$5=Stawki!$K$7,N(Stawki!$F$10),N(Stawki!$A$10))</f>
        <v>45839</v>
      </c>
      <c r="H119" s="46" t="n">
        <f aca="false">IF(G119=0,0,IF(Wyliczenie!$B$5=Stawki!$K$7,IF(N(Stawki!$G$10)=0,DATE(2099,12,31),Stawki!$G$10),IF(N(Stawki!$B$10)=0,DATE(2099,12,31),Stawki!$B$10)))</f>
        <v>46022</v>
      </c>
      <c r="I119" s="47" t="n">
        <f aca="false">IF(Wyliczenie!$B$5=Stawki!$K$7,N(Stawki!$H$10),IF(Wyliczenie!$B$5=Stawki!$K$6,N(Stawki!$D$10),N(Stawki!$C$10)))</f>
        <v>0.1525</v>
      </c>
      <c r="J119" s="48" t="n">
        <f aca="false">IF(OR(E119="",G119=0,D119=0),0,MAX(0,MIN(F119,H119)-MAX(E119,G119)+1))</f>
        <v>0</v>
      </c>
      <c r="K119" s="46" t="str">
        <f aca="false">IF(J119&gt;0,MAX(E119,G119),"")</f>
        <v/>
      </c>
      <c r="L119" s="46" t="str">
        <f aca="false">IF(J119&gt;0,MIN(F119,H119),"")</f>
        <v/>
      </c>
      <c r="M119" s="18" t="n">
        <f aca="false">IF(J119&gt;0,ROUND(D119*I119*J119/365,2),0)</f>
        <v>0</v>
      </c>
      <c r="N119" s="10" t="n">
        <f aca="false">IF(J119&gt;0,1,0)</f>
        <v>0</v>
      </c>
      <c r="O119" s="10" t="n">
        <f aca="false">O118+N119</f>
        <v>6</v>
      </c>
    </row>
    <row r="120" customFormat="false" ht="15" hidden="false" customHeight="false" outlineLevel="0" collapsed="false">
      <c r="A120" s="0" t="n">
        <v>8</v>
      </c>
      <c r="B120" s="0" t="n">
        <v>7</v>
      </c>
      <c r="C120" s="0" t="str">
        <f aca="false">IF(Wyliczenie!$A$28="","",Wyliczenie!$A$28)</f>
        <v/>
      </c>
      <c r="D120" s="18" t="n">
        <f aca="false">N(Wyliczenie!$B$28)</f>
        <v>0</v>
      </c>
      <c r="E120" s="46" t="str">
        <f aca="false">IF(Wyliczenie!$C$28="","",Wyliczenie!$C$28+1)</f>
        <v/>
      </c>
      <c r="F120" s="46" t="str">
        <f aca="false">IF(E120="","",IF(Wyliczenie!$D$28="",Wyliczenie!$B$6,Wyliczenie!$D$28))</f>
        <v/>
      </c>
      <c r="G120" s="46" t="n">
        <f aca="false">IF(Wyliczenie!$B$5=Stawki!$K$7,N(Stawki!$F$11),N(Stawki!$A$11))</f>
        <v>46023</v>
      </c>
      <c r="H120" s="46" t="n">
        <f aca="false">IF(G120=0,0,IF(Wyliczenie!$B$5=Stawki!$K$7,IF(N(Stawki!$G$11)=0,DATE(2099,12,31),Stawki!$G$11),IF(N(Stawki!$B$11)=0,DATE(2099,12,31),Stawki!$B$11)))</f>
        <v>46203</v>
      </c>
      <c r="I120" s="47" t="n">
        <f aca="false">IF(Wyliczenie!$B$5=Stawki!$K$7,N(Stawki!$H$11),IF(Wyliczenie!$B$5=Stawki!$K$6,N(Stawki!$D$11),N(Stawki!$C$11)))</f>
        <v>0.14</v>
      </c>
      <c r="J120" s="48" t="n">
        <f aca="false">IF(OR(E120="",G120=0,D120=0),0,MAX(0,MIN(F120,H120)-MAX(E120,G120)+1))</f>
        <v>0</v>
      </c>
      <c r="K120" s="46" t="str">
        <f aca="false">IF(J120&gt;0,MAX(E120,G120),"")</f>
        <v/>
      </c>
      <c r="L120" s="46" t="str">
        <f aca="false">IF(J120&gt;0,MIN(F120,H120),"")</f>
        <v/>
      </c>
      <c r="M120" s="18" t="n">
        <f aca="false">IF(J120&gt;0,ROUND(D120*I120*J120/365,2),0)</f>
        <v>0</v>
      </c>
      <c r="N120" s="10" t="n">
        <f aca="false">IF(J120&gt;0,1,0)</f>
        <v>0</v>
      </c>
      <c r="O120" s="10" t="n">
        <f aca="false">O119+N120</f>
        <v>6</v>
      </c>
    </row>
    <row r="121" customFormat="false" ht="15" hidden="false" customHeight="false" outlineLevel="0" collapsed="false">
      <c r="A121" s="0" t="n">
        <v>8</v>
      </c>
      <c r="B121" s="0" t="n">
        <v>8</v>
      </c>
      <c r="C121" s="0" t="str">
        <f aca="false">IF(Wyliczenie!$A$28="","",Wyliczenie!$A$28)</f>
        <v/>
      </c>
      <c r="D121" s="18" t="n">
        <f aca="false">N(Wyliczenie!$B$28)</f>
        <v>0</v>
      </c>
      <c r="E121" s="46" t="str">
        <f aca="false">IF(Wyliczenie!$C$28="","",Wyliczenie!$C$28+1)</f>
        <v/>
      </c>
      <c r="F121" s="46" t="str">
        <f aca="false">IF(E121="","",IF(Wyliczenie!$D$28="",Wyliczenie!$B$6,Wyliczenie!$D$28))</f>
        <v/>
      </c>
      <c r="G121" s="46" t="n">
        <f aca="false">IF(Wyliczenie!$B$5=Stawki!$K$7,N(Stawki!$F$12),N(Stawki!$A$12))</f>
        <v>46204</v>
      </c>
      <c r="H121" s="46" t="n">
        <f aca="false">IF(G121=0,0,IF(Wyliczenie!$B$5=Stawki!$K$7,IF(N(Stawki!$G$12)=0,DATE(2099,12,31),Stawki!$G$12),IF(N(Stawki!$B$12)=0,DATE(2099,12,31),Stawki!$B$12)))</f>
        <v>46387</v>
      </c>
      <c r="I121" s="47" t="n">
        <f aca="false">IF(Wyliczenie!$B$5=Stawki!$K$7,N(Stawki!$H$12),IF(Wyliczenie!$B$5=Stawki!$K$6,N(Stawki!$D$12),N(Stawki!$C$12)))</f>
        <v>0.1375</v>
      </c>
      <c r="J121" s="48" t="n">
        <f aca="false">IF(OR(E121="",G121=0,D121=0),0,MAX(0,MIN(F121,H121)-MAX(E121,G121)+1))</f>
        <v>0</v>
      </c>
      <c r="K121" s="46" t="str">
        <f aca="false">IF(J121&gt;0,MAX(E121,G121),"")</f>
        <v/>
      </c>
      <c r="L121" s="46" t="str">
        <f aca="false">IF(J121&gt;0,MIN(F121,H121),"")</f>
        <v/>
      </c>
      <c r="M121" s="18" t="n">
        <f aca="false">IF(J121&gt;0,ROUND(D121*I121*J121/365,2),0)</f>
        <v>0</v>
      </c>
      <c r="N121" s="10" t="n">
        <f aca="false">IF(J121&gt;0,1,0)</f>
        <v>0</v>
      </c>
      <c r="O121" s="10" t="n">
        <f aca="false">O120+N121</f>
        <v>6</v>
      </c>
    </row>
    <row r="122" customFormat="false" ht="15" hidden="false" customHeight="false" outlineLevel="0" collapsed="false">
      <c r="A122" s="0" t="n">
        <v>8</v>
      </c>
      <c r="B122" s="0" t="n">
        <v>9</v>
      </c>
      <c r="C122" s="0" t="str">
        <f aca="false">IF(Wyliczenie!$A$28="","",Wyliczenie!$A$28)</f>
        <v/>
      </c>
      <c r="D122" s="18" t="n">
        <f aca="false">N(Wyliczenie!$B$28)</f>
        <v>0</v>
      </c>
      <c r="E122" s="46" t="str">
        <f aca="false">IF(Wyliczenie!$C$28="","",Wyliczenie!$C$28+1)</f>
        <v/>
      </c>
      <c r="F122" s="46" t="str">
        <f aca="false">IF(E122="","",IF(Wyliczenie!$D$28="",Wyliczenie!$B$6,Wyliczenie!$D$28))</f>
        <v/>
      </c>
      <c r="G122" s="46" t="n">
        <f aca="false">IF(Wyliczenie!$B$5=Stawki!$K$7,N(Stawki!$F$13),N(Stawki!$A$13))</f>
        <v>0</v>
      </c>
      <c r="H122" s="46" t="n">
        <f aca="false">IF(G122=0,0,IF(Wyliczenie!$B$5=Stawki!$K$7,IF(N(Stawki!$G$13)=0,DATE(2099,12,31),Stawki!$G$13),IF(N(Stawki!$B$13)=0,DATE(2099,12,31),Stawki!$B$13)))</f>
        <v>0</v>
      </c>
      <c r="I122" s="47" t="n">
        <f aca="false">IF(Wyliczenie!$B$5=Stawki!$K$7,N(Stawki!$H$13),IF(Wyliczenie!$B$5=Stawki!$K$6,N(Stawki!$D$13),N(Stawki!$C$13)))</f>
        <v>0</v>
      </c>
      <c r="J122" s="48" t="n">
        <f aca="false">IF(OR(E122="",G122=0,D122=0),0,MAX(0,MIN(F122,H122)-MAX(E122,G122)+1))</f>
        <v>0</v>
      </c>
      <c r="K122" s="46" t="str">
        <f aca="false">IF(J122&gt;0,MAX(E122,G122),"")</f>
        <v/>
      </c>
      <c r="L122" s="46" t="str">
        <f aca="false">IF(J122&gt;0,MIN(F122,H122),"")</f>
        <v/>
      </c>
      <c r="M122" s="18" t="n">
        <f aca="false">IF(J122&gt;0,ROUND(D122*I122*J122/365,2),0)</f>
        <v>0</v>
      </c>
      <c r="N122" s="10" t="n">
        <f aca="false">IF(J122&gt;0,1,0)</f>
        <v>0</v>
      </c>
      <c r="O122" s="10" t="n">
        <f aca="false">O121+N122</f>
        <v>6</v>
      </c>
    </row>
    <row r="123" customFormat="false" ht="15" hidden="false" customHeight="false" outlineLevel="0" collapsed="false">
      <c r="A123" s="0" t="n">
        <v>8</v>
      </c>
      <c r="B123" s="0" t="n">
        <v>10</v>
      </c>
      <c r="C123" s="0" t="str">
        <f aca="false">IF(Wyliczenie!$A$28="","",Wyliczenie!$A$28)</f>
        <v/>
      </c>
      <c r="D123" s="18" t="n">
        <f aca="false">N(Wyliczenie!$B$28)</f>
        <v>0</v>
      </c>
      <c r="E123" s="46" t="str">
        <f aca="false">IF(Wyliczenie!$C$28="","",Wyliczenie!$C$28+1)</f>
        <v/>
      </c>
      <c r="F123" s="46" t="str">
        <f aca="false">IF(E123="","",IF(Wyliczenie!$D$28="",Wyliczenie!$B$6,Wyliczenie!$D$28))</f>
        <v/>
      </c>
      <c r="G123" s="46" t="n">
        <f aca="false">IF(Wyliczenie!$B$5=Stawki!$K$7,N(Stawki!$F$14),N(Stawki!$A$14))</f>
        <v>0</v>
      </c>
      <c r="H123" s="46" t="n">
        <f aca="false">IF(G123=0,0,IF(Wyliczenie!$B$5=Stawki!$K$7,IF(N(Stawki!$G$14)=0,DATE(2099,12,31),Stawki!$G$14),IF(N(Stawki!$B$14)=0,DATE(2099,12,31),Stawki!$B$14)))</f>
        <v>0</v>
      </c>
      <c r="I123" s="47" t="n">
        <f aca="false">IF(Wyliczenie!$B$5=Stawki!$K$7,N(Stawki!$H$14),IF(Wyliczenie!$B$5=Stawki!$K$6,N(Stawki!$D$14),N(Stawki!$C$14)))</f>
        <v>0</v>
      </c>
      <c r="J123" s="48" t="n">
        <f aca="false">IF(OR(E123="",G123=0,D123=0),0,MAX(0,MIN(F123,H123)-MAX(E123,G123)+1))</f>
        <v>0</v>
      </c>
      <c r="K123" s="46" t="str">
        <f aca="false">IF(J123&gt;0,MAX(E123,G123),"")</f>
        <v/>
      </c>
      <c r="L123" s="46" t="str">
        <f aca="false">IF(J123&gt;0,MIN(F123,H123),"")</f>
        <v/>
      </c>
      <c r="M123" s="18" t="n">
        <f aca="false">IF(J123&gt;0,ROUND(D123*I123*J123/365,2),0)</f>
        <v>0</v>
      </c>
      <c r="N123" s="10" t="n">
        <f aca="false">IF(J123&gt;0,1,0)</f>
        <v>0</v>
      </c>
      <c r="O123" s="10" t="n">
        <f aca="false">O122+N123</f>
        <v>6</v>
      </c>
    </row>
    <row r="124" customFormat="false" ht="15" hidden="false" customHeight="false" outlineLevel="0" collapsed="false">
      <c r="A124" s="0" t="n">
        <v>8</v>
      </c>
      <c r="B124" s="0" t="n">
        <v>11</v>
      </c>
      <c r="C124" s="0" t="str">
        <f aca="false">IF(Wyliczenie!$A$28="","",Wyliczenie!$A$28)</f>
        <v/>
      </c>
      <c r="D124" s="18" t="n">
        <f aca="false">N(Wyliczenie!$B$28)</f>
        <v>0</v>
      </c>
      <c r="E124" s="46" t="str">
        <f aca="false">IF(Wyliczenie!$C$28="","",Wyliczenie!$C$28+1)</f>
        <v/>
      </c>
      <c r="F124" s="46" t="str">
        <f aca="false">IF(E124="","",IF(Wyliczenie!$D$28="",Wyliczenie!$B$6,Wyliczenie!$D$28))</f>
        <v/>
      </c>
      <c r="G124" s="46" t="n">
        <f aca="false">IF(Wyliczenie!$B$5=Stawki!$K$7,N(Stawki!$F$15),N(Stawki!$A$15))</f>
        <v>0</v>
      </c>
      <c r="H124" s="46" t="n">
        <f aca="false">IF(G124=0,0,IF(Wyliczenie!$B$5=Stawki!$K$7,IF(N(Stawki!$G$15)=0,DATE(2099,12,31),Stawki!$G$15),IF(N(Stawki!$B$15)=0,DATE(2099,12,31),Stawki!$B$15)))</f>
        <v>0</v>
      </c>
      <c r="I124" s="47" t="n">
        <f aca="false">IF(Wyliczenie!$B$5=Stawki!$K$7,N(Stawki!$H$15),IF(Wyliczenie!$B$5=Stawki!$K$6,N(Stawki!$D$15),N(Stawki!$C$15)))</f>
        <v>0</v>
      </c>
      <c r="J124" s="48" t="n">
        <f aca="false">IF(OR(E124="",G124=0,D124=0),0,MAX(0,MIN(F124,H124)-MAX(E124,G124)+1))</f>
        <v>0</v>
      </c>
      <c r="K124" s="46" t="str">
        <f aca="false">IF(J124&gt;0,MAX(E124,G124),"")</f>
        <v/>
      </c>
      <c r="L124" s="46" t="str">
        <f aca="false">IF(J124&gt;0,MIN(F124,H124),"")</f>
        <v/>
      </c>
      <c r="M124" s="18" t="n">
        <f aca="false">IF(J124&gt;0,ROUND(D124*I124*J124/365,2),0)</f>
        <v>0</v>
      </c>
      <c r="N124" s="10" t="n">
        <f aca="false">IF(J124&gt;0,1,0)</f>
        <v>0</v>
      </c>
      <c r="O124" s="10" t="n">
        <f aca="false">O123+N124</f>
        <v>6</v>
      </c>
    </row>
    <row r="125" customFormat="false" ht="15" hidden="false" customHeight="false" outlineLevel="0" collapsed="false">
      <c r="A125" s="0" t="n">
        <v>8</v>
      </c>
      <c r="B125" s="0" t="n">
        <v>12</v>
      </c>
      <c r="C125" s="0" t="str">
        <f aca="false">IF(Wyliczenie!$A$28="","",Wyliczenie!$A$28)</f>
        <v/>
      </c>
      <c r="D125" s="18" t="n">
        <f aca="false">N(Wyliczenie!$B$28)</f>
        <v>0</v>
      </c>
      <c r="E125" s="46" t="str">
        <f aca="false">IF(Wyliczenie!$C$28="","",Wyliczenie!$C$28+1)</f>
        <v/>
      </c>
      <c r="F125" s="46" t="str">
        <f aca="false">IF(E125="","",IF(Wyliczenie!$D$28="",Wyliczenie!$B$6,Wyliczenie!$D$28))</f>
        <v/>
      </c>
      <c r="G125" s="46" t="n">
        <f aca="false">IF(Wyliczenie!$B$5=Stawki!$K$7,N(Stawki!$F$16),N(Stawki!$A$16))</f>
        <v>0</v>
      </c>
      <c r="H125" s="46" t="n">
        <f aca="false">IF(G125=0,0,IF(Wyliczenie!$B$5=Stawki!$K$7,IF(N(Stawki!$G$16)=0,DATE(2099,12,31),Stawki!$G$16),IF(N(Stawki!$B$16)=0,DATE(2099,12,31),Stawki!$B$16)))</f>
        <v>0</v>
      </c>
      <c r="I125" s="47" t="n">
        <f aca="false">IF(Wyliczenie!$B$5=Stawki!$K$7,N(Stawki!$H$16),IF(Wyliczenie!$B$5=Stawki!$K$6,N(Stawki!$D$16),N(Stawki!$C$16)))</f>
        <v>0</v>
      </c>
      <c r="J125" s="48" t="n">
        <f aca="false">IF(OR(E125="",G125=0,D125=0),0,MAX(0,MIN(F125,H125)-MAX(E125,G125)+1))</f>
        <v>0</v>
      </c>
      <c r="K125" s="46" t="str">
        <f aca="false">IF(J125&gt;0,MAX(E125,G125),"")</f>
        <v/>
      </c>
      <c r="L125" s="46" t="str">
        <f aca="false">IF(J125&gt;0,MIN(F125,H125),"")</f>
        <v/>
      </c>
      <c r="M125" s="18" t="n">
        <f aca="false">IF(J125&gt;0,ROUND(D125*I125*J125/365,2),0)</f>
        <v>0</v>
      </c>
      <c r="N125" s="10" t="n">
        <f aca="false">IF(J125&gt;0,1,0)</f>
        <v>0</v>
      </c>
      <c r="O125" s="10" t="n">
        <f aca="false">O124+N125</f>
        <v>6</v>
      </c>
    </row>
    <row r="126" customFormat="false" ht="15" hidden="false" customHeight="false" outlineLevel="0" collapsed="false">
      <c r="A126" s="0" t="n">
        <v>8</v>
      </c>
      <c r="B126" s="0" t="n">
        <v>13</v>
      </c>
      <c r="C126" s="0" t="str">
        <f aca="false">IF(Wyliczenie!$A$28="","",Wyliczenie!$A$28)</f>
        <v/>
      </c>
      <c r="D126" s="18" t="n">
        <f aca="false">N(Wyliczenie!$B$28)</f>
        <v>0</v>
      </c>
      <c r="E126" s="46" t="str">
        <f aca="false">IF(Wyliczenie!$C$28="","",Wyliczenie!$C$28+1)</f>
        <v/>
      </c>
      <c r="F126" s="46" t="str">
        <f aca="false">IF(E126="","",IF(Wyliczenie!$D$28="",Wyliczenie!$B$6,Wyliczenie!$D$28))</f>
        <v/>
      </c>
      <c r="G126" s="46" t="n">
        <f aca="false">IF(Wyliczenie!$B$5=Stawki!$K$7,N(Stawki!$F$17),N(Stawki!$A$17))</f>
        <v>0</v>
      </c>
      <c r="H126" s="46" t="n">
        <f aca="false">IF(G126=0,0,IF(Wyliczenie!$B$5=Stawki!$K$7,IF(N(Stawki!$G$17)=0,DATE(2099,12,31),Stawki!$G$17),IF(N(Stawki!$B$17)=0,DATE(2099,12,31),Stawki!$B$17)))</f>
        <v>0</v>
      </c>
      <c r="I126" s="47" t="n">
        <f aca="false">IF(Wyliczenie!$B$5=Stawki!$K$7,N(Stawki!$H$17),IF(Wyliczenie!$B$5=Stawki!$K$6,N(Stawki!$D$17),N(Stawki!$C$17)))</f>
        <v>0</v>
      </c>
      <c r="J126" s="48" t="n">
        <f aca="false">IF(OR(E126="",G126=0,D126=0),0,MAX(0,MIN(F126,H126)-MAX(E126,G126)+1))</f>
        <v>0</v>
      </c>
      <c r="K126" s="46" t="str">
        <f aca="false">IF(J126&gt;0,MAX(E126,G126),"")</f>
        <v/>
      </c>
      <c r="L126" s="46" t="str">
        <f aca="false">IF(J126&gt;0,MIN(F126,H126),"")</f>
        <v/>
      </c>
      <c r="M126" s="18" t="n">
        <f aca="false">IF(J126&gt;0,ROUND(D126*I126*J126/365,2),0)</f>
        <v>0</v>
      </c>
      <c r="N126" s="10" t="n">
        <f aca="false">IF(J126&gt;0,1,0)</f>
        <v>0</v>
      </c>
      <c r="O126" s="10" t="n">
        <f aca="false">O125+N126</f>
        <v>6</v>
      </c>
    </row>
    <row r="127" customFormat="false" ht="15" hidden="false" customHeight="false" outlineLevel="0" collapsed="false">
      <c r="A127" s="0" t="n">
        <v>8</v>
      </c>
      <c r="B127" s="0" t="n">
        <v>14</v>
      </c>
      <c r="C127" s="0" t="str">
        <f aca="false">IF(Wyliczenie!$A$28="","",Wyliczenie!$A$28)</f>
        <v/>
      </c>
      <c r="D127" s="18" t="n">
        <f aca="false">N(Wyliczenie!$B$28)</f>
        <v>0</v>
      </c>
      <c r="E127" s="46" t="str">
        <f aca="false">IF(Wyliczenie!$C$28="","",Wyliczenie!$C$28+1)</f>
        <v/>
      </c>
      <c r="F127" s="46" t="str">
        <f aca="false">IF(E127="","",IF(Wyliczenie!$D$28="",Wyliczenie!$B$6,Wyliczenie!$D$28))</f>
        <v/>
      </c>
      <c r="G127" s="46" t="n">
        <f aca="false">IF(Wyliczenie!$B$5=Stawki!$K$7,N(Stawki!$F$18),N(Stawki!$A$18))</f>
        <v>0</v>
      </c>
      <c r="H127" s="46" t="n">
        <f aca="false">IF(G127=0,0,IF(Wyliczenie!$B$5=Stawki!$K$7,IF(N(Stawki!$G$18)=0,DATE(2099,12,31),Stawki!$G$18),IF(N(Stawki!$B$18)=0,DATE(2099,12,31),Stawki!$B$18)))</f>
        <v>0</v>
      </c>
      <c r="I127" s="47" t="n">
        <f aca="false">IF(Wyliczenie!$B$5=Stawki!$K$7,N(Stawki!$H$18),IF(Wyliczenie!$B$5=Stawki!$K$6,N(Stawki!$D$18),N(Stawki!$C$18)))</f>
        <v>0</v>
      </c>
      <c r="J127" s="48" t="n">
        <f aca="false">IF(OR(E127="",G127=0,D127=0),0,MAX(0,MIN(F127,H127)-MAX(E127,G127)+1))</f>
        <v>0</v>
      </c>
      <c r="K127" s="46" t="str">
        <f aca="false">IF(J127&gt;0,MAX(E127,G127),"")</f>
        <v/>
      </c>
      <c r="L127" s="46" t="str">
        <f aca="false">IF(J127&gt;0,MIN(F127,H127),"")</f>
        <v/>
      </c>
      <c r="M127" s="18" t="n">
        <f aca="false">IF(J127&gt;0,ROUND(D127*I127*J127/365,2),0)</f>
        <v>0</v>
      </c>
      <c r="N127" s="10" t="n">
        <f aca="false">IF(J127&gt;0,1,0)</f>
        <v>0</v>
      </c>
      <c r="O127" s="10" t="n">
        <f aca="false">O126+N127</f>
        <v>6</v>
      </c>
    </row>
    <row r="128" customFormat="false" ht="15" hidden="false" customHeight="false" outlineLevel="0" collapsed="false">
      <c r="A128" s="0" t="n">
        <v>8</v>
      </c>
      <c r="B128" s="0" t="n">
        <v>15</v>
      </c>
      <c r="C128" s="0" t="str">
        <f aca="false">IF(Wyliczenie!$A$28="","",Wyliczenie!$A$28)</f>
        <v/>
      </c>
      <c r="D128" s="18" t="n">
        <f aca="false">N(Wyliczenie!$B$28)</f>
        <v>0</v>
      </c>
      <c r="E128" s="46" t="str">
        <f aca="false">IF(Wyliczenie!$C$28="","",Wyliczenie!$C$28+1)</f>
        <v/>
      </c>
      <c r="F128" s="46" t="str">
        <f aca="false">IF(E128="","",IF(Wyliczenie!$D$28="",Wyliczenie!$B$6,Wyliczenie!$D$28))</f>
        <v/>
      </c>
      <c r="G128" s="46" t="n">
        <f aca="false">IF(Wyliczenie!$B$5=Stawki!$K$7,N(Stawki!$F$19),N(Stawki!$A$19))</f>
        <v>0</v>
      </c>
      <c r="H128" s="46" t="n">
        <f aca="false">IF(G128=0,0,IF(Wyliczenie!$B$5=Stawki!$K$7,IF(N(Stawki!$G$19)=0,DATE(2099,12,31),Stawki!$G$19),IF(N(Stawki!$B$19)=0,DATE(2099,12,31),Stawki!$B$19)))</f>
        <v>0</v>
      </c>
      <c r="I128" s="47" t="n">
        <f aca="false">IF(Wyliczenie!$B$5=Stawki!$K$7,N(Stawki!$H$19),IF(Wyliczenie!$B$5=Stawki!$K$6,N(Stawki!$D$19),N(Stawki!$C$19)))</f>
        <v>0</v>
      </c>
      <c r="J128" s="48" t="n">
        <f aca="false">IF(OR(E128="",G128=0,D128=0),0,MAX(0,MIN(F128,H128)-MAX(E128,G128)+1))</f>
        <v>0</v>
      </c>
      <c r="K128" s="46" t="str">
        <f aca="false">IF(J128&gt;0,MAX(E128,G128),"")</f>
        <v/>
      </c>
      <c r="L128" s="46" t="str">
        <f aca="false">IF(J128&gt;0,MIN(F128,H128),"")</f>
        <v/>
      </c>
      <c r="M128" s="18" t="n">
        <f aca="false">IF(J128&gt;0,ROUND(D128*I128*J128/365,2),0)</f>
        <v>0</v>
      </c>
      <c r="N128" s="10" t="n">
        <f aca="false">IF(J128&gt;0,1,0)</f>
        <v>0</v>
      </c>
      <c r="O128" s="10" t="n">
        <f aca="false">O127+N128</f>
        <v>6</v>
      </c>
    </row>
    <row r="129" customFormat="false" ht="15" hidden="false" customHeight="false" outlineLevel="0" collapsed="false">
      <c r="A129" s="0" t="n">
        <v>8</v>
      </c>
      <c r="B129" s="0" t="n">
        <v>16</v>
      </c>
      <c r="C129" s="0" t="str">
        <f aca="false">IF(Wyliczenie!$A$28="","",Wyliczenie!$A$28)</f>
        <v/>
      </c>
      <c r="D129" s="18" t="n">
        <f aca="false">N(Wyliczenie!$B$28)</f>
        <v>0</v>
      </c>
      <c r="E129" s="46" t="str">
        <f aca="false">IF(Wyliczenie!$C$28="","",Wyliczenie!$C$28+1)</f>
        <v/>
      </c>
      <c r="F129" s="46" t="str">
        <f aca="false">IF(E129="","",IF(Wyliczenie!$D$28="",Wyliczenie!$B$6,Wyliczenie!$D$28))</f>
        <v/>
      </c>
      <c r="G129" s="46" t="n">
        <f aca="false">IF(Wyliczenie!$B$5=Stawki!$K$7,N(Stawki!$F$20),N(Stawki!$A$20))</f>
        <v>0</v>
      </c>
      <c r="H129" s="46" t="n">
        <f aca="false">IF(G129=0,0,IF(Wyliczenie!$B$5=Stawki!$K$7,IF(N(Stawki!$G$20)=0,DATE(2099,12,31),Stawki!$G$20),IF(N(Stawki!$B$20)=0,DATE(2099,12,31),Stawki!$B$20)))</f>
        <v>0</v>
      </c>
      <c r="I129" s="47" t="n">
        <f aca="false">IF(Wyliczenie!$B$5=Stawki!$K$7,N(Stawki!$H$20),IF(Wyliczenie!$B$5=Stawki!$K$6,N(Stawki!$D$20),N(Stawki!$C$20)))</f>
        <v>0</v>
      </c>
      <c r="J129" s="48" t="n">
        <f aca="false">IF(OR(E129="",G129=0,D129=0),0,MAX(0,MIN(F129,H129)-MAX(E129,G129)+1))</f>
        <v>0</v>
      </c>
      <c r="K129" s="46" t="str">
        <f aca="false">IF(J129&gt;0,MAX(E129,G129),"")</f>
        <v/>
      </c>
      <c r="L129" s="46" t="str">
        <f aca="false">IF(J129&gt;0,MIN(F129,H129),"")</f>
        <v/>
      </c>
      <c r="M129" s="18" t="n">
        <f aca="false">IF(J129&gt;0,ROUND(D129*I129*J129/365,2),0)</f>
        <v>0</v>
      </c>
      <c r="N129" s="10" t="n">
        <f aca="false">IF(J129&gt;0,1,0)</f>
        <v>0</v>
      </c>
      <c r="O129" s="10" t="n">
        <f aca="false">O128+N129</f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2026-10-02T10:59:55Z</dcterms:created>
  <dc:creator>Sunbay</dc:creator>
  <dc:description/>
  <dc:language>pl-PL</dc:language>
  <cp:lastModifiedBy/>
  <dcterms:modified xsi:type="dcterms:W3CDTF">2026-10-02T10:59:55Z</dcterms:modified>
  <cp:revision>0</cp:revision>
  <dc:subject>Nota odsetkowa w Excelu, szablon do pobrania z sunbay.io</dc:subject>
  <dc:title>Kalkulator noty odsetkowej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