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codeName="ThisWorkbook" defaultThemeVersion="166925"/>
  <mc:AlternateContent xmlns:mc="http://schemas.openxmlformats.org/markup-compatibility/2006">
    <mc:Choice Requires="x15">
      <x15ac:absPath xmlns:x15ac="http://schemas.microsoft.com/office/spreadsheetml/2010/11/ac" url="https://unsw-my.sharepoint.com/personal/z3294741_ad_unsw_edu_au/Documents/Green Steel Project/Progress Report/Report 3/MODELS/Excel Models/Cleaned models for publication/"/>
    </mc:Choice>
  </mc:AlternateContent>
  <xr:revisionPtr revIDLastSave="10772" documentId="8_{FB852FE5-D775-4B6B-8987-62E617F7677B}" xr6:coauthVersionLast="47" xr6:coauthVersionMax="47" xr10:uidLastSave="{29A9897F-25D1-4EC8-BDF7-531E0D95E52D}"/>
  <bookViews>
    <workbookView xWindow="3375" yWindow="3375" windowWidth="43200" windowHeight="11295" xr2:uid="{693504F7-27A9-FA41-BA7B-A05C5964226B}"/>
  </bookViews>
  <sheets>
    <sheet name="P1. Project Title " sheetId="9" r:id="rId1"/>
    <sheet name="P2. Project Description" sheetId="10" r:id="rId2"/>
    <sheet name="Index" sheetId="11" r:id="rId3"/>
    <sheet name="S1. Ore_Extraction" sheetId="38" r:id="rId4"/>
    <sheet name="S1. Ore_Extraction_Benef_Pellet" sheetId="16" r:id="rId5"/>
    <sheet name="S1. Rail Transport" sheetId="17" r:id="rId6"/>
    <sheet name="S1. Dry Bulk Shipping" sheetId="4" r:id="rId7"/>
    <sheet name="S1. Ironmaking_DRI_ESF" sheetId="25" r:id="rId8"/>
    <sheet name="S1. Ironmaking_DRI_HBI" sheetId="23" r:id="rId9"/>
    <sheet name="S1. Steelmaking_DRI_ESF_BOF" sheetId="27" r:id="rId10"/>
    <sheet name="S1. Steelmaking_DRI_EAF" sheetId="26" r:id="rId11"/>
    <sheet name="S1. Steelmaking_EAF" sheetId="41" r:id="rId12"/>
    <sheet name="S1. Steelmaking_BOF" sheetId="40" r:id="rId13"/>
    <sheet name="S1. AmmoniaProduction" sheetId="28" r:id="rId14"/>
    <sheet name="S1. AmmoniaCracking" sheetId="29" r:id="rId15"/>
    <sheet name="S1. MethanolProduction" sheetId="30" r:id="rId16"/>
    <sheet name="S1. SyntheticNGProduction" sheetId="31" r:id="rId17"/>
    <sheet name="S1. SyntheticNGLiquefaction" sheetId="36" r:id="rId18"/>
    <sheet name="S1. LiquidSNGRegass" sheetId="37" r:id="rId19"/>
    <sheet name="S1. LOHCProduction" sheetId="32" r:id="rId20"/>
    <sheet name="S1. LOHCReconversion" sheetId="33" r:id="rId21"/>
    <sheet name="S1. LiquidH2Production" sheetId="34" r:id="rId22"/>
    <sheet name="S1. LiquidH2Regass" sheetId="35" r:id="rId23"/>
    <sheet name="S3. Shipping Route Data" sheetId="12" r:id="rId24"/>
    <sheet name="A1. Ranges" sheetId="14" r:id="rId25"/>
    <sheet name="A2.OreExtractCostYearAdjust" sheetId="19" r:id="rId26"/>
    <sheet name="A3. RailTransportCostYearAdjust" sheetId="20" r:id="rId27"/>
    <sheet name="A4. ShippingCostYearAdjust" sheetId="21" r:id="rId28"/>
    <sheet name="A5. IronSteelCostYearAdjust" sheetId="24" r:id="rId2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7" i="38" l="1"/>
  <c r="B21" i="35"/>
  <c r="B26" i="33"/>
  <c r="B21" i="37"/>
  <c r="B5" i="36"/>
  <c r="B8" i="36"/>
  <c r="B19" i="36"/>
  <c r="B21" i="36"/>
  <c r="B23" i="36" s="1"/>
  <c r="B26" i="36"/>
  <c r="B35" i="36" s="1"/>
  <c r="B39" i="36" s="1"/>
  <c r="B43" i="31"/>
  <c r="B31" i="36" l="1"/>
  <c r="B37" i="36" s="1"/>
  <c r="B40" i="36" s="1"/>
  <c r="B33" i="36"/>
  <c r="B38" i="36" s="1"/>
  <c r="C15" i="12"/>
  <c r="C41" i="12"/>
  <c r="C28" i="12"/>
  <c r="B35" i="17"/>
  <c r="B41" i="36" l="1"/>
  <c r="B43" i="36" s="1"/>
  <c r="B42" i="36"/>
  <c r="B29" i="17"/>
  <c r="K35" i="17"/>
  <c r="K31" i="17"/>
  <c r="J31" i="17"/>
  <c r="B137" i="40" l="1"/>
  <c r="B97" i="40"/>
  <c r="B29" i="40"/>
  <c r="B33" i="40" s="1"/>
  <c r="B121" i="40" s="1"/>
  <c r="B146" i="41"/>
  <c r="B102" i="41"/>
  <c r="B31" i="41"/>
  <c r="B35" i="41" s="1"/>
  <c r="B128" i="41" s="1"/>
  <c r="B211" i="26"/>
  <c r="B229" i="27"/>
  <c r="B145" i="25"/>
  <c r="B204" i="25"/>
  <c r="I11" i="24"/>
  <c r="B37" i="29"/>
  <c r="B21" i="29"/>
  <c r="B28" i="29"/>
  <c r="B17" i="29"/>
  <c r="B24" i="37"/>
  <c r="B18" i="33"/>
  <c r="B22" i="33" s="1"/>
  <c r="B8" i="34"/>
  <c r="B8" i="32"/>
  <c r="B38" i="33" l="1"/>
  <c r="B29" i="33"/>
  <c r="B127" i="40"/>
  <c r="B96" i="40"/>
  <c r="B134" i="41"/>
  <c r="B101" i="41"/>
  <c r="B28" i="31" l="1"/>
  <c r="B40" i="31" s="1"/>
  <c r="B22" i="31"/>
  <c r="B23" i="31" s="1"/>
  <c r="B25" i="31" s="1"/>
  <c r="B35" i="31" s="1"/>
  <c r="B18" i="31"/>
  <c r="B8" i="31"/>
  <c r="B5" i="31"/>
  <c r="B41" i="30"/>
  <c r="B28" i="30"/>
  <c r="B40" i="30" s="1"/>
  <c r="B22" i="30"/>
  <c r="B23" i="30" s="1"/>
  <c r="B25" i="30" s="1"/>
  <c r="B18" i="30"/>
  <c r="B5" i="30"/>
  <c r="B8" i="30"/>
  <c r="B24" i="28"/>
  <c r="B19" i="28"/>
  <c r="B21" i="28" s="1"/>
  <c r="B5" i="28"/>
  <c r="B8" i="28"/>
  <c r="J36" i="17"/>
  <c r="B30" i="27"/>
  <c r="B30" i="25"/>
  <c r="I77" i="16"/>
  <c r="I76" i="16"/>
  <c r="J74" i="16"/>
  <c r="I74" i="16"/>
  <c r="J65" i="38"/>
  <c r="I65" i="38"/>
  <c r="B41" i="41"/>
  <c r="B104" i="41" s="1"/>
  <c r="B24" i="41"/>
  <c r="B145" i="41"/>
  <c r="B131" i="41"/>
  <c r="B130" i="41"/>
  <c r="B113" i="41"/>
  <c r="B163" i="41" s="1"/>
  <c r="B108" i="41"/>
  <c r="B100" i="41"/>
  <c r="B93" i="41"/>
  <c r="B91" i="41"/>
  <c r="B69" i="41"/>
  <c r="B64" i="41"/>
  <c r="B59" i="41"/>
  <c r="B53" i="41"/>
  <c r="B126" i="41" s="1"/>
  <c r="B8" i="41"/>
  <c r="E5" i="41"/>
  <c r="B5" i="41"/>
  <c r="B86" i="40"/>
  <c r="B39" i="40"/>
  <c r="B22" i="40"/>
  <c r="B26" i="40" s="1"/>
  <c r="B136" i="40"/>
  <c r="B124" i="40"/>
  <c r="B123" i="40"/>
  <c r="B106" i="40"/>
  <c r="B154" i="40" s="1"/>
  <c r="B95" i="40"/>
  <c r="B88" i="40"/>
  <c r="B67" i="40"/>
  <c r="B62" i="40"/>
  <c r="B57" i="40"/>
  <c r="B51" i="40"/>
  <c r="B119" i="40" s="1"/>
  <c r="B8" i="40"/>
  <c r="E5" i="40"/>
  <c r="B5" i="40"/>
  <c r="D17" i="20"/>
  <c r="G17" i="20"/>
  <c r="B55" i="4"/>
  <c r="B30" i="28" l="1"/>
  <c r="B37" i="28" s="1"/>
  <c r="B41" i="31"/>
  <c r="B37" i="31"/>
  <c r="B44" i="31" s="1"/>
  <c r="B35" i="30"/>
  <c r="B43" i="30" s="1"/>
  <c r="B109" i="41"/>
  <c r="B162" i="27"/>
  <c r="B117" i="40"/>
  <c r="B148" i="40" s="1"/>
  <c r="B110" i="40"/>
  <c r="B141" i="40" s="1"/>
  <c r="B140" i="41"/>
  <c r="B169" i="41" s="1"/>
  <c r="B117" i="41"/>
  <c r="B150" i="41" s="1"/>
  <c r="B149" i="26"/>
  <c r="B32" i="28"/>
  <c r="B38" i="28" s="1"/>
  <c r="B37" i="30"/>
  <c r="B44" i="30" s="1"/>
  <c r="B35" i="28"/>
  <c r="B122" i="27"/>
  <c r="B117" i="27"/>
  <c r="B112" i="27"/>
  <c r="B106" i="26"/>
  <c r="B101" i="26"/>
  <c r="B111" i="26"/>
  <c r="B30" i="26"/>
  <c r="B98" i="23"/>
  <c r="B88" i="23"/>
  <c r="B93" i="23"/>
  <c r="B30" i="23"/>
  <c r="B109" i="25"/>
  <c r="B104" i="25"/>
  <c r="B99" i="25"/>
  <c r="B161" i="41"/>
  <c r="B106" i="41"/>
  <c r="B110" i="41" s="1"/>
  <c r="B42" i="41"/>
  <c r="B103" i="41" s="1"/>
  <c r="B124" i="41"/>
  <c r="B157" i="41" s="1"/>
  <c r="B119" i="41"/>
  <c r="B152" i="41" s="1"/>
  <c r="B121" i="41"/>
  <c r="B154" i="41" s="1"/>
  <c r="B158" i="41"/>
  <c r="B160" i="41"/>
  <c r="B120" i="41"/>
  <c r="B153" i="41" s="1"/>
  <c r="B141" i="41"/>
  <c r="B170" i="41" s="1"/>
  <c r="B144" i="41"/>
  <c r="B147" i="41" s="1"/>
  <c r="B101" i="40"/>
  <c r="B103" i="40" s="1"/>
  <c r="B133" i="40" s="1"/>
  <c r="B160" i="40" s="1"/>
  <c r="B100" i="40"/>
  <c r="B40" i="40"/>
  <c r="B149" i="40"/>
  <c r="B112" i="40"/>
  <c r="B143" i="40" s="1"/>
  <c r="B113" i="40"/>
  <c r="B144" i="40" s="1"/>
  <c r="B151" i="40"/>
  <c r="B114" i="40"/>
  <c r="B145" i="40" s="1"/>
  <c r="B152" i="40"/>
  <c r="B135" i="40"/>
  <c r="B138" i="40" s="1"/>
  <c r="B99" i="40"/>
  <c r="B102" i="40" s="1"/>
  <c r="B131" i="40"/>
  <c r="B158" i="40" s="1"/>
  <c r="B132" i="40"/>
  <c r="B159" i="40" s="1"/>
  <c r="H17" i="20"/>
  <c r="B111" i="41" l="1"/>
  <c r="B142" i="41"/>
  <c r="B171" i="41" s="1"/>
  <c r="B99" i="41"/>
  <c r="B138" i="41"/>
  <c r="B167" i="41" s="1"/>
  <c r="B137" i="41"/>
  <c r="B166" i="41" s="1"/>
  <c r="B28" i="41"/>
  <c r="B136" i="41"/>
  <c r="B165" i="41" s="1"/>
  <c r="B107" i="41"/>
  <c r="B133" i="41"/>
  <c r="B162" i="41" s="1"/>
  <c r="B105" i="41"/>
  <c r="B135" i="41"/>
  <c r="B164" i="41" s="1"/>
  <c r="B46" i="41"/>
  <c r="B139" i="41"/>
  <c r="B168" i="41" s="1"/>
  <c r="B129" i="40"/>
  <c r="B156" i="40" s="1"/>
  <c r="B128" i="40"/>
  <c r="B155" i="40" s="1"/>
  <c r="B126" i="40"/>
  <c r="B153" i="40" s="1"/>
  <c r="B94" i="40"/>
  <c r="B44" i="40"/>
  <c r="B130" i="40"/>
  <c r="B157" i="40" s="1"/>
  <c r="B98" i="40"/>
  <c r="B41" i="12"/>
  <c r="D31" i="12"/>
  <c r="D32" i="12"/>
  <c r="D33" i="12"/>
  <c r="D34" i="12"/>
  <c r="D35" i="12"/>
  <c r="D36" i="12"/>
  <c r="D37" i="12"/>
  <c r="D38" i="12"/>
  <c r="D39" i="12"/>
  <c r="D40" i="12"/>
  <c r="D41" i="12"/>
  <c r="D18" i="12"/>
  <c r="D19" i="12"/>
  <c r="D20" i="12"/>
  <c r="D21" i="12"/>
  <c r="D22" i="12"/>
  <c r="D23" i="12"/>
  <c r="D24" i="12"/>
  <c r="D25" i="12"/>
  <c r="D26" i="12"/>
  <c r="D27" i="12"/>
  <c r="B28" i="12"/>
  <c r="D28" i="12"/>
  <c r="D5" i="12"/>
  <c r="D6" i="12"/>
  <c r="D7" i="12"/>
  <c r="D8" i="12"/>
  <c r="D9" i="12"/>
  <c r="D10" i="12"/>
  <c r="D11" i="12"/>
  <c r="D12" i="12"/>
  <c r="D13" i="12"/>
  <c r="D14" i="12"/>
  <c r="B15" i="12"/>
  <c r="D15" i="12"/>
  <c r="B121" i="16"/>
  <c r="B120" i="16"/>
  <c r="B127" i="41" l="1"/>
  <c r="B116" i="41"/>
  <c r="B129" i="41"/>
  <c r="B118" i="41"/>
  <c r="B151" i="41" s="1"/>
  <c r="B122" i="40"/>
  <c r="B111" i="40"/>
  <c r="B142" i="40" s="1"/>
  <c r="B109" i="40"/>
  <c r="B140" i="40" s="1"/>
  <c r="B120" i="40"/>
  <c r="B104" i="40"/>
  <c r="B157" i="38"/>
  <c r="B156" i="38"/>
  <c r="B154" i="38"/>
  <c r="B152" i="38"/>
  <c r="B128" i="38"/>
  <c r="B129" i="38" s="1"/>
  <c r="B121" i="38"/>
  <c r="B130" i="38" s="1"/>
  <c r="B120" i="38"/>
  <c r="B107" i="38"/>
  <c r="B147" i="38" s="1"/>
  <c r="B104" i="38"/>
  <c r="B146" i="38" s="1"/>
  <c r="B77" i="38"/>
  <c r="B79" i="38" s="1"/>
  <c r="I68" i="38"/>
  <c r="B117" i="38" s="1"/>
  <c r="B68" i="38"/>
  <c r="I67" i="38"/>
  <c r="B98" i="38" s="1"/>
  <c r="B69" i="38"/>
  <c r="B13" i="38"/>
  <c r="B8" i="38"/>
  <c r="B149" i="38" s="1"/>
  <c r="E5" i="38"/>
  <c r="B5" i="38"/>
  <c r="H17" i="37"/>
  <c r="B19" i="37"/>
  <c r="B8" i="37"/>
  <c r="E5" i="37"/>
  <c r="B5" i="37"/>
  <c r="E5" i="36"/>
  <c r="B24" i="35"/>
  <c r="B33" i="35" s="1"/>
  <c r="B19" i="35"/>
  <c r="B8" i="35"/>
  <c r="E5" i="35"/>
  <c r="B5" i="35"/>
  <c r="B24" i="34"/>
  <c r="B19" i="34"/>
  <c r="B21" i="34" s="1"/>
  <c r="E5" i="34"/>
  <c r="B5" i="34"/>
  <c r="B24" i="33"/>
  <c r="B42" i="33"/>
  <c r="B8" i="33"/>
  <c r="E5" i="33"/>
  <c r="B5" i="33"/>
  <c r="B23" i="32"/>
  <c r="B18" i="32"/>
  <c r="B20" i="32" s="1"/>
  <c r="E5" i="32"/>
  <c r="B5" i="32"/>
  <c r="E5" i="31"/>
  <c r="E5" i="30"/>
  <c r="B41" i="29"/>
  <c r="B23" i="29"/>
  <c r="B25" i="29" s="1"/>
  <c r="B8" i="29"/>
  <c r="E5" i="29"/>
  <c r="B5" i="29"/>
  <c r="B159" i="41" l="1"/>
  <c r="B150" i="40"/>
  <c r="B28" i="37"/>
  <c r="B32" i="37" s="1"/>
  <c r="B149" i="41"/>
  <c r="B123" i="41"/>
  <c r="B156" i="41" s="1"/>
  <c r="B122" i="41"/>
  <c r="B155" i="41" s="1"/>
  <c r="B116" i="40"/>
  <c r="B147" i="40" s="1"/>
  <c r="B115" i="40"/>
  <c r="B146" i="40" s="1"/>
  <c r="B161" i="40" s="1"/>
  <c r="B162" i="40" s="1"/>
  <c r="B43" i="38"/>
  <c r="B32" i="38"/>
  <c r="B24" i="38"/>
  <c r="B20" i="38"/>
  <c r="B37" i="38"/>
  <c r="B139" i="38" s="1"/>
  <c r="B164" i="38" s="1"/>
  <c r="B28" i="38"/>
  <c r="B170" i="38"/>
  <c r="B171" i="38"/>
  <c r="B173" i="38"/>
  <c r="B109" i="38"/>
  <c r="B148" i="38" s="1"/>
  <c r="B172" i="38" s="1"/>
  <c r="B71" i="38"/>
  <c r="B122" i="38"/>
  <c r="B123" i="38" s="1"/>
  <c r="B49" i="38"/>
  <c r="B140" i="38"/>
  <c r="B165" i="38" s="1"/>
  <c r="B99" i="38"/>
  <c r="B143" i="38" s="1"/>
  <c r="B167" i="38" s="1"/>
  <c r="B84" i="38"/>
  <c r="B85" i="38"/>
  <c r="B70" i="38"/>
  <c r="B30" i="37"/>
  <c r="B33" i="37" s="1"/>
  <c r="B37" i="35"/>
  <c r="B31" i="35"/>
  <c r="B36" i="35" s="1"/>
  <c r="B29" i="35"/>
  <c r="B35" i="35" s="1"/>
  <c r="B31" i="34"/>
  <c r="B36" i="34" s="1"/>
  <c r="B29" i="34"/>
  <c r="B35" i="34" s="1"/>
  <c r="B36" i="33"/>
  <c r="B41" i="33" s="1"/>
  <c r="B34" i="33"/>
  <c r="B40" i="33" s="1"/>
  <c r="B30" i="32"/>
  <c r="B35" i="32" s="1"/>
  <c r="B28" i="32"/>
  <c r="B34" i="32" s="1"/>
  <c r="B35" i="29"/>
  <c r="B40" i="29" s="1"/>
  <c r="B33" i="29"/>
  <c r="B39" i="29" s="1"/>
  <c r="B73" i="38" l="1"/>
  <c r="B135" i="38" s="1"/>
  <c r="B160" i="38" s="1"/>
  <c r="B50" i="38"/>
  <c r="B80" i="38" s="1"/>
  <c r="B124" i="38" s="1"/>
  <c r="B125" i="38" s="1"/>
  <c r="B54" i="38"/>
  <c r="B172" i="41"/>
  <c r="B173" i="41" s="1"/>
  <c r="B56" i="38"/>
  <c r="B61" i="38" s="1"/>
  <c r="B138" i="38"/>
  <c r="B163" i="38" s="1"/>
  <c r="B86" i="38"/>
  <c r="B34" i="37"/>
  <c r="B35" i="37" s="1"/>
  <c r="B37" i="37" s="1"/>
  <c r="B38" i="35"/>
  <c r="B43" i="33"/>
  <c r="B44" i="33" s="1"/>
  <c r="B45" i="33" s="1"/>
  <c r="B42" i="29"/>
  <c r="B100" i="38" l="1"/>
  <c r="B144" i="38" s="1"/>
  <c r="B168" i="38" s="1"/>
  <c r="B74" i="38"/>
  <c r="B136" i="38" s="1"/>
  <c r="B161" i="38" s="1"/>
  <c r="B43" i="29"/>
  <c r="B45" i="29" s="1"/>
  <c r="B46" i="29" s="1"/>
  <c r="B44" i="29"/>
  <c r="B87" i="38"/>
  <c r="B96" i="38" s="1"/>
  <c r="B142" i="38" s="1"/>
  <c r="B166" i="38" s="1"/>
  <c r="B67" i="38"/>
  <c r="B72" i="38" s="1"/>
  <c r="B57" i="38"/>
  <c r="B81" i="38" s="1"/>
  <c r="B155" i="38" s="1"/>
  <c r="B36" i="37"/>
  <c r="B39" i="35"/>
  <c r="B41" i="35" s="1"/>
  <c r="B40" i="35"/>
  <c r="B75" i="38" l="1"/>
  <c r="B137" i="38"/>
  <c r="B162" i="38" s="1"/>
  <c r="B126" i="38"/>
  <c r="B127" i="38" s="1"/>
  <c r="B131" i="38" s="1"/>
  <c r="B101" i="38"/>
  <c r="B145" i="38" s="1"/>
  <c r="B169" i="38" s="1"/>
  <c r="B158" i="38"/>
  <c r="B106" i="27"/>
  <c r="B197" i="27" s="1"/>
  <c r="B95" i="26"/>
  <c r="B183" i="26" s="1"/>
  <c r="B93" i="25"/>
  <c r="B177" i="25" s="1"/>
  <c r="B82" i="23"/>
  <c r="B80" i="17"/>
  <c r="E5" i="28"/>
  <c r="B228" i="27"/>
  <c r="B160" i="27"/>
  <c r="B144" i="27"/>
  <c r="B145" i="27" s="1"/>
  <c r="B135" i="26"/>
  <c r="B136" i="26" s="1"/>
  <c r="B131" i="25"/>
  <c r="B132" i="25" s="1"/>
  <c r="B147" i="27"/>
  <c r="I10" i="24"/>
  <c r="B155" i="23" l="1"/>
  <c r="B150" i="38"/>
  <c r="B174" i="38" s="1"/>
  <c r="B175" i="38" s="1"/>
  <c r="B176" i="38" s="1"/>
  <c r="B132" i="38"/>
  <c r="B168" i="27"/>
  <c r="B227" i="27" l="1"/>
  <c r="B207" i="27"/>
  <c r="B206" i="27"/>
  <c r="B179" i="27"/>
  <c r="B158" i="27"/>
  <c r="B156" i="27"/>
  <c r="B149" i="27"/>
  <c r="B170" i="27" s="1"/>
  <c r="B142" i="27"/>
  <c r="B127" i="27"/>
  <c r="B37" i="27"/>
  <c r="B36" i="27"/>
  <c r="B35" i="27"/>
  <c r="B33" i="27"/>
  <c r="B198" i="27"/>
  <c r="B26" i="27"/>
  <c r="B20" i="27"/>
  <c r="B18" i="27"/>
  <c r="B17" i="27"/>
  <c r="B8" i="27"/>
  <c r="B221" i="27" s="1"/>
  <c r="E5" i="27"/>
  <c r="B5" i="27"/>
  <c r="B157" i="26"/>
  <c r="B138" i="26"/>
  <c r="B134" i="25"/>
  <c r="B151" i="25" s="1"/>
  <c r="B103" i="23"/>
  <c r="B115" i="23"/>
  <c r="B116" i="23"/>
  <c r="B117" i="23" s="1"/>
  <c r="B210" i="26"/>
  <c r="B192" i="26"/>
  <c r="B191" i="26"/>
  <c r="B166" i="26"/>
  <c r="B147" i="26"/>
  <c r="B145" i="26"/>
  <c r="B132" i="26"/>
  <c r="B116" i="26"/>
  <c r="B37" i="26"/>
  <c r="B36" i="26"/>
  <c r="B35" i="26"/>
  <c r="B33" i="26"/>
  <c r="B184" i="26"/>
  <c r="B26" i="26"/>
  <c r="B20" i="26"/>
  <c r="B83" i="26" s="1"/>
  <c r="B18" i="26"/>
  <c r="B17" i="26"/>
  <c r="B8" i="26"/>
  <c r="B204" i="26" s="1"/>
  <c r="E5" i="26"/>
  <c r="B5" i="26"/>
  <c r="B42" i="26" l="1"/>
  <c r="B46" i="26" s="1"/>
  <c r="B171" i="26" s="1"/>
  <c r="B216" i="26" s="1"/>
  <c r="B73" i="26"/>
  <c r="B198" i="26" s="1"/>
  <c r="B235" i="26" s="1"/>
  <c r="B42" i="27"/>
  <c r="B46" i="27" s="1"/>
  <c r="B184" i="27" s="1"/>
  <c r="B234" i="27" s="1"/>
  <c r="B84" i="27"/>
  <c r="B155" i="26"/>
  <c r="B241" i="26"/>
  <c r="B94" i="27"/>
  <c r="B226" i="27" s="1"/>
  <c r="B262" i="27"/>
  <c r="B63" i="27"/>
  <c r="B77" i="27"/>
  <c r="B81" i="27" s="1"/>
  <c r="B191" i="27"/>
  <c r="B241" i="27" s="1"/>
  <c r="B34" i="27"/>
  <c r="B38" i="27" s="1"/>
  <c r="B192" i="27"/>
  <c r="B242" i="27" s="1"/>
  <c r="B24" i="27"/>
  <c r="B172" i="27" s="1"/>
  <c r="B248" i="27"/>
  <c r="B182" i="27"/>
  <c r="B232" i="27" s="1"/>
  <c r="B249" i="27"/>
  <c r="B155" i="27"/>
  <c r="B190" i="27"/>
  <c r="B240" i="27" s="1"/>
  <c r="B222" i="27"/>
  <c r="B263" i="27" s="1"/>
  <c r="B19" i="27"/>
  <c r="B195" i="27"/>
  <c r="B245" i="27" s="1"/>
  <c r="B246" i="27"/>
  <c r="B211" i="27"/>
  <c r="B252" i="27" s="1"/>
  <c r="B50" i="27"/>
  <c r="B54" i="27" s="1"/>
  <c r="B19" i="26"/>
  <c r="B208" i="26" s="1"/>
  <c r="B144" i="26"/>
  <c r="B229" i="26"/>
  <c r="B230" i="26"/>
  <c r="B176" i="26"/>
  <c r="B221" i="26" s="1"/>
  <c r="B50" i="26"/>
  <c r="B151" i="26"/>
  <c r="B84" i="26"/>
  <c r="B88" i="26" s="1"/>
  <c r="B209" i="26"/>
  <c r="B177" i="26"/>
  <c r="B222" i="26" s="1"/>
  <c r="B24" i="26"/>
  <c r="B178" i="26"/>
  <c r="B223" i="26" s="1"/>
  <c r="B205" i="26"/>
  <c r="B242" i="26" s="1"/>
  <c r="B66" i="26"/>
  <c r="B181" i="26"/>
  <c r="B226" i="26" s="1"/>
  <c r="B169" i="26"/>
  <c r="B227" i="26"/>
  <c r="B196" i="26"/>
  <c r="B233" i="26" s="1"/>
  <c r="B34" i="26"/>
  <c r="B38" i="26" s="1"/>
  <c r="B88" i="27" l="1"/>
  <c r="B204" i="27" s="1"/>
  <c r="B161" i="27"/>
  <c r="B212" i="26"/>
  <c r="B77" i="26"/>
  <c r="B148" i="26"/>
  <c r="B186" i="26"/>
  <c r="B219" i="27"/>
  <c r="B260" i="27" s="1"/>
  <c r="B200" i="27"/>
  <c r="B167" i="27"/>
  <c r="B67" i="27"/>
  <c r="B186" i="27" s="1"/>
  <c r="B236" i="27" s="1"/>
  <c r="B154" i="26"/>
  <c r="B70" i="26"/>
  <c r="B54" i="26"/>
  <c r="B187" i="26" s="1"/>
  <c r="B157" i="27"/>
  <c r="B95" i="27"/>
  <c r="B99" i="27" s="1"/>
  <c r="B218" i="27"/>
  <c r="B259" i="27" s="1"/>
  <c r="B217" i="27"/>
  <c r="B258" i="27" s="1"/>
  <c r="B216" i="27"/>
  <c r="B257" i="27" s="1"/>
  <c r="B159" i="27"/>
  <c r="B165" i="27"/>
  <c r="B164" i="27"/>
  <c r="B212" i="27"/>
  <c r="B253" i="27" s="1"/>
  <c r="B166" i="27"/>
  <c r="B176" i="27" s="1"/>
  <c r="B214" i="27"/>
  <c r="B255" i="27" s="1"/>
  <c r="B213" i="27"/>
  <c r="B254" i="27" s="1"/>
  <c r="B215" i="27"/>
  <c r="B256" i="27" s="1"/>
  <c r="B169" i="27"/>
  <c r="B152" i="26"/>
  <c r="B153" i="26"/>
  <c r="B225" i="27"/>
  <c r="B230" i="27" s="1"/>
  <c r="B210" i="27"/>
  <c r="B251" i="27" s="1"/>
  <c r="B199" i="27"/>
  <c r="B183" i="27"/>
  <c r="B233" i="27" s="1"/>
  <c r="B173" i="27"/>
  <c r="B174" i="27"/>
  <c r="B209" i="27"/>
  <c r="B250" i="27" s="1"/>
  <c r="B171" i="27"/>
  <c r="B201" i="27"/>
  <c r="B185" i="27"/>
  <c r="B156" i="26"/>
  <c r="B201" i="26"/>
  <c r="B238" i="26" s="1"/>
  <c r="B195" i="26"/>
  <c r="B232" i="26" s="1"/>
  <c r="B160" i="26"/>
  <c r="B159" i="26"/>
  <c r="B158" i="26"/>
  <c r="B161" i="26"/>
  <c r="B194" i="26"/>
  <c r="B231" i="26" s="1"/>
  <c r="B203" i="26"/>
  <c r="B240" i="26" s="1"/>
  <c r="B150" i="26"/>
  <c r="B214" i="26"/>
  <c r="B202" i="26"/>
  <c r="B239" i="26" s="1"/>
  <c r="B200" i="26"/>
  <c r="B237" i="26" s="1"/>
  <c r="B199" i="26"/>
  <c r="B236" i="26" s="1"/>
  <c r="B197" i="26"/>
  <c r="B234" i="26" s="1"/>
  <c r="B146" i="26"/>
  <c r="B185" i="26"/>
  <c r="B170" i="26"/>
  <c r="B215" i="26" s="1"/>
  <c r="B175" i="27" l="1"/>
  <c r="B188" i="27"/>
  <c r="B238" i="27" s="1"/>
  <c r="B163" i="26"/>
  <c r="B206" i="26" s="1"/>
  <c r="B243" i="26" s="1"/>
  <c r="B162" i="26"/>
  <c r="B174" i="26"/>
  <c r="B219" i="26" s="1"/>
  <c r="B189" i="26"/>
  <c r="B202" i="27"/>
  <c r="B172" i="26"/>
  <c r="B217" i="26" s="1"/>
  <c r="B220" i="27"/>
  <c r="B261" i="27" s="1"/>
  <c r="B163" i="27"/>
  <c r="B203" i="27"/>
  <c r="B187" i="27"/>
  <c r="B237" i="27" s="1"/>
  <c r="B223" i="27"/>
  <c r="B264" i="27" s="1"/>
  <c r="B235" i="27"/>
  <c r="B189" i="27"/>
  <c r="B239" i="27" s="1"/>
  <c r="B205" i="27"/>
  <c r="B188" i="26"/>
  <c r="B173" i="26"/>
  <c r="B175" i="26"/>
  <c r="B220" i="26" s="1"/>
  <c r="B190" i="26"/>
  <c r="B164" i="26" l="1"/>
  <c r="B228" i="26"/>
  <c r="B247" i="27"/>
  <c r="B177" i="27"/>
  <c r="B193" i="27"/>
  <c r="B243" i="27" s="1"/>
  <c r="B194" i="27"/>
  <c r="B244" i="27" s="1"/>
  <c r="B179" i="26"/>
  <c r="B224" i="26" s="1"/>
  <c r="B218" i="26"/>
  <c r="B180" i="26"/>
  <c r="B225" i="26" s="1"/>
  <c r="B265" i="27" l="1"/>
  <c r="B266" i="27" s="1"/>
  <c r="B244" i="26"/>
  <c r="B245" i="26" s="1"/>
  <c r="B203" i="25" l="1"/>
  <c r="B186" i="25"/>
  <c r="B185" i="25"/>
  <c r="B160" i="25"/>
  <c r="B143" i="25"/>
  <c r="B141" i="25"/>
  <c r="B129" i="25"/>
  <c r="B114" i="25"/>
  <c r="B37" i="25"/>
  <c r="B36" i="25"/>
  <c r="B35" i="25"/>
  <c r="B33" i="25"/>
  <c r="B178" i="25"/>
  <c r="B26" i="25"/>
  <c r="B20" i="25"/>
  <c r="B81" i="25" s="1"/>
  <c r="B18" i="25"/>
  <c r="B17" i="25"/>
  <c r="B8" i="25"/>
  <c r="B198" i="25" s="1"/>
  <c r="E5" i="25"/>
  <c r="B5" i="25"/>
  <c r="B176" i="23"/>
  <c r="B163" i="23"/>
  <c r="B162" i="23"/>
  <c r="B126" i="23"/>
  <c r="B124" i="23"/>
  <c r="B37" i="23"/>
  <c r="B36" i="23"/>
  <c r="B35" i="23"/>
  <c r="B20" i="23"/>
  <c r="B33" i="23"/>
  <c r="B18" i="23"/>
  <c r="B17" i="23"/>
  <c r="B190" i="25" l="1"/>
  <c r="B226" i="25" s="1"/>
  <c r="B71" i="25"/>
  <c r="B19" i="25"/>
  <c r="B201" i="25" s="1"/>
  <c r="B234" i="25"/>
  <c r="B222" i="25"/>
  <c r="B223" i="25"/>
  <c r="B24" i="25"/>
  <c r="B152" i="25" s="1"/>
  <c r="B170" i="25"/>
  <c r="B214" i="25" s="1"/>
  <c r="B42" i="25"/>
  <c r="B50" i="25"/>
  <c r="B171" i="25"/>
  <c r="B215" i="25" s="1"/>
  <c r="B172" i="25"/>
  <c r="B216" i="25" s="1"/>
  <c r="B34" i="25"/>
  <c r="B38" i="25" s="1"/>
  <c r="B140" i="25"/>
  <c r="B147" i="25"/>
  <c r="B82" i="25"/>
  <c r="B86" i="25" s="1"/>
  <c r="B202" i="25"/>
  <c r="B64" i="25"/>
  <c r="B163" i="25"/>
  <c r="B207" i="25" s="1"/>
  <c r="B220" i="25"/>
  <c r="B175" i="25"/>
  <c r="B219" i="25" s="1"/>
  <c r="B197" i="25"/>
  <c r="B233" i="25" s="1"/>
  <c r="B19" i="23"/>
  <c r="B144" i="25" l="1"/>
  <c r="B75" i="25"/>
  <c r="B168" i="25" s="1"/>
  <c r="B212" i="25" s="1"/>
  <c r="B205" i="25"/>
  <c r="B192" i="25"/>
  <c r="B228" i="25" s="1"/>
  <c r="B46" i="25"/>
  <c r="B180" i="25" s="1"/>
  <c r="B54" i="25"/>
  <c r="B181" i="25" s="1"/>
  <c r="B150" i="25"/>
  <c r="B68" i="25"/>
  <c r="B148" i="25"/>
  <c r="B149" i="25"/>
  <c r="B157" i="25" s="1"/>
  <c r="B130" i="23"/>
  <c r="B136" i="23" s="1"/>
  <c r="B154" i="25"/>
  <c r="B188" i="25"/>
  <c r="B224" i="25" s="1"/>
  <c r="B155" i="25"/>
  <c r="B153" i="25"/>
  <c r="B195" i="25"/>
  <c r="B231" i="25" s="1"/>
  <c r="B194" i="25"/>
  <c r="B230" i="25" s="1"/>
  <c r="B193" i="25"/>
  <c r="B229" i="25" s="1"/>
  <c r="B189" i="25"/>
  <c r="B225" i="25" s="1"/>
  <c r="B196" i="25"/>
  <c r="B232" i="25" s="1"/>
  <c r="B146" i="25"/>
  <c r="B191" i="25"/>
  <c r="B227" i="25" s="1"/>
  <c r="B142" i="25"/>
  <c r="B179" i="25"/>
  <c r="B164" i="25"/>
  <c r="B208" i="25" s="1"/>
  <c r="B174" i="23"/>
  <c r="B156" i="25" l="1"/>
  <c r="B158" i="25" s="1"/>
  <c r="B183" i="25"/>
  <c r="B165" i="25"/>
  <c r="B209" i="25" s="1"/>
  <c r="B166" i="25"/>
  <c r="B210" i="25" s="1"/>
  <c r="B199" i="25"/>
  <c r="B235" i="25" s="1"/>
  <c r="B184" i="25"/>
  <c r="B169" i="25"/>
  <c r="B213" i="25" s="1"/>
  <c r="B167" i="25"/>
  <c r="B211" i="25" s="1"/>
  <c r="B182" i="25"/>
  <c r="B221" i="25" l="1"/>
  <c r="B173" i="25"/>
  <c r="B217" i="25" s="1"/>
  <c r="B174" i="25"/>
  <c r="B218" i="25" s="1"/>
  <c r="B236" i="25" l="1"/>
  <c r="B237" i="25" s="1"/>
  <c r="B70" i="23"/>
  <c r="B26" i="23"/>
  <c r="B24" i="23" s="1"/>
  <c r="I15" i="24"/>
  <c r="I14" i="24"/>
  <c r="I13" i="24"/>
  <c r="I12" i="24"/>
  <c r="I9" i="24"/>
  <c r="I8" i="24"/>
  <c r="I7" i="24"/>
  <c r="I6" i="24"/>
  <c r="I5" i="24"/>
  <c r="B129" i="23" l="1"/>
  <c r="B128" i="23"/>
  <c r="B175" i="23"/>
  <c r="B177" i="23" s="1"/>
  <c r="B156" i="23"/>
  <c r="B123" i="23"/>
  <c r="B71" i="23"/>
  <c r="B167" i="23"/>
  <c r="B166" i="23"/>
  <c r="B60" i="23"/>
  <c r="B34" i="23"/>
  <c r="B38" i="23" s="1"/>
  <c r="B50" i="23"/>
  <c r="B54" i="23" s="1"/>
  <c r="B42" i="23"/>
  <c r="B46" i="23" s="1"/>
  <c r="B125" i="23" l="1"/>
  <c r="B64" i="23"/>
  <c r="B127" i="23"/>
  <c r="B75" i="23"/>
  <c r="B159" i="23"/>
  <c r="B158" i="23"/>
  <c r="B157" i="23"/>
  <c r="B165" i="23"/>
  <c r="B132" i="23"/>
  <c r="B134" i="23"/>
  <c r="B131" i="23"/>
  <c r="B133" i="23"/>
  <c r="B169" i="23"/>
  <c r="B168" i="23"/>
  <c r="B160" i="23" l="1"/>
  <c r="B161" i="23"/>
  <c r="B135" i="23"/>
  <c r="B137" i="23" s="1"/>
  <c r="B139" i="23" l="1"/>
  <c r="B8" i="23"/>
  <c r="E5" i="23"/>
  <c r="B5" i="23"/>
  <c r="G16" i="21"/>
  <c r="H16" i="21" s="1"/>
  <c r="G17" i="21"/>
  <c r="H17" i="21" s="1"/>
  <c r="G18" i="21"/>
  <c r="H18" i="21" s="1"/>
  <c r="B193" i="23" l="1"/>
  <c r="B194" i="23"/>
  <c r="B196" i="23"/>
  <c r="B191" i="23"/>
  <c r="B197" i="23"/>
  <c r="B198" i="23"/>
  <c r="B199" i="23"/>
  <c r="B195" i="23"/>
  <c r="B192" i="23"/>
  <c r="B172" i="23"/>
  <c r="B202" i="23" s="1"/>
  <c r="B170" i="23"/>
  <c r="B200" i="23" s="1"/>
  <c r="B153" i="23"/>
  <c r="B190" i="23" s="1"/>
  <c r="B142" i="23"/>
  <c r="B179" i="23" s="1"/>
  <c r="B150" i="23"/>
  <c r="B187" i="23" s="1"/>
  <c r="B148" i="23"/>
  <c r="B185" i="23" s="1"/>
  <c r="B149" i="23"/>
  <c r="B186" i="23" s="1"/>
  <c r="B144" i="23"/>
  <c r="B181" i="23" s="1"/>
  <c r="B145" i="23"/>
  <c r="B182" i="23" s="1"/>
  <c r="B143" i="23"/>
  <c r="B180" i="23" s="1"/>
  <c r="B146" i="23"/>
  <c r="B183" i="23" s="1"/>
  <c r="B147" i="23"/>
  <c r="B184" i="23" s="1"/>
  <c r="B171" i="23"/>
  <c r="B201" i="23" s="1"/>
  <c r="B43" i="4"/>
  <c r="B152" i="23" l="1"/>
  <c r="B189" i="23" s="1"/>
  <c r="B151" i="23"/>
  <c r="B188" i="23" s="1"/>
  <c r="B203" i="23" l="1"/>
  <c r="B204" i="23" s="1"/>
  <c r="B174" i="16"/>
  <c r="B185" i="16"/>
  <c r="I39" i="16"/>
  <c r="B133" i="16" s="1"/>
  <c r="B142" i="16" s="1"/>
  <c r="I38" i="16"/>
  <c r="B122" i="16" s="1"/>
  <c r="B123" i="16" s="1"/>
  <c r="B175" i="16" s="1"/>
  <c r="B134" i="16"/>
  <c r="J37" i="17"/>
  <c r="B62" i="17" s="1"/>
  <c r="B43" i="17"/>
  <c r="B39" i="17"/>
  <c r="B28" i="17"/>
  <c r="B27" i="17"/>
  <c r="B30" i="17" s="1"/>
  <c r="B86" i="16"/>
  <c r="B77" i="16"/>
  <c r="B78" i="16"/>
  <c r="B33" i="17"/>
  <c r="B137" i="16"/>
  <c r="B138" i="16"/>
  <c r="B151" i="16"/>
  <c r="B152" i="16" s="1"/>
  <c r="I9" i="20"/>
  <c r="J9" i="20"/>
  <c r="I8" i="20"/>
  <c r="J8" i="20"/>
  <c r="H8" i="21"/>
  <c r="H9" i="21"/>
  <c r="H10" i="21"/>
  <c r="H11" i="21"/>
  <c r="H7" i="21"/>
  <c r="H6" i="21"/>
  <c r="H5" i="21"/>
  <c r="I10" i="20"/>
  <c r="J6" i="20"/>
  <c r="J7" i="20"/>
  <c r="J11" i="20"/>
  <c r="M11" i="20" s="1"/>
  <c r="J12" i="20"/>
  <c r="M12" i="20" s="1"/>
  <c r="J5" i="20"/>
  <c r="M5" i="20" s="1"/>
  <c r="I6" i="20"/>
  <c r="I7" i="20"/>
  <c r="I11" i="20"/>
  <c r="L11" i="20" s="1"/>
  <c r="I12" i="20"/>
  <c r="L12" i="20" s="1"/>
  <c r="I5" i="20"/>
  <c r="L5" i="20" s="1"/>
  <c r="I10" i="19"/>
  <c r="B184" i="16"/>
  <c r="B183" i="16"/>
  <c r="B182" i="16"/>
  <c r="B144" i="16"/>
  <c r="B140" i="16"/>
  <c r="B143" i="16"/>
  <c r="B139" i="16"/>
  <c r="B173" i="16"/>
  <c r="I9" i="19"/>
  <c r="B141" i="16" l="1"/>
  <c r="B44" i="17"/>
  <c r="B110" i="16"/>
  <c r="B153" i="16"/>
  <c r="B180" i="16"/>
  <c r="B206" i="16" s="1"/>
  <c r="B119" i="16"/>
  <c r="B205" i="16" l="1"/>
  <c r="B207" i="16"/>
  <c r="B88" i="16"/>
  <c r="B63" i="4"/>
  <c r="B60" i="4"/>
  <c r="B59" i="4"/>
  <c r="B58" i="4"/>
  <c r="B145" i="16" l="1"/>
  <c r="B146" i="16" s="1"/>
  <c r="B79" i="16"/>
  <c r="B80" i="16"/>
  <c r="B111" i="16"/>
  <c r="B54" i="17" l="1"/>
  <c r="B55" i="17" s="1"/>
  <c r="B73" i="17" s="1"/>
  <c r="B90" i="4"/>
  <c r="B91" i="4"/>
  <c r="B92" i="4"/>
  <c r="B93" i="4"/>
  <c r="B94" i="4"/>
  <c r="B89" i="4"/>
  <c r="B81" i="17"/>
  <c r="B32" i="17"/>
  <c r="B31" i="17"/>
  <c r="B75" i="17" l="1"/>
  <c r="B76" i="17"/>
  <c r="B84" i="17"/>
  <c r="B78" i="17"/>
  <c r="B34" i="17"/>
  <c r="B77" i="17" l="1"/>
  <c r="B56" i="17"/>
  <c r="B57" i="17" s="1"/>
  <c r="B79" i="17" s="1"/>
  <c r="B74" i="17"/>
  <c r="B92" i="17" l="1"/>
  <c r="B86" i="17"/>
  <c r="B89" i="17"/>
  <c r="B87" i="17"/>
  <c r="B88" i="17"/>
  <c r="B64" i="17"/>
  <c r="B68" i="4" a="1"/>
  <c r="B68" i="4" s="1"/>
  <c r="B73" i="4" a="1"/>
  <c r="B73" i="4" s="1"/>
  <c r="B75" i="4" s="1"/>
  <c r="B74" i="4" a="1"/>
  <c r="B74" i="4" s="1"/>
  <c r="B76" i="4" s="1"/>
  <c r="B100" i="4"/>
  <c r="B65" i="17" l="1"/>
  <c r="B82" i="17"/>
  <c r="B94" i="17" s="1"/>
  <c r="B93" i="17"/>
  <c r="B172" i="16"/>
  <c r="B204" i="16" s="1"/>
  <c r="B116" i="16"/>
  <c r="B171" i="16" s="1"/>
  <c r="B203" i="16" s="1"/>
  <c r="B168" i="16"/>
  <c r="B200" i="16" s="1"/>
  <c r="I15" i="19"/>
  <c r="B13" i="16"/>
  <c r="I11" i="19"/>
  <c r="I8" i="19"/>
  <c r="I7" i="19"/>
  <c r="I6" i="19"/>
  <c r="I5" i="19"/>
  <c r="I14" i="19"/>
  <c r="I13" i="19"/>
  <c r="I12" i="19"/>
  <c r="B125" i="16" l="1"/>
  <c r="B176" i="16" s="1"/>
  <c r="B208" i="16" s="1"/>
  <c r="B46" i="16"/>
  <c r="B24" i="16"/>
  <c r="B36" i="16"/>
  <c r="B40" i="16"/>
  <c r="B28" i="16"/>
  <c r="B32" i="16"/>
  <c r="B20" i="16"/>
  <c r="B94" i="16"/>
  <c r="B93" i="16"/>
  <c r="B58" i="16"/>
  <c r="B65" i="16" s="1"/>
  <c r="B76" i="16" s="1"/>
  <c r="B81" i="16" s="1"/>
  <c r="B66" i="16" l="1"/>
  <c r="B90" i="16" s="1"/>
  <c r="B59" i="16"/>
  <c r="B89" i="16" s="1"/>
  <c r="B63" i="16"/>
  <c r="B95" i="16"/>
  <c r="B96" i="16" s="1"/>
  <c r="B83" i="16" l="1"/>
  <c r="B108" i="16"/>
  <c r="B167" i="16" s="1"/>
  <c r="B199" i="16" s="1"/>
  <c r="B189" i="16"/>
  <c r="B186" i="16"/>
  <c r="B187" i="16"/>
  <c r="B188" i="16"/>
  <c r="B112" i="16"/>
  <c r="B169" i="16" s="1"/>
  <c r="B201" i="16" s="1"/>
  <c r="B147" i="16"/>
  <c r="B148" i="16" s="1"/>
  <c r="B52" i="16"/>
  <c r="B56" i="16" s="1"/>
  <c r="B82" i="16" s="1"/>
  <c r="B70" i="16" l="1"/>
  <c r="B84" i="16" s="1"/>
  <c r="B8" i="17"/>
  <c r="B68" i="17" s="1"/>
  <c r="E5" i="17"/>
  <c r="B5" i="17"/>
  <c r="B8" i="16"/>
  <c r="E5" i="16"/>
  <c r="B5" i="16"/>
  <c r="B162" i="16" l="1"/>
  <c r="B195" i="16" s="1"/>
  <c r="B163" i="16"/>
  <c r="B196" i="16" s="1"/>
  <c r="B71" i="17"/>
  <c r="B70" i="17"/>
  <c r="B161" i="16"/>
  <c r="B194" i="16" s="1"/>
  <c r="B164" i="16"/>
  <c r="B197" i="16" s="1"/>
  <c r="B158" i="16"/>
  <c r="B191" i="16" s="1"/>
  <c r="B159" i="16"/>
  <c r="B192" i="16" s="1"/>
  <c r="B69" i="17"/>
  <c r="B165" i="16"/>
  <c r="B198" i="16" s="1"/>
  <c r="B177" i="16"/>
  <c r="B209" i="16" s="1"/>
  <c r="B95" i="17" l="1"/>
  <c r="B91" i="17"/>
  <c r="B149" i="16"/>
  <c r="B150" i="16" s="1"/>
  <c r="B154" i="16" s="1"/>
  <c r="B160" i="16"/>
  <c r="B193" i="16" s="1"/>
  <c r="B155" i="16" l="1"/>
  <c r="B178" i="16"/>
  <c r="B210" i="16" s="1"/>
  <c r="B113" i="16"/>
  <c r="B170" i="16" s="1"/>
  <c r="B202" i="16" s="1"/>
  <c r="B96" i="17"/>
  <c r="B211" i="16" l="1"/>
  <c r="B212" i="16" s="1"/>
  <c r="B40" i="4"/>
  <c r="B38" i="4"/>
  <c r="B37" i="4"/>
  <c r="B69" i="4" s="1"/>
  <c r="B36" i="4"/>
  <c r="B44" i="4" s="1"/>
  <c r="B35" i="4"/>
  <c r="B61" i="4" l="1"/>
  <c r="B62" i="4" s="1"/>
  <c r="B26" i="4"/>
  <c r="B16" i="4" a="1"/>
  <c r="B16" i="4" s="1"/>
  <c r="B41" i="4" s="1"/>
  <c r="B15" i="4" a="1"/>
  <c r="B15" i="4" s="1"/>
  <c r="B39" i="4" s="1"/>
  <c r="B70" i="4" l="1"/>
  <c r="B71" i="4" s="1"/>
  <c r="B99" i="4" s="1"/>
  <c r="B72" i="4" l="1"/>
  <c r="B96" i="4"/>
  <c r="B98" i="4"/>
  <c r="B97" i="4"/>
  <c r="B95" i="4"/>
  <c r="B104" i="4"/>
  <c r="B111" i="4" l="1"/>
  <c r="B114" i="4"/>
  <c r="B77" i="4" l="1"/>
  <c r="B106" i="4" s="1"/>
  <c r="B109" i="4" l="1"/>
  <c r="B110" i="4"/>
  <c r="B108" i="4"/>
  <c r="B82" i="4"/>
  <c r="B107" i="4"/>
  <c r="B101" i="4"/>
  <c r="B8" i="4"/>
  <c r="B83" i="4" l="1"/>
  <c r="B102" i="4"/>
  <c r="B115" i="4"/>
  <c r="B86" i="4"/>
  <c r="B87" i="4"/>
  <c r="B116" i="4" l="1"/>
  <c r="B117" i="4"/>
  <c r="B113" i="4"/>
  <c r="E5" i="4" l="1"/>
  <c r="B5" i="4" l="1"/>
  <c r="B118" i="4" l="1"/>
  <c r="B34" i="28" l="1"/>
  <c r="B39" i="28" s="1"/>
  <c r="B40" i="28" s="1"/>
  <c r="B41" i="28" s="1"/>
  <c r="B42" i="28" s="1"/>
  <c r="B39" i="30"/>
  <c r="B45" i="30" s="1"/>
  <c r="B46" i="30" s="1"/>
  <c r="B47" i="30" s="1"/>
  <c r="B48" i="30" s="1"/>
  <c r="B39" i="31"/>
  <c r="B45" i="31"/>
  <c r="B46" i="31" s="1"/>
  <c r="B47" i="31" l="1"/>
  <c r="B48" i="31"/>
  <c r="B49" i="31" l="1"/>
  <c r="B50" i="31"/>
  <c r="B32" i="32" l="1"/>
  <c r="B36" i="32" s="1"/>
  <c r="B37" i="32" s="1"/>
  <c r="B38" i="32" s="1"/>
  <c r="B39" i="32" s="1"/>
  <c r="B33" i="34"/>
  <c r="B37" i="34" s="1"/>
  <c r="B38" i="34" s="1"/>
  <c r="B39" i="34" l="1"/>
  <c r="B41" i="34" s="1"/>
  <c r="B40" i="3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<sst xmlns="http://schemas.openxmlformats.org/spreadsheetml/2006/main" count="5878" uniqueCount="1313">
  <si>
    <t>Title:</t>
  </si>
  <si>
    <t>Developers:</t>
  </si>
  <si>
    <t>Acknowledgements:</t>
  </si>
  <si>
    <t>Affiliations:</t>
  </si>
  <si>
    <t>University of New South Wales (UNSW)</t>
  </si>
  <si>
    <t>Particles and Catalysis Research Group (PartCat), UNSW</t>
  </si>
  <si>
    <t>ARC Training Centre for The Global Hydrogen Economy (GlobH2E)</t>
  </si>
  <si>
    <t>Contact Person</t>
  </si>
  <si>
    <t>Name:</t>
  </si>
  <si>
    <t>Affiliation:</t>
  </si>
  <si>
    <t>Email:</t>
  </si>
  <si>
    <t>r.daiyan@unsw.edu.au</t>
  </si>
  <si>
    <t>Copyright Information</t>
  </si>
  <si>
    <t>Disclaimer:</t>
  </si>
  <si>
    <t>Distribution License:</t>
  </si>
  <si>
    <t>Permission is hereby granted, free of charge, to any person obtaining a copy of this software and associated documentation files (the "Software"), to deal in the Software without restriction, including without limitation the rights to use, copy, modify, merge, publish, distribute, sublicense, and/or sell copies of the Software, and to permit persons to whom the Software is furnished to do so, subject to the following conditions:</t>
  </si>
  <si>
    <t>The above copyright notice and this permission notice shall be included in all copies or substantial portions of the Software.</t>
  </si>
  <si>
    <t>THE SOFTWARE IS PROVIDED "AS IS", WITHOUT WARRANTY OF ANY KIND, EXPRESS OR IMPLIED, INCLUDING BUT NOT LIMITED TO THE WARRANTIES OF MERCHANTABILITY, FITNESS FOR A PARTICULAR PURPOSE AND NONINFRINGEMENT. IN NO EVENT SHALL THE AUTHORS OR COPYRIGHT HOLDERS BE LIABLE FOR ANY CLAIM, DAMAGES OR OTHER LIABILITY, WHETHER IN AN ACTION OF CONTRACT, TORT OR OTHERWISE, ARISING FROM, OUT OF OR IN CONNECTION WITH THE SOFTWARE OR THE USE OR OTHER DEALINGS IN THE SOFTWARE.</t>
  </si>
  <si>
    <t>Citation:</t>
  </si>
  <si>
    <t>Project Description</t>
  </si>
  <si>
    <t>Project Statement</t>
  </si>
  <si>
    <t>Tool Competencies</t>
  </si>
  <si>
    <t>Analysis Methodology</t>
  </si>
  <si>
    <t>Table of Contents</t>
  </si>
  <si>
    <t>Cell Colour Coding</t>
  </si>
  <si>
    <t>Name</t>
  </si>
  <si>
    <t>Representation</t>
  </si>
  <si>
    <t>Function</t>
  </si>
  <si>
    <t>Input</t>
  </si>
  <si>
    <t>XXX</t>
  </si>
  <si>
    <t>Cells that can be changed</t>
  </si>
  <si>
    <t>Output</t>
  </si>
  <si>
    <t>Computed key outputs that should not be changed</t>
  </si>
  <si>
    <t>Calculation</t>
  </si>
  <si>
    <t>Represent intermediate calculations to achieve key outputs. Do not change these cells.</t>
  </si>
  <si>
    <t>Important Note</t>
  </si>
  <si>
    <t>Used to highlight important instructions</t>
  </si>
  <si>
    <t>Value not in use</t>
  </si>
  <si>
    <t>Cell is not used in calculations based on the set configuration</t>
  </si>
  <si>
    <t>S1. Shipping Model</t>
  </si>
  <si>
    <t>Unit</t>
  </si>
  <si>
    <t>Value</t>
  </si>
  <si>
    <t>Note</t>
  </si>
  <si>
    <t>Default Value</t>
  </si>
  <si>
    <t>Financial Assumptions</t>
  </si>
  <si>
    <t>-</t>
  </si>
  <si>
    <t>Interest Rate</t>
  </si>
  <si>
    <t>%</t>
  </si>
  <si>
    <t>Annual Interest Rate</t>
  </si>
  <si>
    <t>Economic Life</t>
  </si>
  <si>
    <t>years</t>
  </si>
  <si>
    <t>Economic life of the ship and additional capital costs</t>
  </si>
  <si>
    <t>CRF</t>
  </si>
  <si>
    <t>Capital Recovery Factor</t>
  </si>
  <si>
    <t>knots</t>
  </si>
  <si>
    <t>Days per year in operation</t>
  </si>
  <si>
    <t>days</t>
  </si>
  <si>
    <t>Canal and Port Assumptions</t>
  </si>
  <si>
    <t>Suez Canal Cost</t>
  </si>
  <si>
    <t>One-way canal cost</t>
  </si>
  <si>
    <t>Distance</t>
  </si>
  <si>
    <t>Nautical Miles</t>
  </si>
  <si>
    <t>Panama Canal Cost</t>
  </si>
  <si>
    <t>Suez Canal</t>
  </si>
  <si>
    <t>yes/no</t>
  </si>
  <si>
    <t>Port Days</t>
  </si>
  <si>
    <t>days to load/unload</t>
  </si>
  <si>
    <t>Time taken to load/unload ship at port</t>
  </si>
  <si>
    <t>Panama Canal</t>
  </si>
  <si>
    <t>Cost to dock at port (including cost to load and unload ship)</t>
  </si>
  <si>
    <t>Shipping Route</t>
  </si>
  <si>
    <t>Port of Departure</t>
  </si>
  <si>
    <t>N/A</t>
  </si>
  <si>
    <t>Fuel Energy Content</t>
  </si>
  <si>
    <t>MJ/kg</t>
  </si>
  <si>
    <t>Port of Arrival</t>
  </si>
  <si>
    <t>Rotterdam (the Netherlands)</t>
  </si>
  <si>
    <t>Ammonia</t>
  </si>
  <si>
    <t>Methanol</t>
  </si>
  <si>
    <t>MW</t>
  </si>
  <si>
    <t>Ship Engine Efficiency</t>
  </si>
  <si>
    <t>Ship Fuel Source</t>
  </si>
  <si>
    <t>Heavy Fuel Oil (HFO)</t>
  </si>
  <si>
    <t>Energy Required</t>
  </si>
  <si>
    <t>MWh/day</t>
  </si>
  <si>
    <t>Fuel Use</t>
  </si>
  <si>
    <t>tonnes/day</t>
  </si>
  <si>
    <t>Additional Costs</t>
  </si>
  <si>
    <t>Additional Capital Costs</t>
  </si>
  <si>
    <t>Additional Operating Costs</t>
  </si>
  <si>
    <t>Days (one way)</t>
  </si>
  <si>
    <t>Total Trip Days</t>
  </si>
  <si>
    <t>Trips per year</t>
  </si>
  <si>
    <t>Sailing Days</t>
  </si>
  <si>
    <t>Capital Costs</t>
  </si>
  <si>
    <t>Required Fuel</t>
  </si>
  <si>
    <t>Operating Costs</t>
  </si>
  <si>
    <t>Delivered Quantity</t>
  </si>
  <si>
    <t>S3. Route Data</t>
  </si>
  <si>
    <t>Marine Gas Oil (MGO)</t>
  </si>
  <si>
    <t>Very Low Sulfur Fuel Oil (VLSFO)</t>
  </si>
  <si>
    <t>Custom</t>
  </si>
  <si>
    <t>Distances (Nautical Miles)</t>
  </si>
  <si>
    <t>Notes</t>
  </si>
  <si>
    <t>Port Hedland (WA)</t>
  </si>
  <si>
    <t>Suez Canal (yes/no)</t>
  </si>
  <si>
    <t>YES</t>
  </si>
  <si>
    <t>NO</t>
  </si>
  <si>
    <t>Panama Canal (yes/no)</t>
  </si>
  <si>
    <t>Shipping Fuel Cost</t>
  </si>
  <si>
    <t>Shows if the shipping route will pass through the Suez Canal</t>
  </si>
  <si>
    <t>Shows if the shipping route will pass through the Panama Canal</t>
  </si>
  <si>
    <t>Preset Shipping Route</t>
  </si>
  <si>
    <t>Custom Shipping Route</t>
  </si>
  <si>
    <t>Ship Size and Characteristics</t>
  </si>
  <si>
    <t>Ship Details</t>
  </si>
  <si>
    <t>Length – lpp (m)</t>
  </si>
  <si>
    <t>Beam (m)</t>
  </si>
  <si>
    <t>Draft (m)</t>
  </si>
  <si>
    <t>Design speed</t>
  </si>
  <si>
    <t>Handysize</t>
  </si>
  <si>
    <t>Supramax</t>
  </si>
  <si>
    <t>Panamax</t>
  </si>
  <si>
    <t>HandyCape</t>
  </si>
  <si>
    <t>Capesize</t>
  </si>
  <si>
    <t>Can Travel Suez Canal?</t>
  </si>
  <si>
    <t>Can Travel Panama Canal?</t>
  </si>
  <si>
    <t>Design speed (knots)</t>
  </si>
  <si>
    <t>Based on dimensions of Suezmax (length: 275m, dwt:12000-200000 and draft: 20.1m)</t>
  </si>
  <si>
    <t>Panamax is largest ship size that can fit though the panama canal</t>
  </si>
  <si>
    <t>Ship Type</t>
  </si>
  <si>
    <t>Ship Characteristics</t>
  </si>
  <si>
    <t>Ship Cost Assumptions</t>
  </si>
  <si>
    <t>Dead weight (ship capacity)</t>
  </si>
  <si>
    <t>Installed power (ship engine capacity)</t>
  </si>
  <si>
    <t>Ship Fuel Cost Assumptions</t>
  </si>
  <si>
    <t>Installed power (MW)</t>
  </si>
  <si>
    <t>Fuel Costs</t>
  </si>
  <si>
    <t>This value is taken from the input sheet (if "Custom" ranges are input)</t>
  </si>
  <si>
    <t>A2. Ranges</t>
  </si>
  <si>
    <r>
      <rPr>
        <b/>
        <sz val="12"/>
        <color rgb="FFFF0000"/>
        <rFont val="Arial"/>
        <family val="2"/>
      </rPr>
      <t>Note:</t>
    </r>
    <r>
      <rPr>
        <sz val="12"/>
        <color rgb="FFFF0000"/>
        <rFont val="Arial"/>
        <family val="2"/>
      </rPr>
      <t xml:space="preserve">
DO NOT EDIT THIS SHEET
Defines the options shown by dropdown menus used throughout tool</t>
    </r>
  </si>
  <si>
    <t>Dropdown Selection</t>
  </si>
  <si>
    <t>Route Distance. Cells are active if port departure and arrival are set to "Custom"</t>
  </si>
  <si>
    <t>Input "YES" if route passes Suez Canal. Cells are active if port departure and arrival are set to "Custom"</t>
  </si>
  <si>
    <t>Input "YES" if route passes Panama Canal. Cells are active if port departure and arrival are set to "Custom"</t>
  </si>
  <si>
    <t>Warnings for Panama Canal</t>
  </si>
  <si>
    <t>Warnings for Suez Canal</t>
  </si>
  <si>
    <t xml:space="preserve">Produces a warning if selected ship type cannot pass through canal. </t>
  </si>
  <si>
    <t>States if ship can pass through suez canal</t>
  </si>
  <si>
    <t>States if ship can pass through panama canal</t>
  </si>
  <si>
    <t>Fuel Carbon Emissions</t>
  </si>
  <si>
    <t>Assumes capacity is the same between dry-bulk commodity (e.g. iron ore) or break-bulk commodity (e.g. iron/steel)</t>
  </si>
  <si>
    <t>Parameter</t>
  </si>
  <si>
    <t>If using custom ports, "Custom" MUST be selected for both ports, if selected, model will take values from "Custom Shipping Route Inputs" below</t>
  </si>
  <si>
    <t>Suez Canal Cost (one way)</t>
  </si>
  <si>
    <t>Panana Canal Cost (one way)</t>
  </si>
  <si>
    <t>S1. Ore Extraction and Transport Model</t>
  </si>
  <si>
    <t>km</t>
  </si>
  <si>
    <t>AUD</t>
  </si>
  <si>
    <t>Mine Capacity</t>
  </si>
  <si>
    <t>Annual Production of Iron Ore</t>
  </si>
  <si>
    <t>Factor</t>
  </si>
  <si>
    <t>Annual Maintenance Costs</t>
  </si>
  <si>
    <t>Daily Production of Iron Ore</t>
  </si>
  <si>
    <t>"Costs and Cost Estimation" T. Alan,  O'Hara and Stanley C.Suboleski
https://nubeminera.cl/wp-content/uploads/2019/05/Nube-Minera-OHara-Subolewsky.pdf</t>
  </si>
  <si>
    <t>USD</t>
  </si>
  <si>
    <t>Cost of Drilling Equipment</t>
  </si>
  <si>
    <t>Drilling Equipment</t>
  </si>
  <si>
    <t>Number of Drills</t>
  </si>
  <si>
    <t>Number of drills required for the minesite.</t>
  </si>
  <si>
    <t>2-4 drills for an open pit mine of less than 60,000 tpd. 
"Costs and Cost Estimation" T. Alan,  O'Hara and Stanley C.Suboleski
https://nubeminera.cl/wp-content/uploads/2019/05/Nube-Minera-OHara-Subolewsky.pdf</t>
  </si>
  <si>
    <t>Drill Diameter</t>
  </si>
  <si>
    <t>inches</t>
  </si>
  <si>
    <t>Number of Shovels</t>
  </si>
  <si>
    <t>Number of Trucks</t>
  </si>
  <si>
    <t>Integer</t>
  </si>
  <si>
    <t>Shovel Equipment Cost (Loading Equipment Cost)</t>
  </si>
  <si>
    <t>Truck Equipment Cost (Haulage Equipment Cost)</t>
  </si>
  <si>
    <t>This is an estimate of drill diameter based on ore production capacity</t>
  </si>
  <si>
    <t>Tailings Dam Storage</t>
  </si>
  <si>
    <t>Tailings Dam Storage Cost</t>
  </si>
  <si>
    <t>System Sizing</t>
  </si>
  <si>
    <t>The following is a summary table of the reference costs and the corresponding CEPCI indexes used to adjust these to present-day costs</t>
  </si>
  <si>
    <t>Reference</t>
  </si>
  <si>
    <t>Unit Description in this Analysis</t>
  </si>
  <si>
    <t>Unit Description in Reference</t>
  </si>
  <si>
    <t>Reference CAPEX</t>
  </si>
  <si>
    <t xml:space="preserve">Reference Year </t>
  </si>
  <si>
    <t>CEPCI of Reference Year</t>
  </si>
  <si>
    <t xml:space="preserve">Adjusted CAPEX </t>
  </si>
  <si>
    <t>Currency of Reference</t>
  </si>
  <si>
    <t>Notes/ Comments</t>
  </si>
  <si>
    <t>Drilling Equipment Costs</t>
  </si>
  <si>
    <t>Drilling Equipment Cost</t>
  </si>
  <si>
    <t>Drill cost at reference size</t>
  </si>
  <si>
    <t>Drill reference size</t>
  </si>
  <si>
    <t>Shovel Capacity</t>
  </si>
  <si>
    <t>Loading Equipment Costs</t>
  </si>
  <si>
    <t>Loading Equipment Cost</t>
  </si>
  <si>
    <t>Cubic Yards</t>
  </si>
  <si>
    <t>Loading Cost at reference size</t>
  </si>
  <si>
    <t>Loading Equipment</t>
  </si>
  <si>
    <t>Hauling Equipment</t>
  </si>
  <si>
    <t>Truck Capacity</t>
  </si>
  <si>
    <t>Haulage Equipment Cost</t>
  </si>
  <si>
    <t>Reference Shovel Size of Loading Equipment</t>
  </si>
  <si>
    <t>Reference Haulage Truck Capacity</t>
  </si>
  <si>
    <t>Crushing and Screening Plant Building Cost</t>
  </si>
  <si>
    <t>Concentrator Building Costs</t>
  </si>
  <si>
    <t>The cost of the concentrator building (Fig. 6.3.15) includes all costs of constructing the building above the concrete foundations and enclosing the building, plus the cost of internal offices, laboratories, and changerooms; however, it does not include the cost of process equipment, piping, or electrical wiring, because these items are included in the costs of each functional area</t>
  </si>
  <si>
    <t>Crushing and Screening Building Costs</t>
  </si>
  <si>
    <t>Fine Ore Crushing and Conveyors Cost</t>
  </si>
  <si>
    <t>Primary Crushing Plant Cost</t>
  </si>
  <si>
    <t>Grinding and Storage</t>
  </si>
  <si>
    <t>Primary Crushing Plant</t>
  </si>
  <si>
    <t>The cost correlation in the reference omits the cost of the crusher, however, the cost of the crusher is minimal when compared to the cost estimate of the primary crushing plant, so was omitted from this cost estimate for simplicity</t>
  </si>
  <si>
    <t>Fine ore crushing and coveyors</t>
  </si>
  <si>
    <t>Grinding and Bins</t>
  </si>
  <si>
    <t>For medium hard ore with a work index of 15, ground to 70% passing 200 mesh</t>
  </si>
  <si>
    <t>Tailings dam costs</t>
  </si>
  <si>
    <t>Tailings Storage</t>
  </si>
  <si>
    <t>Operating Cost Estimates</t>
  </si>
  <si>
    <t>Engineering Economy Analysis on the Production of Iron Ore in Nigeria R. A. Adebimpe, J. M. Akande
doi:10.4236/gm.2011.11002</t>
  </si>
  <si>
    <t>Number of Mill Personnel</t>
  </si>
  <si>
    <t>Number of Service Personnel</t>
  </si>
  <si>
    <t>Number of Administrative Personnel</t>
  </si>
  <si>
    <t>Number of Mining Personnel for Open Pit mine</t>
  </si>
  <si>
    <t>Engineering Economy Analysis on the Production of Iron Ore in Nigeria R. A. Adebimpe, J. M. Akande. doi:10.4236/gm.2011.11002</t>
  </si>
  <si>
    <t>Life cycle assessment of iron ore mining and processing N. Haque, T. Norgate CSIRO Mineral Resources Flagship, Clayton South, VIC, Australia http://dx.doi.org/10.1016/B978-1-78242-156-6.00020-4</t>
  </si>
  <si>
    <t>Blasting Explosives Requirements</t>
  </si>
  <si>
    <t>Crushing, Grinding &amp; Screening Electricity Requirements</t>
  </si>
  <si>
    <t>Staffing Requirements</t>
  </si>
  <si>
    <t>Blasting Operating Requirements</t>
  </si>
  <si>
    <t>Crushing, Grinding &amp; Screening Operating Requirements</t>
  </si>
  <si>
    <t>Operating Requirements</t>
  </si>
  <si>
    <t>Overall Maintenance Costs</t>
  </si>
  <si>
    <t>Explosives Cost</t>
  </si>
  <si>
    <t>Explosives Price</t>
  </si>
  <si>
    <t>Assuming ANFO is used as the explosive (Ammonium Nitrate/Fuel Oil)</t>
  </si>
  <si>
    <t>Electricity Price</t>
  </si>
  <si>
    <t>Staffing Cost</t>
  </si>
  <si>
    <t>Total annual staffing costs</t>
  </si>
  <si>
    <t>Diesel price</t>
  </si>
  <si>
    <t>Diesel costs for drilling equipment operation</t>
  </si>
  <si>
    <t>Diesel costs for truck and shovel equipment operation</t>
  </si>
  <si>
    <t>Annual Staffing Costs</t>
  </si>
  <si>
    <t>Annual Explosives Costs</t>
  </si>
  <si>
    <t>Explosives costs for mining operations</t>
  </si>
  <si>
    <t>Annual Crushing, Grinding &amp; Screening Electricity Costs</t>
  </si>
  <si>
    <t>Total annual electicity costs</t>
  </si>
  <si>
    <t>Total annual maintenance costs</t>
  </si>
  <si>
    <t>Levelised Cost Analysis</t>
  </si>
  <si>
    <t>Drilling Equipment CAPEX</t>
  </si>
  <si>
    <t>Loading Equipment CAPEX</t>
  </si>
  <si>
    <t>Haulage Equipment CAPEX</t>
  </si>
  <si>
    <t xml:space="preserve">Crushing, Grinding &amp; Screening </t>
  </si>
  <si>
    <t>Crushing, Grinding &amp; Screening CAPEX</t>
  </si>
  <si>
    <t>Tailings Dam CAPEX</t>
  </si>
  <si>
    <t>Levelised Cost</t>
  </si>
  <si>
    <t>User input value to account for any additional operating costs unaccounted for by this model</t>
  </si>
  <si>
    <t>Additional CAPEX</t>
  </si>
  <si>
    <t>USD/yr</t>
  </si>
  <si>
    <t>USD/kWh</t>
  </si>
  <si>
    <t>USD/year</t>
  </si>
  <si>
    <t>Newbuild cost (USD)</t>
  </si>
  <si>
    <t>Summary of Route Calculations</t>
  </si>
  <si>
    <t>trips/yr</t>
  </si>
  <si>
    <t>Ship CAPEX</t>
  </si>
  <si>
    <t>Annual Canal Costs</t>
  </si>
  <si>
    <t>Additional Annual Operating Cost</t>
  </si>
  <si>
    <t>Annual Fuel Cost</t>
  </si>
  <si>
    <t>https://agrifutures.com.au/wp-content/uploads/publications/07-185.pdf</t>
  </si>
  <si>
    <t>Rail Transportation</t>
  </si>
  <si>
    <t>Wagon Capacity</t>
  </si>
  <si>
    <t>Number of Wagons per Train</t>
  </si>
  <si>
    <t>integer</t>
  </si>
  <si>
    <t>Number of wagons per train</t>
  </si>
  <si>
    <t>Wagon capacity</t>
  </si>
  <si>
    <t>Capital Cost Assumptions</t>
  </si>
  <si>
    <t>Locomotive Cost</t>
  </si>
  <si>
    <t>Wagon Cost</t>
  </si>
  <si>
    <t>226-270 wagons/train
https://www.railway-technology.com/projects/hamersley-freight-line/?cf-view
https://www.bhp.com/news/media-centre/releases/2022/01/bhp-orders-four-battery-electric-locomotives-for-waio-rail-network</t>
  </si>
  <si>
    <t>Number of Locomotives per Train</t>
  </si>
  <si>
    <t>3-4 Locomotives/train
https://www.bhp.com/news/media-centre/releases/2022/01/bhp-orders-four-battery-electric-locomotives-for-waio-rail-network
https://www.pilbararailways.com.au/rt/rio.php</t>
  </si>
  <si>
    <t>USD/wagon</t>
  </si>
  <si>
    <t>USD/locomotive</t>
  </si>
  <si>
    <t>USD/train</t>
  </si>
  <si>
    <t>Operating Cost Assumptions</t>
  </si>
  <si>
    <t>Wagon Empty Weight</t>
  </si>
  <si>
    <t>Locomotive Empty Weight</t>
  </si>
  <si>
    <t>Journey Assumptions</t>
  </si>
  <si>
    <t>Assumed</t>
  </si>
  <si>
    <t>Locomotive Maintenance &amp; Repair</t>
  </si>
  <si>
    <t>Wagon Maintenance &amp; Repair</t>
  </si>
  <si>
    <t>Rail Network Maintenance &amp; Repair</t>
  </si>
  <si>
    <t>USD/km</t>
  </si>
  <si>
    <t>Cargo Insurance</t>
  </si>
  <si>
    <t>USD/tkm</t>
  </si>
  <si>
    <t>USD/ntkm</t>
  </si>
  <si>
    <t>Total Train Gross Weight</t>
  </si>
  <si>
    <t>21.7 tare weight of coal wagon
https://www.artc.com.au/library/GI_10_loco_rs_data.pdf?v=2.1</t>
  </si>
  <si>
    <t>Staffing requirements for train operation</t>
  </si>
  <si>
    <t>Total time to load train</t>
  </si>
  <si>
    <t>Total time to unload train</t>
  </si>
  <si>
    <t>Average speed</t>
  </si>
  <si>
    <t>km/h</t>
  </si>
  <si>
    <t xml:space="preserve"> </t>
  </si>
  <si>
    <t>Round-trip Time</t>
  </si>
  <si>
    <t>Trip journey to port and back, plus loading and unloading of material</t>
  </si>
  <si>
    <t>Total Round-trips per year</t>
  </si>
  <si>
    <t>Total Train Tare Weight</t>
  </si>
  <si>
    <t>Total Train Capacity (Total Train Net Weight)</t>
  </si>
  <si>
    <t>Fuel consumption accounts for the return journey of an empty train-load</t>
  </si>
  <si>
    <t>Total Wagon Capital Cost</t>
  </si>
  <si>
    <t>Total Locomotive Capital Cost</t>
  </si>
  <si>
    <t>Total Wagon CAPEX</t>
  </si>
  <si>
    <t>Total Locomotive CAPEX</t>
  </si>
  <si>
    <t xml:space="preserve">Operating Costs </t>
  </si>
  <si>
    <t>Locomotive Maintenance &amp; Repair Costs</t>
  </si>
  <si>
    <t>Wagon Maintenance &amp; Repair Costs</t>
  </si>
  <si>
    <t>Rail Network Maintenance &amp; Repair Costs</t>
  </si>
  <si>
    <t>Cargo Insurance Costs</t>
  </si>
  <si>
    <t>Staffing Costs</t>
  </si>
  <si>
    <t>Assumed rail access fees are charged each way of the journey</t>
  </si>
  <si>
    <t xml:space="preserve">Flag-fall rail access fees. Model assumes this is applied each way of the journey. </t>
  </si>
  <si>
    <t xml:space="preserve">Variable rail access fees. Model assumes this is applied each way of the journey. </t>
  </si>
  <si>
    <t xml:space="preserve"> Heavy Freight price AUD 3.998 (2.799 USD) per train kilometer 
https://www.artc.com.au/uploads/Pricing-Schedule-Effective-01072023.pdf</t>
  </si>
  <si>
    <t>Flag-fall Rail Access Fee Costs</t>
  </si>
  <si>
    <t>Flag-fall Rail Access Fees</t>
  </si>
  <si>
    <t>Variable Rail Access Fees</t>
  </si>
  <si>
    <t>Applied to each way of the journey</t>
  </si>
  <si>
    <t>Applied from journey from minesite to port</t>
  </si>
  <si>
    <t>(USD/km)/locomotive</t>
  </si>
  <si>
    <t>(USD/km)/wagon</t>
  </si>
  <si>
    <t>Aligns with the 50,000-75,000 USD/locomotive assumption used by: Preliminary Cost Document for the In-Use Locomotive Regulation, California air resources board, 2021. https://ww2.arb.ca.gov/sites/default/files/2021-03/3.16.21%20Locomotive%20Reg%20-%20Preliminary%20Cost%20Document_Final.pdf;</t>
  </si>
  <si>
    <t>Reference Cost</t>
  </si>
  <si>
    <t>0.1 AUD cents per net ton kilometer (adjusted to present-day costs: 0.15 AUD cents per net ton kilometer)
The Costs of Road and Rail Freight —Neutrality and efficiency in the farm-to-port logistics chain. Australian Government Rural Industries Research and Development Corporation—https://agrifutures.com.au/wp-content/uploads/publications/07-185.pdf</t>
  </si>
  <si>
    <t>1.60 AUD per 1000 gross ton kilometer  (adjusted to present-day costs: 2.42 AUD per 1000 gross ton kilometer )
The Costs of Road and Rail Freight —Neutrality and efficiency in the farm-to-port logistics chain. Australian Government Rural Industries Research and Development Corporation—https://agrifutures.com.au/wp-content/uploads/publications/07-185.pdf</t>
  </si>
  <si>
    <t>45-50 AUD/1000km (adjusted to present-day costs: 68-76 AUD/1000km)
The Costs of Road and Rail Freight —Neutrality and efficiency in the farm-to-port logistics chain. Australian Government Rural Industries Research and Development Corporation—https://agrifutures.com.au/wp-content/uploads/publications/07-185.pdf</t>
  </si>
  <si>
    <t>Crew Costs</t>
  </si>
  <si>
    <t>Stores &amp; Consumables</t>
  </si>
  <si>
    <t>Maintenance &amp; Repairs</t>
  </si>
  <si>
    <t>Insurance</t>
  </si>
  <si>
    <t>General Costs</t>
  </si>
  <si>
    <t>Periodic Maintenance</t>
  </si>
  <si>
    <t>Adjusted Cost</t>
  </si>
  <si>
    <t>Analyzing the economic benefit of unmanned autonomous ships: An
exploratory cost-comparison between an autonomous and a conventional
bulk carrier. http://dx.doi.org/10.1016/j.rtbm.2017.06.002</t>
  </si>
  <si>
    <t>268,000 USD/yr (adjusted to present-day costs: 374,633 USD/yr) Analyzing the economic benefit of unmanned autonomous ships: An exploratory cost-comparison between an autonomous and a conventional bulk carrier. http://dx.doi.org/10.1016/j.rtbm.2017.06.002</t>
  </si>
  <si>
    <t>420,000 USD/yr (adjusted to present-day costs: 587,112 USD/yr) Analyzing the economic benefit of unmanned autonomous ships: An exploratory cost-comparison between an autonomous and a conventional bulk carrier. http://dx.doi.org/10.1016/j.rtbm.2017.06.002</t>
  </si>
  <si>
    <t>Port Pilotage Charges</t>
  </si>
  <si>
    <t>Port Tonnage Charge</t>
  </si>
  <si>
    <t>Port Wharfage Charge</t>
  </si>
  <si>
    <t>Port Berthage Charge</t>
  </si>
  <si>
    <t>USD/hr</t>
  </si>
  <si>
    <t>Port tonnage is charges per "Gross Registered Tonnage (GRT)"</t>
  </si>
  <si>
    <t>up to 80km/h
https://www.railexpress.com.au/worlds-heaviest-haul-railway-fmg/</t>
  </si>
  <si>
    <t>hrs</t>
  </si>
  <si>
    <t>Assumed similar to unloading time</t>
  </si>
  <si>
    <t>Unloading time: 3hrs. Port Hedland Facts About the Industry of Port Hedland
https://www.phic-hedland.com.au/wp-content/uploads/2023/08/PC05694_PHIC-20222023-Industry-Booklet_v9.1.pdf</t>
  </si>
  <si>
    <t>15,071.37-21,844.98 AUD/vessel (10,549.96-15,291.49 USD/vessel) Pilbara Ports Authority, Scehdule of Port Charges Effective 1 July 2023 https://www.pilbaraports.com.au/about-pilbara-ports/publications/forms-and-publications/forms-and-publications/other/2023/may/july-2023-schedule-of-charges-port-of-port-hedland</t>
  </si>
  <si>
    <t>360.56-450.70 AUD/hr (252.39-315.49 USD/hr)
Pilbara Ports Authority, Scehdule of Port Charges Effective 1 July 2023 https://www.pilbaraports.com.au/about-pilbara-ports/publications/forms-and-publications/forms-and-publications/other/2023/may/july-2023-schedule-of-charges-port-of-port-hedland</t>
  </si>
  <si>
    <t>Annual Port Pilotage Charges</t>
  </si>
  <si>
    <t>Annual Port Tonnage Charge</t>
  </si>
  <si>
    <t>Annual Port Wharfage Charge</t>
  </si>
  <si>
    <t>Annual Port Berthage Charge</t>
  </si>
  <si>
    <t>Shipping the sunshine: An open-source model for costing renewable hydrogen transport from Australia https://doi.org/10.1016/j.ijhydene.2022.04.156</t>
  </si>
  <si>
    <t>Emissions Analysis</t>
  </si>
  <si>
    <t>Grid Electricity Emissions Factors (values obtained from: https://www.dcceew.gov.au/sites/default/files/documents/national-greenhouse-accounts-factors-2022.pdf)</t>
  </si>
  <si>
    <t xml:space="preserve">New South Wales and the Australian Capital Territory </t>
  </si>
  <si>
    <r>
      <t>kgCO</t>
    </r>
    <r>
      <rPr>
        <vertAlign val="subscript"/>
        <sz val="12"/>
        <color theme="1"/>
        <rFont val="Calibri"/>
        <family val="2"/>
        <scheme val="minor"/>
      </rPr>
      <t>2</t>
    </r>
    <r>
      <rPr>
        <sz val="12"/>
        <color theme="1"/>
        <rFont val="Calibri"/>
        <family val="2"/>
        <scheme val="minor"/>
      </rPr>
      <t>/MWh</t>
    </r>
  </si>
  <si>
    <t>Victoria</t>
  </si>
  <si>
    <t>Queensland</t>
  </si>
  <si>
    <t xml:space="preserve">South Australia </t>
  </si>
  <si>
    <t xml:space="preserve">Western Australia - South West Interconnected System (SWIS) </t>
  </si>
  <si>
    <t xml:space="preserve">Tasmania </t>
  </si>
  <si>
    <t>Northern Territory - Darwin Katherine Interconnected System (DKIS)</t>
  </si>
  <si>
    <t>Western Australia  - North Western Interconnected System (NWIS)</t>
  </si>
  <si>
    <t>Electricity</t>
  </si>
  <si>
    <t>Emissions Factors</t>
  </si>
  <si>
    <t>Carbon emissions per MWh of electricity generated</t>
  </si>
  <si>
    <t>Explosives</t>
  </si>
  <si>
    <t>Electricity (Crushing, Grinding &amp; Screening )</t>
  </si>
  <si>
    <t>CO2-eq Emissions</t>
  </si>
  <si>
    <t>Diesel</t>
  </si>
  <si>
    <r>
      <t>kgCO</t>
    </r>
    <r>
      <rPr>
        <vertAlign val="subscript"/>
        <sz val="12"/>
        <color theme="1"/>
        <rFont val="Calibri"/>
        <family val="2"/>
        <scheme val="minor"/>
      </rPr>
      <t>2</t>
    </r>
    <r>
      <rPr>
        <sz val="12"/>
        <color theme="1"/>
        <rFont val="Calibri"/>
        <family val="2"/>
        <scheme val="minor"/>
      </rPr>
      <t>/kgFuel</t>
    </r>
  </si>
  <si>
    <r>
      <t>kgCO</t>
    </r>
    <r>
      <rPr>
        <vertAlign val="subscript"/>
        <sz val="12"/>
        <color theme="1"/>
        <rFont val="Calibri"/>
        <family val="2"/>
        <scheme val="minor"/>
      </rPr>
      <t>2</t>
    </r>
    <r>
      <rPr>
        <sz val="12"/>
        <color theme="1"/>
        <rFont val="Calibri"/>
        <family val="2"/>
        <scheme val="minor"/>
      </rPr>
      <t>/yr</t>
    </r>
  </si>
  <si>
    <r>
      <t>kgCO</t>
    </r>
    <r>
      <rPr>
        <vertAlign val="subscript"/>
        <sz val="12"/>
        <color theme="1"/>
        <rFont val="Calibri"/>
        <family val="2"/>
        <scheme val="minor"/>
      </rPr>
      <t>2</t>
    </r>
    <r>
      <rPr>
        <sz val="12"/>
        <color theme="1"/>
        <rFont val="Calibri"/>
        <family val="2"/>
        <scheme val="minor"/>
      </rPr>
      <t>/kg</t>
    </r>
    <r>
      <rPr>
        <vertAlign val="subscript"/>
        <sz val="12"/>
        <color theme="1"/>
        <rFont val="Calibri"/>
        <family val="2"/>
        <scheme val="minor"/>
      </rPr>
      <t>ANFO</t>
    </r>
  </si>
  <si>
    <t>Mined Quantity</t>
  </si>
  <si>
    <t xml:space="preserve">Note:
a) The shipping distances were calculated from Sea Distances (https://sea-distances.org/) in Nautical Miles
b) This sheet should not need any modification or input, if users desire to model their own shipping route these inputs should be made in the "Custom Shipping Route Inputs" </t>
  </si>
  <si>
    <t>Caternary Line Installation Cost</t>
  </si>
  <si>
    <t>Fuel Source</t>
  </si>
  <si>
    <t>Diesel Default Value</t>
  </si>
  <si>
    <t xml:space="preserve">Hydrogen Fuel Cell Default Value </t>
  </si>
  <si>
    <t>Caternary Line Installation Cost (USD/km)</t>
  </si>
  <si>
    <t>0 no need for caternary lines for diesel powered train</t>
  </si>
  <si>
    <t>1.76 million USD/km 
https://journals.sagepub.com/doi/pdf/10.1177/0954409719867495</t>
  </si>
  <si>
    <t>0 no need for caternary lines for hydrogen powered train</t>
  </si>
  <si>
    <t>2.95 million USD for a 3.28MW diesel locomotive https://journals.sagepub.com/doi/pdf/10.1177/0954409719867495</t>
  </si>
  <si>
    <t>4.1 million USD for a 3.28MW electric locomotive https://journals.sagepub.com/doi/pdf/10.1177/0954409719867495</t>
  </si>
  <si>
    <t>Locomotive Cost (USD/locomotive)</t>
  </si>
  <si>
    <t>Locomotive Maintenance ((USD/km)/locomotive)</t>
  </si>
  <si>
    <t>Assumed same weight as the electric locomotive</t>
  </si>
  <si>
    <t>20 years. Based on the useful life of a locomotive. https://journals.sagepub.com/doi/pdf/10.1177/0954409719867495</t>
  </si>
  <si>
    <t>Diesel: 5.31USD/km https://journals.sagepub.com/doi/pdf/10.1177/0954409719867495</t>
  </si>
  <si>
    <t>Electric: 3.03 USD/km https://journals.sagepub.com/doi/pdf/10.1177/0954409719867495</t>
  </si>
  <si>
    <t>Type of Locomotive</t>
  </si>
  <si>
    <t>Refer to Locomotive Assumptions Table</t>
  </si>
  <si>
    <t>Fuel Price (USD/kWh)</t>
  </si>
  <si>
    <t>Emissions Factor (kgCO2/kWh)</t>
  </si>
  <si>
    <t>Locomotive and Fuel Assumptions</t>
  </si>
  <si>
    <t>0.131 USD/kWh assumign an energy density of 0.0386GJ/L (https://www.dcceew.gov.au/sites/default/files/documents/national-greenhouse-accounts-factors-2022.pdf) and a price of 1.40 USD/L (2 AUD/L (assuming 0.7:1 USD:AUD)
https://www.aip.com.au/pricing/terminal-gate-prices)</t>
  </si>
  <si>
    <t>Assuming 0 for Green Hydrogen</t>
  </si>
  <si>
    <t>70.4 kgCO2/GJ (0.253 kgCO2/kWh)
https://www.dcceew.gov.au/sites/default/files/documents/national-greenhouse-accounts-factors-2022.pdf</t>
  </si>
  <si>
    <t>Fuel Consumption</t>
  </si>
  <si>
    <t>kWh/tkm</t>
  </si>
  <si>
    <r>
      <t>kgCO</t>
    </r>
    <r>
      <rPr>
        <vertAlign val="subscript"/>
        <sz val="12"/>
        <color theme="1"/>
        <rFont val="Calibri"/>
        <family val="2"/>
        <scheme val="minor"/>
      </rPr>
      <t>2</t>
    </r>
    <r>
      <rPr>
        <sz val="12"/>
        <color theme="1"/>
        <rFont val="Calibri"/>
        <family val="2"/>
        <scheme val="minor"/>
      </rPr>
      <t>/kWh</t>
    </r>
  </si>
  <si>
    <t>kWh/trip</t>
  </si>
  <si>
    <t>kWh/year</t>
  </si>
  <si>
    <t>Locomotove Fuel Emissions</t>
  </si>
  <si>
    <t>Locomotive Fuel Emissions</t>
  </si>
  <si>
    <t>South Australia 0.25 kgCO2/kWh; Western Australia - South West Interconnected System (SWIS) 0.51 kgCO2/kWh; Western Australia  - North Western Interconnected System (NWIS) 0.58 kgCO2/kWh;  https://www.dcceew.gov.au/sites/default/files/documents/national-greenhouse-accounts-factors-2022.pdf</t>
  </si>
  <si>
    <t>Ship Assumptions</t>
  </si>
  <si>
    <t>Fuel Assumptions</t>
  </si>
  <si>
    <t>Engine Efficiency (%)</t>
  </si>
  <si>
    <t>Fuel Energy Content (MJ/kg)</t>
  </si>
  <si>
    <t>Carbon Emissions (kgCO2/kg)</t>
  </si>
  <si>
    <t>Notes / Reference</t>
  </si>
  <si>
    <t>Notes/ Reference</t>
  </si>
  <si>
    <t xml:space="preserve">Default Value Heavy Fuel Oil (HFO) </t>
  </si>
  <si>
    <t>Default Value Marine Gas Oil (MGO)</t>
  </si>
  <si>
    <t>Default Value Very Low Sulfur Fuel Oil (VLSFO)</t>
  </si>
  <si>
    <t>Default Value LNG</t>
  </si>
  <si>
    <t>Default Value Ammonia</t>
  </si>
  <si>
    <t>Default Value Methanol</t>
  </si>
  <si>
    <t>40% 
Based on the efficiency of a diesel engine (30-45%) https://doi.org/10.1016/j.energy.2019.04.027</t>
  </si>
  <si>
    <t>50.0 LHV of methane: https://doi.org/10.1016/j.pecs.2018.10.001</t>
  </si>
  <si>
    <t>Refer to Ship Assumptions Table</t>
  </si>
  <si>
    <t>Refer to Fuel Assumptions Table</t>
  </si>
  <si>
    <t>Caternary Line CAPEX</t>
  </si>
  <si>
    <t>Mine Site and Processing Capital Cost Estimates</t>
  </si>
  <si>
    <t>Drilling, Loading and Hauling Capital Cost Estimates</t>
  </si>
  <si>
    <t>USD/kW</t>
  </si>
  <si>
    <t>Diesel Engine (80USD/kW) plus Diesel Drivetrain (15USD/kW) https://doi.org/10.1016/j.ijhydene.2022.01.144</t>
  </si>
  <si>
    <t>Engine/Fuel Cell Efficiency</t>
  </si>
  <si>
    <t>USD/Drill</t>
  </si>
  <si>
    <t>USD/Loader</t>
  </si>
  <si>
    <t>USD/Hauler</t>
  </si>
  <si>
    <t>Fuel Type</t>
  </si>
  <si>
    <t>4-50kW per drill
https://www.epiroc.com/en-ge/products/parts-and-services/rock-drills-and-rotation-units/rock-drills</t>
  </si>
  <si>
    <t>kW/Drill</t>
  </si>
  <si>
    <t>Loading Equipment Power Rating</t>
  </si>
  <si>
    <t>kW/Loader</t>
  </si>
  <si>
    <t>Drilling Equipment Power Rating</t>
  </si>
  <si>
    <t>Hauling Equipment Power Rating</t>
  </si>
  <si>
    <t>Loading Equipment Conversion Cost</t>
  </si>
  <si>
    <t>Hauling Equipment Conversion Cost</t>
  </si>
  <si>
    <t xml:space="preserve">Total Cost of Drilling Equipment </t>
  </si>
  <si>
    <t xml:space="preserve">Total Cost of Loading Equipment </t>
  </si>
  <si>
    <t xml:space="preserve">Total Cost of Hauling Equipment </t>
  </si>
  <si>
    <t>Human driven truck has stops for a total of 30.4 days per year (operated 334.6/365 days = 92%). Assume this is the same for the loading and drilling equipment. doi:10.1016/j.resourpol.2010.09.002</t>
  </si>
  <si>
    <t>Drilling, Loading and Hauling Conversion Costs</t>
  </si>
  <si>
    <t>Drilling, Loading and Hauling Fuel Requirements</t>
  </si>
  <si>
    <t>Hydrogen Default Value</t>
  </si>
  <si>
    <t xml:space="preserve">Diesel engine efficiency (30-45%) https://doi.org/10.1016/j.energy.2019.04.027 </t>
  </si>
  <si>
    <t>0.30USD/kWh based on 10USD/kg and LHV of 33.3kWh/kg. Green Hydrogen Cost Current Range: AUD8-14/kg; Gladstone Project: AUD3/kg; Target: AUD2/kg</t>
  </si>
  <si>
    <t>Drilling Equipment Fuel Requirements</t>
  </si>
  <si>
    <t>kWh/yr</t>
  </si>
  <si>
    <t>Drilling Equipment Conversion Cost</t>
  </si>
  <si>
    <t>Loading Equipment Fuel Requirements</t>
  </si>
  <si>
    <t>Hauling Equipment Fuel Requirements</t>
  </si>
  <si>
    <t>Fuel Price</t>
  </si>
  <si>
    <t>Refer to "Fuel Assumptions" table</t>
  </si>
  <si>
    <t>Annual Drilling Fuel Costs</t>
  </si>
  <si>
    <t>Annual Loading Fuel Costs</t>
  </si>
  <si>
    <t>Annual Hauling Fuel Costs</t>
  </si>
  <si>
    <t>kgCO2/kWh</t>
  </si>
  <si>
    <t>Fuel (Drilling)</t>
  </si>
  <si>
    <t>Fuel (Loading)</t>
  </si>
  <si>
    <t>Fuel (Hauling)</t>
  </si>
  <si>
    <t>Number of trucks required, includes allowance for truck under repair</t>
  </si>
  <si>
    <t>Note: Liebherr have dump trucks of this capacity https://www.liebherr.com/en/aus/products/construction-machines/earthmoving/articulated-trucks/the-new-one.html?gad_source=1&amp;gclid=Cj0KCQjwn7mwBhCiARIsAGoxjaLOlg-B9gjOBbdiosxln-gjDYltleNjLWwdDbJRINJh0YV6FUvoo4oaAmzCEALw_wcB</t>
  </si>
  <si>
    <t>kW/Hauler</t>
  </si>
  <si>
    <r>
      <t xml:space="preserve">Following a similar methodology to Burke </t>
    </r>
    <r>
      <rPr>
        <i/>
        <sz val="12"/>
        <color theme="1"/>
        <rFont val="Calibri"/>
        <family val="2"/>
        <scheme val="minor"/>
      </rPr>
      <t>et al.</t>
    </r>
    <r>
      <rPr>
        <sz val="12"/>
        <color theme="1"/>
        <rFont val="Calibri"/>
        <family val="2"/>
        <scheme val="minor"/>
      </rPr>
      <t xml:space="preserve"> (https://escholarship.org/uc/item/7s25d8bc), the conversion cost is assumed to be the vehicle cost, minus the cost of the diesel engine and drivetrain, plus the cost of the hydrgen fuel cell, tanks, battery and electric drivetrain. </t>
    </r>
  </si>
  <si>
    <t>Battery Default Value</t>
  </si>
  <si>
    <t>See linked cell</t>
  </si>
  <si>
    <t>Existing Diesel Engine and Drivetrain Cost</t>
  </si>
  <si>
    <t>Refer to "Mining Vehicles Fuel Assumptions" table</t>
  </si>
  <si>
    <t>Mining Vehicles Fuel Assumptions</t>
  </si>
  <si>
    <t>Existing Diesel Engine and Drivetrain Cost (USD/kW)</t>
  </si>
  <si>
    <t>New Drivetraine and Powertrain Cost (USD/kW)</t>
  </si>
  <si>
    <t>Set to zero as there is no conversion needed for diesel</t>
  </si>
  <si>
    <t>kW</t>
  </si>
  <si>
    <t>New Drivetrain Cost</t>
  </si>
  <si>
    <t>Note: if the fuel selection type if Diesel, these vehicles don't need conversion</t>
  </si>
  <si>
    <t>kg/yr</t>
  </si>
  <si>
    <t>Energy Input Requirements</t>
  </si>
  <si>
    <t>Economic life of the mine site, process plant and mining vehicles</t>
  </si>
  <si>
    <t>Only Applies to process plant availability</t>
  </si>
  <si>
    <t>Process Plant Availability</t>
  </si>
  <si>
    <t xml:space="preserve">Mining Vehicles Utlisation Factor
(Drilling Loading &amp; Hauling Trucks) </t>
  </si>
  <si>
    <t>Amount of time in the year the mining vehicle equipment is running (Drilling, Loading &amp; Hauling)</t>
  </si>
  <si>
    <t>Processed Ore Quantity</t>
  </si>
  <si>
    <t>L/yr</t>
  </si>
  <si>
    <t>Drilling, Loading and Hauling Hydrogen Requirements (if powered by Hydrogen Fuel Cell)</t>
  </si>
  <si>
    <t>Assuming diesel energy density of 0.0386GJ/L (10.72 kWh/L) (https://www.dcceew.gov.au/sites/default/files/documents/national-greenhouse-accounts-factors-2022.pdf)</t>
  </si>
  <si>
    <t>Drilling, Loading and Hauling Diesel Requirements
(if powered by diesel)</t>
  </si>
  <si>
    <t>Based on LHV of hydrogen (33.3kWh/kgH2)</t>
  </si>
  <si>
    <t>kgH2/yr</t>
  </si>
  <si>
    <t>Drilling, Loading and Hauling Electrical Power Requirements (if powered by Battery)</t>
  </si>
  <si>
    <t>Based on full time operation as this is the peak energy requirement needed for plant operation</t>
  </si>
  <si>
    <t>Locomotive Diesel Requirements</t>
  </si>
  <si>
    <t>Locomotive Electricity Requirements</t>
  </si>
  <si>
    <t>Locomotive Hydrogen Requirements</t>
  </si>
  <si>
    <t>Electric</t>
  </si>
  <si>
    <t>Shipping Heavy Fuel Oil (HFO) Requirements</t>
  </si>
  <si>
    <t>Shipping Marine Gas Oil (MGO) Requirements</t>
  </si>
  <si>
    <t>Shipping Very Low Sulfur Fuel Oil (VLSFO) Requirements</t>
  </si>
  <si>
    <t>Shipping Ammonia Requirements</t>
  </si>
  <si>
    <t>Shipping Methanol Requirements</t>
  </si>
  <si>
    <t>Australian Electricity Price: 237.53 USD/MWh
https://www.iea.org/data-and-statistics/data-tools/end-use-prices-data-explorer?tab=Yearly+prices</t>
  </si>
  <si>
    <t>Australia: 973.41, Brazil: 978.15, Sweden: 1447.11
https://www.iea.org/data-and-statistics/data-tools/end-use-prices-data-explorer?tab=Yearly+prices</t>
  </si>
  <si>
    <t>40.40: DOI: 10.1186/s41072-016-0007-1
40.90: https://doi.org/10.1533/9780857096067.3.635</t>
  </si>
  <si>
    <t xml:space="preserve">18.80 MJ/kg LHV
https://doi.org/10.1016/j.pecs.2018.07.001
</t>
  </si>
  <si>
    <t>0 Assumed</t>
  </si>
  <si>
    <t>1.37 kgCO2/kg Based on Stoichiometric Calculation</t>
  </si>
  <si>
    <t>One-way distance travelled by rail</t>
  </si>
  <si>
    <t>Assessment of profit, cost, and emissions for slender bulk vessel
designs. Haakon Lindstad, Inge Sandaas, Sverre Steen
http://dx.doi.org/10.1016/j.trd.2014.04.001</t>
  </si>
  <si>
    <t>These vessel types are ocean going vessels that transport dry bulk and break bulk commodities. Typical dry-bulk commodities include iron ore, coal, grain, cement and aggregate. Typical break-bulk commodities include reels and rolls, steel girders, structural steel, heavy or oversized goods, manufacturing equipment, construction equipment and vehicles.
http://dx.doi.org/10.1016/j.trd.2014.04.001
New build costs were adjusted to present-day values using CEPCI indexes. 
Supramax new build cost: 30-33.5 Million USD (38.5-40 for e-ammonia) https://doi.org/10.1016/j.oceaneng.2022.112798
Newbuild prices for capesize and handysize are almost at the same levels – $64m and $30m – compared to 2022’s highs. https://splash247.com/trajectory-of-soaring-newbuild-prices-divides-opinion/#:~:text=Newbuild%20prices%20for%20capesize%20and,9%25%20depending%20on%20ship%20size.</t>
  </si>
  <si>
    <t>Total Indirect CO2 Emissions</t>
  </si>
  <si>
    <t>Total Direct CO2 Emissions</t>
  </si>
  <si>
    <t xml:space="preserve">Total CO2 Emissions </t>
  </si>
  <si>
    <t>Levelised Cost Attributed to CAPEX (USD)</t>
  </si>
  <si>
    <t>Total Levelised Cost of Ore Extraction (USD)</t>
  </si>
  <si>
    <t>Total Levelised Cost of Ore Extraction (AUD)</t>
  </si>
  <si>
    <t>Note: this accounts for electricity requirements if using the electric locomotive</t>
  </si>
  <si>
    <t>Levelised Cost Attributed to Fuel Requirements (USD)</t>
  </si>
  <si>
    <t>Total Levelised Cost of Rail (USD)</t>
  </si>
  <si>
    <t>Total Levelised Cost of Rail (AUD)</t>
  </si>
  <si>
    <t>Total Levelised Cost of Shipping (USD)</t>
  </si>
  <si>
    <t>Total Levelised Cost of Shipping (AUD)</t>
  </si>
  <si>
    <t>Levelised Cost Attributed to Operation &amp; Maintenance (USD)</t>
  </si>
  <si>
    <t xml:space="preserve">Levelised Cost Attributed to Operation &amp; Maitntenance (USD) </t>
  </si>
  <si>
    <t>Pelletisation</t>
  </si>
  <si>
    <t>Pelletisation CAPEX</t>
  </si>
  <si>
    <t>Crushing, Grinding &amp; Screening Plant Electrical Power Requirements</t>
  </si>
  <si>
    <t>Annual Benefication (Concentration) Costs</t>
  </si>
  <si>
    <t>Electricity Benefication (Concentration)</t>
  </si>
  <si>
    <t>Electricity Pelletisation</t>
  </si>
  <si>
    <t>Pelletisation Plant Electrical Power Requirements</t>
  </si>
  <si>
    <t>Annual Pelletisation Electricity Costs</t>
  </si>
  <si>
    <t>Beneficiation (Concentration)</t>
  </si>
  <si>
    <t>Beneficiation Plant Electrical Power Requirements</t>
  </si>
  <si>
    <t>Beneficiation (Concentration) CAPEX</t>
  </si>
  <si>
    <t>CEPCI of Current Year (2024)</t>
  </si>
  <si>
    <t>Beneficiation (Based on High-grade Cu/Pb ores, Cu/Zn ores, Pb/Zn ores, Cu/Ni
ores. Recovery by differential flotation, thickening, filtering, and
drying of separate concentrates)</t>
  </si>
  <si>
    <t>Beneficiation</t>
  </si>
  <si>
    <t>https://www.aar.org/issue/crew-size/#:~:text=Existing%20FRA%20regulations%20do%20not,%2Dthe%2Droad%20mainline%20operations.
Standard 2 person crew: https://agrifutures.com.au/wp-content/uploads/publications/07-185.pdf</t>
  </si>
  <si>
    <t>Catenary Line Installation</t>
  </si>
  <si>
    <t>Diesel Locomotive Cost</t>
  </si>
  <si>
    <t>Electric Locomotive Cost</t>
  </si>
  <si>
    <t>Adjusted to USD</t>
  </si>
  <si>
    <t>45-50 AUD/1000km (adjusted to present-day costs: 81-90 AUD/1000km)
The Costs of Road and Rail Freight —Neutrality and efficiency in the farm-to-port logistics chain. Australian Government Rural Industries Research and Development Corporation—https://agrifutures.com.au/wp-content/uploads/publications/07-185.pdf</t>
  </si>
  <si>
    <t>USD/vessel</t>
  </si>
  <si>
    <t>42.7 DOI: 10.1186/s41072-016-0007-1</t>
  </si>
  <si>
    <t>3.21 kgCO2/kgFuel
DOI: 10.3390/en14144311</t>
  </si>
  <si>
    <t>117-299 kW per loader
https://www.cat.com/en_AU/products/new/equipment/underground-hard-rock/underground-mining-load-haul-dump-lhd-loaders/18192466.html</t>
  </si>
  <si>
    <t>(100,000-188,017 USD/wagon)
150,000 AUD/wagon (adjsuted to present day costs 268,595 AUD/wagon)
 https://agrifutures.com.au/wp-content/uploads/publications/07-185.pdf; 
100,000 USD/wagon
https://www.made-in-china.com/price/ore-wagon-price.html</t>
  </si>
  <si>
    <t>Diesel: 5.31USD/km (7.08 adjsuted to present-day costs) https://journals.sagepub.com/doi/pdf/10.1177/0954409719867495</t>
  </si>
  <si>
    <t>2.95 million USD (3.94 adjusted to present-day costs) for a 3.28MW diesel locomotive https://journals.sagepub.com/doi/pdf/10.1177/0954409719867495</t>
  </si>
  <si>
    <t>4.1 million USD (5.47 adjsuted to present-day costs) for a 3.28MW electric locomotive https://journals.sagepub.com/doi/pdf/10.1177/0954409719867495</t>
  </si>
  <si>
    <t>1.76 million USD/km (2.35 adjusted to present-day costs)
https://journals.sagepub.com/doi/pdf/10.1177/0954409719867495</t>
  </si>
  <si>
    <t>Electric: 3.03 USD/km (4.04 adjusted to present-day costs) https://journals.sagepub.com/doi/pdf/10.1177/0954409719867495</t>
  </si>
  <si>
    <t>Wagon Length</t>
  </si>
  <si>
    <t>m/wagon</t>
  </si>
  <si>
    <t xml:space="preserve">Wagon length </t>
  </si>
  <si>
    <t>32.3 m per 2 wagons 
https://www.artc.com.au/library/GI_10_loco_rs_data.pdf?v=2.1</t>
  </si>
  <si>
    <t>Locomotove Length</t>
  </si>
  <si>
    <t>Diesel locomotove length (12-17.8m)
https://www.artc.com.au/library/GI_10_loco_rs_data.pdf?v=2.1</t>
  </si>
  <si>
    <t>m/locomotive</t>
  </si>
  <si>
    <t>Total Train Length</t>
  </si>
  <si>
    <t>Tank to wheel Efficiency of BEV in Mine Hauling truck (80%, with a range spanning 64.4% to 86%)
https://
doi.org/10.3390/en17061494</t>
  </si>
  <si>
    <t>Vehicle Efficiency (%)</t>
  </si>
  <si>
    <t>Battery Drivetrain effieicny * Fuel Cell Efficiency 
Tank to wheel Efficiency of BEV in Mine Hauling truck (80%, with a range spanning 64.4% to 86%) https://doi.org/10.3390/en17061494
Fuel Cell Efficiency (55%, 60%, 62% &amp; 64% for 2024,2030,2040 &amp; 2050) https://journals.sagepub.com/doi/pdf/10.1177/0954409719867495, DOI: 10.1177/0954409719867495</t>
  </si>
  <si>
    <t>Catenary Electric Default Value</t>
  </si>
  <si>
    <t>Battery Electric Default Value</t>
  </si>
  <si>
    <t>0 no need for caternary lines for battery powered train</t>
  </si>
  <si>
    <t>Assumed same as the electric locomotive</t>
  </si>
  <si>
    <t>Economic life of the locomotives and additional capital</t>
  </si>
  <si>
    <t>40% 
Based on the efficiency of a diesel engine (30-45%) https://doi.org/10.1016/j.energy.2019.04.028</t>
  </si>
  <si>
    <t>40-42 MJ/kg
https://shipandbunker.com/news/world/662089-integr8-vlsfo-calorific-value-pour-point-and-competitiveness-with-lsmgo</t>
  </si>
  <si>
    <t>3.18 kgCO2/kgFuel
https://doi.org/10.1016/j.ijhydene.2022.04.156</t>
  </si>
  <si>
    <t>2.74 kgCO2/kgFuel
https://doi.org/10.1016/j.ijhydene.2022.04.156</t>
  </si>
  <si>
    <t xml:space="preserve">Open source use of the tool is encouraged for independent use or contribute improvements to the design and functionality of the overall tool under the term of the distribution license and appropriate acknowledgements. </t>
  </si>
  <si>
    <t>tonne/day</t>
  </si>
  <si>
    <t>tonne</t>
  </si>
  <si>
    <t>(kW/tonne)/Hauler</t>
  </si>
  <si>
    <t>8-9.5 kW/tonne per hauler
2610-2983kW per hauler for a capacity of 327-372tonnes. 
https://www.cat.com/en_AU/products/product-comparison-competitor.html?modelId=87936&amp;rgids=3&amp;productId=18093014,15970072,15970073&amp;type=new
265kW for a hauler of capacity of 28tonnes
https://www.liebherr.com/en/aus/products/construction-machines/earthmoving/articulated-trucks/the-new-one.html?gad_source=1&amp;gclid=Cj0KCQjwn7mwBhCiARIsAGoxjaLOlg-B9gjOBbdiosxln-gjDYltleNjLWwdDbJRINJh0YV6FUvoo4oaAmzCEALw_wcB
3500hp (2610kW) per hauler
https://doi.org/10.3390/en16010286</t>
  </si>
  <si>
    <t>kgANFO/tonneOre</t>
  </si>
  <si>
    <t>kWh/tonneOre</t>
  </si>
  <si>
    <t>20-30 kWh/tonneOre
https://doi.org/10.1016/j.egyr.2019.03.004</t>
  </si>
  <si>
    <t>0.85 kWh/tonneOre
https://doi.org/10.1038/s41467-023-38123-2</t>
  </si>
  <si>
    <t>USD/tonneANFO</t>
  </si>
  <si>
    <t>$2941.86 AUD/tonne (assuming 0.7:1 USD:AUD)
https://www.oricaminingservices.com/uploads/Aus%20Pricelist/2024/1%20Jan%202024%20Australia%20national%20price%20list_Orica_Website%20published.pdf</t>
  </si>
  <si>
    <t>(0.7kgCO2/tonneOre) / (0.5 kgANFO/tonneOre) = 1.4 kgCO2/kgANFO
https://doi.org/10.1016/j.jclepro.2009.09.020</t>
  </si>
  <si>
    <t>kgCO2/tonneOre</t>
  </si>
  <si>
    <t>tonne/yr</t>
  </si>
  <si>
    <t>Energy Required per tonne Ore</t>
  </si>
  <si>
    <t>kWh/tonne</t>
  </si>
  <si>
    <t>USD/tonneOre</t>
  </si>
  <si>
    <t>AUD/tonneOre</t>
  </si>
  <si>
    <t>tonne/wagon</t>
  </si>
  <si>
    <t>105-110 tonne/wagon
https://www.pilbararailways.com.au/bhp/waggons.php
https://www.railway-technology.com/projects/hamersley-freight-line/</t>
  </si>
  <si>
    <t>Locomotive Empty Weight (tonne/locomotive)</t>
  </si>
  <si>
    <t>Diesel: 123.7 tonne. http://dx.doi.org/10.1080/15472450.2012.719456
120 tonne (for Ex Westrail NB class loco Fuel 4000 litres diesel locomotive)
https://www.artc.com.au/library/GI_10_loco_rs_data.pdf?v=2.1</t>
  </si>
  <si>
    <t>Electric: 138.0 tonne. http://dx.doi.org/10.1080/15472450.2012.719456</t>
  </si>
  <si>
    <t>Fuel Consumption 
(kWh per tonne kilometer)</t>
  </si>
  <si>
    <t>Diesel: 0.117kWh per tonne kilometer (gentle topography) http://dx.doi.org/10.1080/15472450.2012.719456</t>
  </si>
  <si>
    <t>Electric: 0.052 per tonne kilometer (gentle topography) http://dx.doi.org/10.1080/15472450.2012.719456</t>
  </si>
  <si>
    <t>Electric Locomotive Power/Fuel Cell Efficiency 
Assuming an electric train power requirements of 0.052kWh/tonnekm ((gentle topography) http://dx.doi.org/10.1080/15472450.2012.719456) 
Fuel Cell Efficiency (55%, 60%, 62% &amp; 64% for 2024,2030,2040 &amp; 2050) https://journals.sagepub.com/doi/pdf/10.1177/0954409719867495, DOI: 10.1177/0954409719867495</t>
  </si>
  <si>
    <t>0.30USD/kWh based on 10USD/kg and LHV of 33.3kWh/kg. Green Hydrogen Cost Current Range: AUD8-14/kg; Gladstonnee Project: AUD3/kg; Target: AUD2/kg</t>
  </si>
  <si>
    <t>tonne/locomotive</t>
  </si>
  <si>
    <t xml:space="preserve"> Heavy Freight price AUD 7.758 (5.431 USD) per 1000 gross tonne kilometer 
https://www.artc.com.au/uploads/Pricing-Schedule-Effective-01072023.pdf</t>
  </si>
  <si>
    <t>1.60 AUD per 1000 gross tonne kilometer  (adjusted to present-day costs: 2.87 AUD per 1000 gross tonne kilometer) The Costs of Road and Rail Freight —Neutrality and efficiency in the farm-to-port logistics chain. Australian Government Rural Industries Research and Development Corporation—https://agrifutures.com.au/wp-content/uploads/publications/07-185.pdf</t>
  </si>
  <si>
    <t>Insurance per net tonne kilometer is only paid for the payload of ore, and is not applied to the return journey</t>
  </si>
  <si>
    <t>Energy consumption per tonne kilometer is applied to the total train weight, accounting for the lower fuel requirements for the return journey</t>
  </si>
  <si>
    <t>USD/tonne</t>
  </si>
  <si>
    <t>AUD/tonne</t>
  </si>
  <si>
    <t>tonne/hr</t>
  </si>
  <si>
    <t>Average Ship Dry-bulk Loading Rate: 2,500-3,000 tonne/hr Port Hedland Facts About the Industry of Port Hedland
https://www.phic-hedland.com.au/wp-content/uploads/2023/08/PC05694_PHIC-20222023-Industry-Booklet_v9.1.pdf</t>
  </si>
  <si>
    <t>0.4928 AUD/tonne (0.3450 USD/tonne) Pilbara Ports Authority, Scehdule of Port Charges Effective 1 July 2023 https://www.pilbaraports.com.au/about-pilbara-ports/publications/forms-and-publications/forms-and-publications/other/2023/may/july-2023-schedule-of-charges-port-of-port-hedland</t>
  </si>
  <si>
    <t>2.66 AUD/tonne (1.86 USD/tonne) Pilbara Ports Authority, Scehdule of Port Charges Effective 1 July 2023 https://www.pilbaraports.com.au/about-pilbara-ports/publications/forms-and-publications/forms-and-publications/other/2023/may/july-2023-schedule-of-charges-port-of-port-hedland</t>
  </si>
  <si>
    <t>Displacement (tonne)</t>
  </si>
  <si>
    <t>Dead weight (tonne)</t>
  </si>
  <si>
    <t>Shipping Fuel Cost (USD/tonne)</t>
  </si>
  <si>
    <t>MGO: 900USD/tonne https://shipandbunker.com/prices</t>
  </si>
  <si>
    <t>VLSFO: 650USD/tonne; 
https://shipandbunker.com/prices</t>
  </si>
  <si>
    <t>kgCO2/tonneProduct</t>
  </si>
  <si>
    <t>Energy Requirements per tonne</t>
  </si>
  <si>
    <t xml:space="preserve">While the tool is published under the conditions of the open source MIT license, making sure that the code can be used, edited, and re-distributed by others, we would appreciate if the tool developers are acknowledged by citing the work to which this model is attributed. </t>
  </si>
  <si>
    <t>School of Minerals and Energy Resources Engineering (MERE), UNSW</t>
  </si>
  <si>
    <t>The Authors acknowledge the Australian Government Department of Climate Change, Energy, the Environment and Water (DCCEEW) for funding this project</t>
  </si>
  <si>
    <t xml:space="preserve">The Green Iron and Steel Mining, Transport and Shipping Analysis Tool has been developed to evaluate the levelised cost iron ore extraction, rail transport and shipping as well as the costs associated with decarbonisation options associated with each aspect of the value chain. </t>
  </si>
  <si>
    <t xml:space="preserve">Full details on the assumptions and values used are contained in the associated publication. </t>
  </si>
  <si>
    <r>
      <rPr>
        <b/>
        <sz val="12"/>
        <color rgb="FFFF0000"/>
        <rFont val="Arial"/>
        <family val="2"/>
      </rPr>
      <t>Note:</t>
    </r>
    <r>
      <rPr>
        <sz val="12"/>
        <color rgb="FFFF0000"/>
        <rFont val="Arial"/>
        <family val="2"/>
      </rPr>
      <t xml:space="preserve"> The cells have been colour coded based on the following functions</t>
    </r>
  </si>
  <si>
    <t>USD:AUD Conversion Rate</t>
  </si>
  <si>
    <t>Carbon Pricing</t>
  </si>
  <si>
    <t>Carbon Price</t>
  </si>
  <si>
    <t>USD/tonneCO2</t>
  </si>
  <si>
    <t>0-170 USD/tonneCO2
https://carbonpricingdashboard.worldbank.org/compliance/price</t>
  </si>
  <si>
    <t>Annual Carbon Costs (if Carbon Pricing is Applied)</t>
  </si>
  <si>
    <t>Annual Carbon Costs Applied to Direct Emissions</t>
  </si>
  <si>
    <t>Carbon Price. Applied to Scope 1 (Direct) emissions</t>
  </si>
  <si>
    <t>Levelised Cost Attributed Carbon Price</t>
  </si>
  <si>
    <t>Pelletisation (Electrical Energy)</t>
  </si>
  <si>
    <t>Electrical Energy Consumption: 25-35 kWh/tonne
https://www.metso.com/portfolio/traveling-grate-pelletizing-plant/#</t>
  </si>
  <si>
    <t>Pelletisation (Thermal Energy)</t>
  </si>
  <si>
    <t>Thermal Energy Consumption: 97-416 kWh/tonne
https://www.metso.com/portfolio/traveling-grate-pelletizing-plant/#</t>
  </si>
  <si>
    <t>Pelletisation Fuel Source for Thermal Energy</t>
  </si>
  <si>
    <t>Natural Gas</t>
  </si>
  <si>
    <t>Hydrogen</t>
  </si>
  <si>
    <t>Accounts for the Plant Availability of the processing plant</t>
  </si>
  <si>
    <t>Annual Benefication Electricity Costs</t>
  </si>
  <si>
    <t>Natural Gas Default Value</t>
  </si>
  <si>
    <t>Electricity Default Value</t>
  </si>
  <si>
    <t>Natural Gas: 51.53 kgCO2-e/GJ (0.186 kg/kWh)https://www.dcceew.gov.au/sites/default/files/documents/national-greenhouse-account-factors-2024.pdf</t>
  </si>
  <si>
    <t>Pelletisation Thermal Energy Fuel Consumption</t>
  </si>
  <si>
    <t>See assumptions table to the right</t>
  </si>
  <si>
    <t>Drilling, Loading and Hauling Fuel Emissions</t>
  </si>
  <si>
    <t>Thermal Energy Pelletisation</t>
  </si>
  <si>
    <t>Pelletisation Thermal Energy Emissions</t>
  </si>
  <si>
    <t>natural gas price of 12AUD/GJ (8.4 USD/GJ)</t>
  </si>
  <si>
    <t>Pelletisation Plant Thermal Energy Requirements</t>
  </si>
  <si>
    <t>Annual Pelletisation Thermal Energy Costs</t>
  </si>
  <si>
    <t>Drilling, Loading and Hauling Fuel Cost</t>
  </si>
  <si>
    <t>Electricity and Pelletisation Thermal Energy Cost</t>
  </si>
  <si>
    <t>Pelletisation Thermal Energy Fuel Price</t>
  </si>
  <si>
    <t>Vessel Modification Assumptions</t>
  </si>
  <si>
    <t>New Build Diesel Engine Cost (USD/kW)</t>
  </si>
  <si>
    <t>New Build Converted Engine Cost (USD/kW)</t>
  </si>
  <si>
    <t>New Build Tank and Scrubber Costs (USD/kW)</t>
  </si>
  <si>
    <t xml:space="preserve">Vessels operating with methanol or ammonia need to be modified to operate with new engines and also new tank and scrubber systems
All conversion assumptions taken from:  https://doi.org/10.1016/j.trd.2021.103075
 New build costs were adjusted to present-day values using CEPCI indexes. </t>
  </si>
  <si>
    <t xml:space="preserve">See Vessel Modification Assumptions Table </t>
  </si>
  <si>
    <t>Modified Vessel Capital Cost</t>
  </si>
  <si>
    <t>Base vessel Capital Cost</t>
  </si>
  <si>
    <t>The following is a summary table of the reference costs and the corresponding CEPCI indexes used to adjust these to present-day costs (used for plant and other equipment costs)</t>
  </si>
  <si>
    <t>Annual CPI increase (%)</t>
  </si>
  <si>
    <t>Number of years to present year (2024)</t>
  </si>
  <si>
    <t>289,000 USD/yr (adjusted to present-day costs: 355,434 USD/yr) Analyzing the economic benefit of unmanned autonomous ships: An exploratory cost-comparison between an autonomous and a conventional bulk carrier. http://dx.doi.org/10.1016/j.rtbm.2017.06.002</t>
  </si>
  <si>
    <t>313,000 USD/yr (adjusted to present-day costs: 384,951 USD/yr) Analyzing the economic benefit of unmanned autonomous ships: An exploratory cost-comparison between an autonomous and a conventional bulk carrier. http://dx.doi.org/10.1016/j.rtbm.2017.06.002</t>
  </si>
  <si>
    <t>269,000 USD/yr (adjusted to present-day costs: 330,836 USD/yr) Analyzing the economic benefit of unmanned autonomous ships: An exploratory cost-comparison between an autonomous and a conventional bulk carrier. http://dx.doi.org/10.1016/j.rtbm.2017.06.002</t>
  </si>
  <si>
    <t>Plant Capacity</t>
  </si>
  <si>
    <t>DRI Plant Parameters</t>
  </si>
  <si>
    <t>Shaft Furnace</t>
  </si>
  <si>
    <t>% Fe (w/w)</t>
  </si>
  <si>
    <t>tonneIron/yr</t>
  </si>
  <si>
    <r>
      <rPr>
        <sz val="12"/>
        <rFont val="Arial"/>
        <family val="2"/>
      </rPr>
      <t>Rated capacity</t>
    </r>
    <r>
      <rPr>
        <sz val="12"/>
        <color rgb="FFFF0000"/>
        <rFont val="Arial"/>
        <family val="2"/>
      </rPr>
      <t xml:space="preserve">
Calculated value, please do not change this cell</t>
    </r>
  </si>
  <si>
    <t>Shaft Furnace Capital Costs</t>
  </si>
  <si>
    <t>Uses the scale index formula: https://evcvaluation.com/the-cost-to-capacity-method-and-scale-factors/</t>
  </si>
  <si>
    <t>DOI: 10.1039/d3ee01077e</t>
  </si>
  <si>
    <t>Reference Capacity (based on product flow)</t>
  </si>
  <si>
    <t xml:space="preserve">Unit Cost at the Reference Capacity </t>
  </si>
  <si>
    <t>% of CAPEX</t>
  </si>
  <si>
    <t>1.5% installed cost
DOI: 10.1016/j.jclepro.2022.131339</t>
  </si>
  <si>
    <t>Reformer</t>
  </si>
  <si>
    <t>Reformer Sizing</t>
  </si>
  <si>
    <t>MWh/tonneIron</t>
  </si>
  <si>
    <t>Reformer rating for plant capacity</t>
  </si>
  <si>
    <r>
      <t xml:space="preserve">Rated Capacity Based on DRI Output 
</t>
    </r>
    <r>
      <rPr>
        <sz val="12"/>
        <color rgb="FFFF0000"/>
        <rFont val="Arial"/>
        <family val="2"/>
      </rPr>
      <t>Calculated value, please do not change this cell</t>
    </r>
  </si>
  <si>
    <t>Reference Capacity (based on heat exchange capacity)</t>
  </si>
  <si>
    <t>Recycle Compressor Capital Costs</t>
  </si>
  <si>
    <t>Recycle Compressor Sizing</t>
  </si>
  <si>
    <t>Recycle compressor rating for plant capacity</t>
  </si>
  <si>
    <t>0.023 MWh/tonneIron
Refer to tab 'A3. Compressor Sizing' for details</t>
  </si>
  <si>
    <t>Cooling Tower Capital Costs</t>
  </si>
  <si>
    <t>Cooling Tower Sizing</t>
  </si>
  <si>
    <t>tonneH2O/tonneIron</t>
  </si>
  <si>
    <t>Cooling water required per tonne of Iron</t>
  </si>
  <si>
    <t>Reference Capacity (based on water flow-rate)</t>
  </si>
  <si>
    <t>50tonne/h (438,000tonne/yr) USD80,000 (114,286AUD) and 30tonne/h (262,800tonne/yr) USD50,000 (71,429AUD)
https://www.alibaba.com/product-detail/China-Sponge-Iron-Coal-Manganese-ore_62200455172.html?spm=a2700.7724857.0.0.48582620YpIqKE
https://www.alibaba.com/product-detail/for-sale-sponge-iron-DRI-fines-_1936321447.html?spm=a2700.7724857.0.0.48582620YpIqKE</t>
  </si>
  <si>
    <t>Maintenance</t>
  </si>
  <si>
    <t>Assumed to be same as the DRI shaft furnace</t>
  </si>
  <si>
    <t>Process Inputs (for Auxiliary Equipment)</t>
  </si>
  <si>
    <t>Oxygen Requirements</t>
  </si>
  <si>
    <t>tonneOxygen/yr</t>
  </si>
  <si>
    <t>2.5% installed cost
DOI:10.1016/j.ijggc.2023.103958</t>
  </si>
  <si>
    <t xml:space="preserve">Miscellaneous Plant </t>
  </si>
  <si>
    <t>Electrical &amp; Instrumentation Capital Costs</t>
  </si>
  <si>
    <t>Building &amp; Storage Capital Costs</t>
  </si>
  <si>
    <t>Other Miscellaneous Costs</t>
  </si>
  <si>
    <t xml:space="preserve">Shaft Furance </t>
  </si>
  <si>
    <t>Recycle Compressor</t>
  </si>
  <si>
    <t>Cooling Tower</t>
  </si>
  <si>
    <t>Oxygen PSA</t>
  </si>
  <si>
    <t>Oxygen Supply</t>
  </si>
  <si>
    <t>Electrical and Instrumentation</t>
  </si>
  <si>
    <t>Building and Storage</t>
  </si>
  <si>
    <t>Buildings, storage, water service</t>
  </si>
  <si>
    <t>Other Miscellaneous</t>
  </si>
  <si>
    <t>Other Miscellaneous costs</t>
  </si>
  <si>
    <t>Fuel source for reducing iron ore to DRI</t>
  </si>
  <si>
    <t>DRI Process Inputs (for Overall DRI Process)</t>
  </si>
  <si>
    <t>Electricity required to produce 1 tonne of iron (assumes operation of shaft furnace, reformer, recycle compressor &amp; cooling tower)</t>
  </si>
  <si>
    <t>Iron Ore</t>
  </si>
  <si>
    <t>Iron ore grade (assuming pellet)</t>
  </si>
  <si>
    <t>&gt;65% For DRI Process
Dutta, S.K. and Chokshi, Y.B., 2020. Basic concepts of Iron and steel making. Springer Nature.</t>
  </si>
  <si>
    <t>Iron ore required to produce 1 tonne of iron. This takes into account grade of iron ore and metallisation rate of DRI process. 
Calculated value, please do not change this cell</t>
  </si>
  <si>
    <t>Oxygen Gas</t>
  </si>
  <si>
    <t>Oxygen required to produce 1 tonne of iron. Oxygen is injected into the furnace (or upstream of the shaft furnace) to raise the operating temperature of the shaft furnace, which improves reaction kinetics. (DOI: 10.1039/d3ee01077e)</t>
  </si>
  <si>
    <t>Shaft Furncace Capacity</t>
  </si>
  <si>
    <t>tonneH2O/yr</t>
  </si>
  <si>
    <t>Reference Capacity (based on total plant capacity)</t>
  </si>
  <si>
    <t>Process Inputs (for HBI Roller Press)</t>
  </si>
  <si>
    <t>Electricity for HBI Production</t>
  </si>
  <si>
    <t>Electricity for Roller Press operation required to produce 1 tonne of Hot Briquetted Iron (HBI)</t>
  </si>
  <si>
    <t>Electricity required to produce 1 tonne of Oxygen</t>
  </si>
  <si>
    <t>Process Inputs Costs (for Entire Process)</t>
  </si>
  <si>
    <t>Electricity cost</t>
  </si>
  <si>
    <t>100 A$/MWh</t>
  </si>
  <si>
    <t>Installation Costs</t>
  </si>
  <si>
    <t>Includes engineering, procurement and construction costs</t>
  </si>
  <si>
    <t>Project specific</t>
  </si>
  <si>
    <t>Land Procurement Costs</t>
  </si>
  <si>
    <t xml:space="preserve">Costs incurred for procurement of land </t>
  </si>
  <si>
    <t>Additional Upfront Costs</t>
  </si>
  <si>
    <t>Any additional costs to include as a once off in the levelised cost calculation</t>
  </si>
  <si>
    <t>Additional Annual Costs</t>
  </si>
  <si>
    <t xml:space="preserve">Any additional costs to include as an annual expenditure in the levelised cost calculation </t>
  </si>
  <si>
    <t>Indirect Emissions Factors</t>
  </si>
  <si>
    <t xml:space="preserve">Iron Ore Mining </t>
  </si>
  <si>
    <t>Iron Ore Mining: 0.02 kgCO2/kgOre (20 kgCO2/tonneOre)
DOI: 10.1039/d3ee01077e</t>
  </si>
  <si>
    <t>Iron Ore Pelletisation</t>
  </si>
  <si>
    <t>Iron Ore Pelletisation: 0.16 kgCO2/kgOre (160 kgCO2/tonneOre)
DOI: 10.1039/d3ee01077e</t>
  </si>
  <si>
    <t>Direct Emissions Factors</t>
  </si>
  <si>
    <t>Molar Ratio, equivalent CO2 content
12 g/mol (C) / 44 g/mol (CO2) = 0.27</t>
  </si>
  <si>
    <t xml:space="preserve"> Carbon emissions per tonne of iron ore mined. Input literature value or value from iron ore mining model</t>
  </si>
  <si>
    <t xml:space="preserve"> Carbon emissions per tonne of iron ore pelletised. Input literature value or value from iron ore mining model</t>
  </si>
  <si>
    <t>Iron Ore Requirements</t>
  </si>
  <si>
    <t>Total Fe in end product (ie hot metal) (in metallic form and residual oxidised form)</t>
  </si>
  <si>
    <t>Reducing Gas</t>
  </si>
  <si>
    <t>Reformer / Hydrogen pre-heater Sizing (MWh/tonneHotMetal)</t>
  </si>
  <si>
    <t>Iron Ore Reducing Gas</t>
  </si>
  <si>
    <t>Reformer / Hydrogen pre-heater CAPEX Scale Factor</t>
  </si>
  <si>
    <t>Reformer / Hydrogen pre-heater CAPEX Reference Capacity (MW)</t>
  </si>
  <si>
    <t>Reformer / Hydrogen pre-heater CAPEX Reference Cost (USD)</t>
  </si>
  <si>
    <t>Oxygen gas requirements (tonneO2/tonneHotMetal)</t>
  </si>
  <si>
    <t>Reformer / Hydrogen Pre-heater (Based on Reducing Gas Selection)</t>
  </si>
  <si>
    <t>Reducing Gas Requirements (tonneGas/tonneHotMetal)</t>
  </si>
  <si>
    <t>tonneGas/tonneHotMetal</t>
  </si>
  <si>
    <t>Reducing Gas Energy Content (kWh/kg)</t>
  </si>
  <si>
    <t>13.9 kWh/kg
https://www.engineeringtoolbox.com/fuels-higher-calorific-values-d_169.html</t>
  </si>
  <si>
    <t>33.3 kWh/kg
https://www.engineeringtoolbox.com/fuels-higher-calorific-values-d_169.html</t>
  </si>
  <si>
    <t>kWh/tonneHotMetal</t>
  </si>
  <si>
    <t>tonneO2/tonneHotMetal</t>
  </si>
  <si>
    <t>MWh/tonneHotMetal</t>
  </si>
  <si>
    <t>0.1kmolO2/tonneHotMetal (0.003 tonneO2/tonneHotMetal)
DOI: 10.1039/d3ee01077e</t>
  </si>
  <si>
    <t>tonneOre/tonneHotMetal</t>
  </si>
  <si>
    <r>
      <t xml:space="preserve">Reducing Gas required to produce 1 tonne of hotmetal
</t>
    </r>
    <r>
      <rPr>
        <sz val="12"/>
        <color rgb="FFFF0000"/>
        <rFont val="Arial"/>
        <family val="2"/>
      </rPr>
      <t>Calculated value, please do not change this cell</t>
    </r>
  </si>
  <si>
    <t>kWh/kgGas</t>
  </si>
  <si>
    <t>Refer to iron ore reducing gas table</t>
  </si>
  <si>
    <t>DRI Plant: 67-85 kWh/tonneHotMetal
DOI: 10.1016/j.jclepro.2022.135146, https://www.energiron.com/wp-content/uploads/2020/01/Energiron_Brochure-2020.pdf</t>
  </si>
  <si>
    <t>Assume 0 for hydrogen</t>
  </si>
  <si>
    <t>Natural gas price of 12AUD/GJ (8.4 USD/GJ)</t>
  </si>
  <si>
    <t>Annual Labour Costs</t>
  </si>
  <si>
    <t>Ironmaking Labour Costs</t>
  </si>
  <si>
    <t>Shaft Furnance Maintenance Costs</t>
  </si>
  <si>
    <t>Reformer / Hydrogen Pre-heater Maintenance Costs</t>
  </si>
  <si>
    <t>Recycle Compressor Maintenance Costs</t>
  </si>
  <si>
    <t>Cooling Tower Maintence Costs</t>
  </si>
  <si>
    <t>Oxygen Pressure Adsorption (PSA) Maintenance Costs</t>
  </si>
  <si>
    <t>DRI Process Labour Costs (for Overall Ironmaking Process)</t>
  </si>
  <si>
    <t>Iron ore cost. Input literature value or the value determined in the iron ore model</t>
  </si>
  <si>
    <t>Iron Ore Pellets: 130 USD/tonne
DOI: 10.1039/d3ee01077e</t>
  </si>
  <si>
    <t>Reducing Gas Cost</t>
  </si>
  <si>
    <t>DRI Plant Electricity</t>
  </si>
  <si>
    <r>
      <t xml:space="preserve">Carbon emissions per kWh of reducign gas
</t>
    </r>
    <r>
      <rPr>
        <sz val="12"/>
        <color rgb="FFFF0000"/>
        <rFont val="Arial"/>
        <family val="2"/>
      </rPr>
      <t>Calculated value, please do no change this cell</t>
    </r>
  </si>
  <si>
    <t>Oxygen PSA Electricity</t>
  </si>
  <si>
    <t>HBI briquette compression (10 kWh/tonneHBI)
https://doi.org/10.1038/s41467-023-38123-2</t>
  </si>
  <si>
    <t>kWh/tonneOxygen</t>
  </si>
  <si>
    <t>Air Separation: 385 kWh/tonneOxygen
DOI: 10.1016/j.jclepro.2022.135146</t>
  </si>
  <si>
    <t>kWh/tonneHBI</t>
  </si>
  <si>
    <t>tonneHBI/yr</t>
  </si>
  <si>
    <t>Oxygen PSA Sizing</t>
  </si>
  <si>
    <t>Oxygen Pressure Swing Adsorption (PSA) Capital Costs</t>
  </si>
  <si>
    <r>
      <t xml:space="preserve">Oxygen required to produce 1 tonne of hot metal. Takes into account all unit processes that require oxygen
</t>
    </r>
    <r>
      <rPr>
        <sz val="12"/>
        <color rgb="FFFF0000"/>
        <rFont val="Calibri"/>
        <family val="2"/>
        <scheme val="minor"/>
      </rPr>
      <t>Calculated value, please do not change this cell</t>
    </r>
  </si>
  <si>
    <t>Electricity (DRI Plant)</t>
  </si>
  <si>
    <t>Electricity (Oxygen PSA Plant)</t>
  </si>
  <si>
    <t>Reducing gas</t>
  </si>
  <si>
    <t>kgCO2/tonneHotMetal</t>
  </si>
  <si>
    <t>Reformer / Hydrogen Pre-heater CAPEX</t>
  </si>
  <si>
    <t>Recycle Compressor CAPEX</t>
  </si>
  <si>
    <t>Cooling Tower CAPEX</t>
  </si>
  <si>
    <t>HBI Roller PressCapital Costs</t>
  </si>
  <si>
    <t>HBI Roller Press Sizing</t>
  </si>
  <si>
    <t>HBI Roller Press Maintenance Costs</t>
  </si>
  <si>
    <t>Electricity (HBI Roller Press)</t>
  </si>
  <si>
    <t>HBI Roller Press CAPEX</t>
  </si>
  <si>
    <t>Shaft Furnace CAPEX</t>
  </si>
  <si>
    <t>Oxygen PSA CAPEX</t>
  </si>
  <si>
    <t>Electrical &amp; Instrumentation CAPEX</t>
  </si>
  <si>
    <t>Building &amp; Storage CAPEX</t>
  </si>
  <si>
    <t>Other Miscellaneous CAPEX</t>
  </si>
  <si>
    <t>Process Output</t>
  </si>
  <si>
    <t>tonneHotMetal/yr</t>
  </si>
  <si>
    <t>Fixed Operating Costs</t>
  </si>
  <si>
    <t>Variable Operating Costs  (accounts for process availability)</t>
  </si>
  <si>
    <t>Total Energy Required per tonne hotmetal</t>
  </si>
  <si>
    <t>DRI Plant Energy Requirements</t>
  </si>
  <si>
    <t>HBI Roller Press Enengy Requirements</t>
  </si>
  <si>
    <t>Oxygen PSA Energy Requirements</t>
  </si>
  <si>
    <t>DRI Reducing Gas</t>
  </si>
  <si>
    <t>HBI Roller Press Electricity</t>
  </si>
  <si>
    <t>Levelised Cost Attributed to DRI Reducing Gas</t>
  </si>
  <si>
    <t>Levelised Cost Attributed to DRI Plant Electricity</t>
  </si>
  <si>
    <t>Levelised Cost Attributed to HBI Roller Press Electricity</t>
  </si>
  <si>
    <t>Levelised Cost Attributed to Oxygen PSA Electricity</t>
  </si>
  <si>
    <t>Levelised Cost Attributed to Additional Annual Costs</t>
  </si>
  <si>
    <t>Levelised Cost Attributed to Additional Operating Costs</t>
  </si>
  <si>
    <t>Levelised Cost Attributed to Annual Carbon Costs (if Carbon Pricing is Applied)</t>
  </si>
  <si>
    <t>USD/tonneHotMetal</t>
  </si>
  <si>
    <t>Based on concetrating plant from: 
"Costs and Cost Estimation" T. Alan,  O'Hara and Stanley C.Suboleski
https://nubeminera.cl/wp-content/uploads/2019/05/Nube-Minera-OHara-Subolewsky.pdf
Compared this to a cost of 38millUSD for a Pellet Feed Concentrate Plant of 1million tpa. Costs are similar if assuming the 38million accounts for crushing plant. https://www.zanagairon.com/wp-content/uploads/2019/06/ZIOC-IP-28.03.19.pdf</t>
  </si>
  <si>
    <t>Electric Smelting Furance (ESF) Plant Parameters</t>
  </si>
  <si>
    <t>Oxygen Pressure Swing Adsorption (PSA )(Auxiliary Equipment)</t>
  </si>
  <si>
    <t>Hot Briquetted Iron (HBI) Plant Parameters</t>
  </si>
  <si>
    <t>Oxygen Pressure Swing Adsorption (PSA) (Auxiliary Equipment)</t>
  </si>
  <si>
    <t>Process Inputs (for ESF)</t>
  </si>
  <si>
    <t>Electricity for ESF Operation</t>
  </si>
  <si>
    <t>ESF Capital Costs</t>
  </si>
  <si>
    <t>ESF Sizing</t>
  </si>
  <si>
    <t>Electricity (ESF)</t>
  </si>
  <si>
    <t>ESF CAPEX</t>
  </si>
  <si>
    <t>ESF Maintenance Costs</t>
  </si>
  <si>
    <t>ESF Electricity</t>
  </si>
  <si>
    <t>ESF Energy Requirements</t>
  </si>
  <si>
    <t>AUD/tonneHotMetal</t>
  </si>
  <si>
    <t>Carbon emissions per kWh of electricity generated</t>
  </si>
  <si>
    <t>DRI and ESF Process Labour Costs (for Overall Ironmaking Process)</t>
  </si>
  <si>
    <t>Assumed similar to an EAF: 
3% installed cost (which includes refractory lining)
DOI: 10.1016/j.jclepro.2018.08.279</t>
  </si>
  <si>
    <t>Lime</t>
  </si>
  <si>
    <t>Lime required to produce 1 tonne of steel</t>
  </si>
  <si>
    <t>Lime for EAF: 0.04-0.05 tonneLime/tonneSteel
DOI: 10.1016/j.jclepro.2022.135146, DOI: 10.1039/d3ee01077e</t>
  </si>
  <si>
    <t>Carbon</t>
  </si>
  <si>
    <t>Carbon required to produce 1 tonne of product. If no carbon is added, set this value to 0</t>
  </si>
  <si>
    <t>Carbon for EAF: 27kg/tonneSteel
DOI: 10.1039/d3ee01077e</t>
  </si>
  <si>
    <t>Assumed simlar to lime addition in an EAF (https://doi.org/10.1007/s40831-024-00878-3)
Lime for EAF: 0.04-0.05 tonneLime/tonneSteel
DOI: 10.1016/j.jclepro.2022.135146, DOI: 10.1039/d3ee01077e</t>
  </si>
  <si>
    <t>tonneLime/tonneHotMetal</t>
  </si>
  <si>
    <t>tonneC/tonneHotMetal</t>
  </si>
  <si>
    <t>Assumed similar to the energy requirements of an EAF:
If hot-linked: 355-380 kWh/tonne
If not hot-linked: 453 kWh/tonne
DOI: 10.1016/j.jclepro.2022.135146, DOI: 10.1039/d3ee01077e</t>
  </si>
  <si>
    <t>Electricity for EAF operation. Assuming operation as an integrated process (ie hot-linked) meaning DRI is added directly to the ESF, resulting in an energy saving of not having to heat the DRI up from ambient temperature</t>
  </si>
  <si>
    <t>Slag Production</t>
  </si>
  <si>
    <t>Slag generated to produce 1 tonne of product</t>
  </si>
  <si>
    <t>tonneSlag/tonneHotMetal</t>
  </si>
  <si>
    <t>ESF Carbon Addition</t>
  </si>
  <si>
    <t>ESF Lime Addition</t>
  </si>
  <si>
    <t>ESF Slag Production</t>
  </si>
  <si>
    <t>ESF Slag Disposal</t>
  </si>
  <si>
    <t>Assumed similar amount of carbon as is used in an EAF:
Carbon for EAF: 27kg/tonneSteel
DOI: 10.1039/d3ee01077e</t>
  </si>
  <si>
    <t>Carbon (ESF Addition)</t>
  </si>
  <si>
    <t>Slag Disposal</t>
  </si>
  <si>
    <t>Lime 80USD/tonne https://www.ec21.com/ec-market/quick-lime-price.html
Lime: 100 USD/tonne (142.86 A$/tonne)
DOI: 10.1039/d3ee01077e</t>
  </si>
  <si>
    <t>Carbon: 168.8 USD/tonne https://www.statista.com/statistics/779868/forecasted-price-of-coking-coal-by-type/#:~:text=It%20is%20forecast%20that%20the,per%20metric%20tonne%20that%20year.
179.47 USD/tonne (256.39 A$/tonne) DOI: 10.1039/d3ee01077e</t>
  </si>
  <si>
    <t>Slag Disposal: 30 USD/tonne
DOI: 10.1039/d3ee01077e</t>
  </si>
  <si>
    <t>Set this to zero if the slag is being stored on site</t>
  </si>
  <si>
    <t>Levelised Cost Attributed to Ironmaking Labour Costs</t>
  </si>
  <si>
    <t>Total Levelised Cost of Ironmaking</t>
  </si>
  <si>
    <t>Levelised Cost Attributed to Maintenance Costs</t>
  </si>
  <si>
    <t>Levelised Cost Attributed to ESF Lime Addition</t>
  </si>
  <si>
    <t>Levelised Cost Attributed to ESF Carbon Addition</t>
  </si>
  <si>
    <t>Levelised Cost Attributed to ESF Slag Disposal</t>
  </si>
  <si>
    <t>Levelised Cost Attributed to Shaft Furnace CAPEX</t>
  </si>
  <si>
    <t>Levelised Cost Attributed to Reformer / Hydrogen Pre-heater CAPEX</t>
  </si>
  <si>
    <t>Levelised Cost Attributed to Recycle Compressor CAPEX</t>
  </si>
  <si>
    <t>Levelised Cost Attributed to Cooling Tower CAPEX</t>
  </si>
  <si>
    <t>Levelised Cost Attributed to HBI Roller Press CAPEX</t>
  </si>
  <si>
    <t>Levelised Cost Attributed to Oxygen PSA CAPEX</t>
  </si>
  <si>
    <t>Levelised Cost Attributed to Electrical &amp; Instrumentation CAPEX</t>
  </si>
  <si>
    <t>Levelised Cost Attributed to Building &amp; Storage CAPEX</t>
  </si>
  <si>
    <t>Levelised Cost Attributed to Other Miscellaneous CAPEX</t>
  </si>
  <si>
    <t>Levelised Cost Attributed to Installation Costs</t>
  </si>
  <si>
    <t>Levelised Cost Attributed to Land Procurement Costs</t>
  </si>
  <si>
    <t>Levelised Cost Attributed to Additional Upfront Costs</t>
  </si>
  <si>
    <t>Levelised Cost Attributed to Iron Ore</t>
  </si>
  <si>
    <t>Levelised Cost Attributed to ESF CAPEX</t>
  </si>
  <si>
    <t>Levelised Cost Attributed to ESF  Electricity</t>
  </si>
  <si>
    <t>Lime (ESF Addition)</t>
  </si>
  <si>
    <t>Oxygen required to produce 1 tonne of steel</t>
  </si>
  <si>
    <t>EAF Electrode Replacement</t>
  </si>
  <si>
    <t>Graphite Electrode Consumption Rate</t>
  </si>
  <si>
    <t>Carbon Content of DRI (%C)</t>
  </si>
  <si>
    <t>% C (w/w)</t>
  </si>
  <si>
    <t>Carbon Contained in the Hot Metal</t>
  </si>
  <si>
    <r>
      <t>Equivalnet CO</t>
    </r>
    <r>
      <rPr>
        <vertAlign val="subscript"/>
        <sz val="12"/>
        <color theme="1"/>
        <rFont val="Arial"/>
        <family val="2"/>
      </rPr>
      <t>2</t>
    </r>
    <r>
      <rPr>
        <sz val="12"/>
        <color theme="1"/>
        <rFont val="Arial"/>
        <family val="2"/>
      </rPr>
      <t xml:space="preserve"> remaining in hot metal
</t>
    </r>
    <r>
      <rPr>
        <sz val="12"/>
        <color rgb="FFFF0000"/>
        <rFont val="Arial"/>
        <family val="2"/>
      </rPr>
      <t>Calculated value, please do not change this cell</t>
    </r>
  </si>
  <si>
    <t>DRI from natural gas DRI (1-4.5% Carbon)</t>
  </si>
  <si>
    <t>DRI from H2 DRI (0% carbon)</t>
  </si>
  <si>
    <t>Ouput of an ESF is similar to Pig Iron. Pig Iron contains 3.5-4.5% carbon</t>
  </si>
  <si>
    <t>Carbon Released in ESF</t>
  </si>
  <si>
    <r>
      <t xml:space="preserve">Carbon emissions per kWh of reducing gas
</t>
    </r>
    <r>
      <rPr>
        <sz val="12"/>
        <color rgb="FFFF0000"/>
        <rFont val="Arial"/>
        <family val="2"/>
      </rPr>
      <t>Calculated value, please do no change this cell</t>
    </r>
  </si>
  <si>
    <t>kgCO2/tonneC</t>
  </si>
  <si>
    <t>Based on Antracite 2617 kgCO2-e/tonne
https://www.dcceew.gov.au/sites/default/files/documents/national-greenhouse-account-factors-2024.pdf</t>
  </si>
  <si>
    <t>kgElectrode/tonneHotMetal</t>
  </si>
  <si>
    <t>Assumed simialr to an EAF:
0.200 tonneSlag/tonneHotMetal
https://doi.org/10.1016/j.jclepro.2022.131339</t>
  </si>
  <si>
    <t>0.054 tonneO2/tonneHotMetal
Refer to tab: "A5. OxygenRequirements"</t>
  </si>
  <si>
    <t>Graphite Electrode Consumption Rate: 2kg/tonneHotMetal
DOI: 10.1016/j.jclepro.2018.08.279</t>
  </si>
  <si>
    <t>EAF Carbon Addition</t>
  </si>
  <si>
    <t>EAF Electrode Consumption</t>
  </si>
  <si>
    <t xml:space="preserve">Low-carbon steel: 0.30% carbon. Medium-carbon steel: 0.30% to 0.60% carbon. High-carbon steel &gt; 0.60% carbon. </t>
  </si>
  <si>
    <t>Carbon Released from EAF Carbon Addition</t>
  </si>
  <si>
    <t>Carbon Released from EAF Electrode Consumption</t>
  </si>
  <si>
    <t>EAF Electrode Replacement Cost</t>
  </si>
  <si>
    <r>
      <t>Graphite Electrode Cost: 4 EUR/kg</t>
    </r>
    <r>
      <rPr>
        <vertAlign val="subscript"/>
        <sz val="12"/>
        <color theme="1"/>
        <rFont val="Arial"/>
        <family val="2"/>
      </rPr>
      <t xml:space="preserve">Electrode </t>
    </r>
    <r>
      <rPr>
        <sz val="12"/>
        <color theme="1"/>
        <rFont val="Arial"/>
        <family val="2"/>
      </rPr>
      <t>(4 USD/kg</t>
    </r>
    <r>
      <rPr>
        <vertAlign val="subscript"/>
        <sz val="12"/>
        <color theme="1"/>
        <rFont val="Arial"/>
        <family val="2"/>
      </rPr>
      <t>Electrode</t>
    </r>
    <r>
      <rPr>
        <sz val="12"/>
        <color theme="1"/>
        <rFont val="Arial"/>
        <family val="2"/>
      </rPr>
      <t>)
DOI: 10.1016/j.jclepro.2018.08.279</t>
    </r>
  </si>
  <si>
    <t>USD/kgElectrode</t>
  </si>
  <si>
    <t>Estimate aligns with literature EAF electrode consumption: 6-15kgCO2/tonneHotMetal.DOI: 10.1016/j.jclepro.2022.135146, DOI: 10.1038/s41467-023-38123-2</t>
  </si>
  <si>
    <t>Assuming graphite electrodes have similar emissions to Antracite 2617 kgCO2-e/tonne
https://www.dcceew.gov.au/sites/default/files/documents/national-greenhouse-account-factors-2024.pdf</t>
  </si>
  <si>
    <t>EAF CAPEX</t>
  </si>
  <si>
    <t>EAF Maintenance Costs</t>
  </si>
  <si>
    <t>EAF Electricity</t>
  </si>
  <si>
    <t>EAF Lime Addition</t>
  </si>
  <si>
    <t>EAF Slag Disposal</t>
  </si>
  <si>
    <t>EAF Energy Requirements</t>
  </si>
  <si>
    <t>Levelised Cost Attributed to EAF CAPEX</t>
  </si>
  <si>
    <t>Levelised Cost Attributed to EAF  Electricity</t>
  </si>
  <si>
    <t>Levelised Cost Attributed to EAF Lime Addition</t>
  </si>
  <si>
    <t>Levelised Cost Attributed to EAF Carbon Addition</t>
  </si>
  <si>
    <t>Levelised Cost Attributed to EAF Electrode Replacement</t>
  </si>
  <si>
    <t>Levelised Cost Attributed to EAF Slag Disposal</t>
  </si>
  <si>
    <t>Process Inputs (for EAF)</t>
  </si>
  <si>
    <t>Electric Arc Furance (EAF) Plant Parameters</t>
  </si>
  <si>
    <t>Electricity for EAF Operation</t>
  </si>
  <si>
    <t>Electricity for EAF operation. Assuming operation as an integrated process (ie hot-linked) meaning DRI is added directly to the EAF, resulting in an energy saving of not having to heat the DRI up from ambient temperature</t>
  </si>
  <si>
    <t>If hot-linked: 355-380 kWh/tonne
If not hot-linked: 453 kWh/tonne
DOI: 10.1016/j.jclepro.2022.135146, DOI: 10.1039/d3ee01077e</t>
  </si>
  <si>
    <t>0.200 tonneSlag/tonneHotMetal
https://doi.org/10.1016/j.jclepro.2022.131339</t>
  </si>
  <si>
    <t>EAF Sizing</t>
  </si>
  <si>
    <t>Lime (EAF Addition)</t>
  </si>
  <si>
    <t>Carbon (EAF Addition)</t>
  </si>
  <si>
    <t>Slag Disposal (Produced in EAF)</t>
  </si>
  <si>
    <t>Electricity (EAF)</t>
  </si>
  <si>
    <t>EAF Capital Costs</t>
  </si>
  <si>
    <t>Basic Oxygen Furnace (BOF) Plant Parameters</t>
  </si>
  <si>
    <t>Process Inputs (for BOF)</t>
  </si>
  <si>
    <t>BOF Sizing</t>
  </si>
  <si>
    <t>doi.org/10.1016/j.ijggc.2023.103958</t>
  </si>
  <si>
    <t>Basic Oxygen Furnace</t>
  </si>
  <si>
    <t>Basic oxygen furnace
and steel refining</t>
  </si>
  <si>
    <t>2022 (assumed)</t>
  </si>
  <si>
    <t>5% Installed Costs
doi.org/10.1016/j.ijggc.2023.103958</t>
  </si>
  <si>
    <t>BOF Capital Costs</t>
  </si>
  <si>
    <t>Electricity required to produce 1 ton of steel</t>
  </si>
  <si>
    <t>Lime required to produce 1 ton of steel. Lime is typically used as flux for the BOF (https://doi.org/10.1016/j.ijggc.2023.103958)</t>
  </si>
  <si>
    <t xml:space="preserve">Oxygen required to produce 1 ton of steel. </t>
  </si>
  <si>
    <t>Lime required to produce 1 tonne of hot metal</t>
  </si>
  <si>
    <t>BOF Slag Production</t>
  </si>
  <si>
    <t>Slag generated to produce 1 ton of steel</t>
  </si>
  <si>
    <r>
      <t>56-60 kg</t>
    </r>
    <r>
      <rPr>
        <vertAlign val="subscript"/>
        <sz val="12"/>
        <color theme="1"/>
        <rFont val="Arial"/>
        <family val="2"/>
      </rPr>
      <t>Slag</t>
    </r>
    <r>
      <rPr>
        <sz val="12"/>
        <color theme="1"/>
        <rFont val="Arial"/>
        <family val="2"/>
      </rPr>
      <t>/tonneHotMetal
doi: 10.1016/j.egypro.2013.06.651, 10.1016/j.ijggc.2014.09.004</t>
    </r>
  </si>
  <si>
    <t>tonne/tonneHotMetal</t>
  </si>
  <si>
    <t>20-23 kWh/tonneHotMetal
https://doi.org/10.1016/j.jclepro.2022.135146; Baig, S. Cost effectiveness analysis of HYL and Midrex DRI technologies for the iron and steel-making industry. (2016)</t>
  </si>
  <si>
    <t>43 kg/tonneHotMetal
https://doi.org/10.1016/j.ijggc.2023.103958</t>
  </si>
  <si>
    <r>
      <t>55 Nm</t>
    </r>
    <r>
      <rPr>
        <vertAlign val="superscript"/>
        <sz val="12"/>
        <color theme="1"/>
        <rFont val="Arial"/>
        <family val="2"/>
      </rPr>
      <t>3</t>
    </r>
    <r>
      <rPr>
        <sz val="12"/>
        <color theme="1"/>
        <rFont val="Arial"/>
        <family val="2"/>
      </rPr>
      <t>/ton</t>
    </r>
    <r>
      <rPr>
        <vertAlign val="subscript"/>
        <sz val="12"/>
        <color theme="1"/>
        <rFont val="Arial"/>
        <family val="2"/>
      </rPr>
      <t xml:space="preserve">Steel </t>
    </r>
    <r>
      <rPr>
        <sz val="12"/>
        <color theme="1"/>
        <rFont val="Arial"/>
        <family val="2"/>
      </rPr>
      <t>(78.6 kg/tonneHotMetal)
Baig, S. Cost effectiveness analysis of HYL and Midrex DRI technologies for the iron and steel-making industry.  (2016)</t>
    </r>
  </si>
  <si>
    <t>DRI, ESF and BOF Process Labour Costs (for Overall Steelmaking Process)</t>
  </si>
  <si>
    <t>DRI and EAF Process Labour Costs (for Overall Steelmaking Process)</t>
  </si>
  <si>
    <t>Lime (ESF and BOF Addition)</t>
  </si>
  <si>
    <t>Carbon (ESF and BOF Addition)</t>
  </si>
  <si>
    <t>Slag Disposal (ESF and BOF)</t>
  </si>
  <si>
    <t>Electricity (BOF)</t>
  </si>
  <si>
    <t>Carbon Contained in the Hot Metal out of BOF</t>
  </si>
  <si>
    <t>Carbon Contained in the Hot Metal out of ESF</t>
  </si>
  <si>
    <t>Carbon Released in BOF</t>
  </si>
  <si>
    <t xml:space="preserve">Accounts for the carbon contained in the final metal product </t>
  </si>
  <si>
    <t xml:space="preserve">Accounts for the carbon contained in the intermediate metal product </t>
  </si>
  <si>
    <t>Carbon Contained in the Hot Metal out of the DRI Process</t>
  </si>
  <si>
    <t>Carbon Contained in the Hot Metal out of EAF</t>
  </si>
  <si>
    <t>Carbon Contained in the Hot Metal out of DRI</t>
  </si>
  <si>
    <t>Carbon content out of BOF must be lower than carbon content of hot metal entering BOF, as this process assumes no carbon is added to the BOF</t>
  </si>
  <si>
    <t>BOF CAPEX</t>
  </si>
  <si>
    <t>BOF Maintenance Costs</t>
  </si>
  <si>
    <t>BOF Electricity</t>
  </si>
  <si>
    <t>BOF Lime Addition</t>
  </si>
  <si>
    <t>BOF Slag Disposal</t>
  </si>
  <si>
    <t>BOF Energy Requirements</t>
  </si>
  <si>
    <t>Levelised Cost Attributed to BOF  Electricity</t>
  </si>
  <si>
    <t>Levelised Cost Attributed to BOF Lime Addition</t>
  </si>
  <si>
    <t>Levelised Cost Attributed to BOF Slag Disposal</t>
  </si>
  <si>
    <t>Hours worked per worker per year</t>
  </si>
  <si>
    <t>(WorkHours/Worker)/yr</t>
  </si>
  <si>
    <t>Estimated based on a 40 hour work week and 48 weeks per year</t>
  </si>
  <si>
    <t>USD/hour</t>
  </si>
  <si>
    <t>Average worker hourly wage</t>
  </si>
  <si>
    <t>Based on OECD estimates of annual wage in Australia 97,318 AUD/yr (68,123USD/yr)https://www.oecd.org/en/data/indicators/average-annual-wages.html</t>
  </si>
  <si>
    <t>Number of  Shift Positions Required</t>
  </si>
  <si>
    <t>Shift Position Multiplier</t>
  </si>
  <si>
    <t>Multiply the number of shift positions by 4.8 to estimate the number of people to staff each position to cover three shifts per day, along with weekends, holidays,personal time off, and sick leave</t>
  </si>
  <si>
    <t>https://doi.org/10.1007/s40831-024-00878-3</t>
  </si>
  <si>
    <t>shift position</t>
  </si>
  <si>
    <t>worker/shift position</t>
  </si>
  <si>
    <t>Staffing Cost Assumptions</t>
  </si>
  <si>
    <t>Crew Cost Assumptions</t>
  </si>
  <si>
    <t>Assumed 20-25 staff required per vessel
https://www2.deloitte.com/content/dam/Deloitte/global/Documents/dttl-er-challengeindustry-08072013.pdf</t>
  </si>
  <si>
    <t>Number of  Shift Positions Required for DRI</t>
  </si>
  <si>
    <t>Assuming 4 shift positions for shaft furnace operation, 4 shift positions for ESF (remelt) and 4 shift positions for Pig Iron Storage. https://doi.org/10.1007/s40831-024-00878-3</t>
  </si>
  <si>
    <t>Labour Costs</t>
  </si>
  <si>
    <t>Levelised Cost Attributed to Labour Costs</t>
  </si>
  <si>
    <t>Assuming 4 shift positions for shaft furnace operation, 4 shift positions for EAF and 4 shift positions for Pig Iron Storage. https://doi.org/10.1007/s40831-024-00878-3</t>
  </si>
  <si>
    <t>Annual Production</t>
  </si>
  <si>
    <t>Plant Parameters</t>
  </si>
  <si>
    <t>Process Inputs</t>
  </si>
  <si>
    <t>kWh/tonneNH3</t>
  </si>
  <si>
    <t>Based on an electricity consumption of 2.2 GJ/tonneNH3
https://www.iea.org/reports/global-hydrogen-review-2024#downloads</t>
  </si>
  <si>
    <t>Based on stoichiometric amount of hydrogen per tonne of ammonia ((3x1.008)/(14.01+3*1.008))</t>
  </si>
  <si>
    <t>Haber Bosch</t>
  </si>
  <si>
    <t>Capacity</t>
  </si>
  <si>
    <t>Haber Bosch (including air separation)</t>
  </si>
  <si>
    <t>Annual OPEX</t>
  </si>
  <si>
    <t>Annual Opex of 3%
https://www.iea.org/reports/global-hydrogen-review-2024#downloads</t>
  </si>
  <si>
    <t>USD/(tonneNH3/yr)</t>
  </si>
  <si>
    <t>CAPEX (including air separation) 770 USD/(tNH3/yr) 
https://www.iea.org/reports/global-hydrogen-review-2024#downloads</t>
  </si>
  <si>
    <t>Haber Bosh and Air Separation CAPEX</t>
  </si>
  <si>
    <t>Haber Bosch and Air Separation OPEX</t>
  </si>
  <si>
    <t>tonneNH3/yr</t>
  </si>
  <si>
    <t>Process Input Costs</t>
  </si>
  <si>
    <t>Input levelised cost of electricity determined for each region</t>
  </si>
  <si>
    <t>Input levelised cost of hydrogen for each region</t>
  </si>
  <si>
    <t>USD/kgH2</t>
  </si>
  <si>
    <t>Rated capacity</t>
  </si>
  <si>
    <t>kgH2/tonneNH3</t>
  </si>
  <si>
    <t>Levelised Cost Attributed to CAPEX</t>
  </si>
  <si>
    <t>Levelised Cost Attributed to Fixed OPEX</t>
  </si>
  <si>
    <t>Levelised Cost Attributed to Variable OPEX</t>
  </si>
  <si>
    <t>Total Levelised Cost of Ammonia</t>
  </si>
  <si>
    <t>USD/tonneNH3</t>
  </si>
  <si>
    <t>AUD/tonneNH3</t>
  </si>
  <si>
    <t>https://www.iea.org/reports/global-hydrogen-review-2024#downloads</t>
  </si>
  <si>
    <t>kWh/kgH2</t>
  </si>
  <si>
    <t>Heating Energy</t>
  </si>
  <si>
    <t>Based on an electricity consumption of 1.5 kWh/kgH2
https://www.iea.org/reports/global-hydrogen-review-2024#downloads</t>
  </si>
  <si>
    <t>Based on a fuel consumption of 9.7 kWh/kgH2
https://www.iea.org/reports/global-hydrogen-review-2024#downloads</t>
  </si>
  <si>
    <t>Assuming this heating energy is provided by electricity</t>
  </si>
  <si>
    <t>Ammonia Cracking</t>
  </si>
  <si>
    <t>USD/(tonneH2/yr)</t>
  </si>
  <si>
    <t>Annual Opex of 4%
https://www.iea.org/reports/global-hydrogen-review-2024#downloads</t>
  </si>
  <si>
    <t>CAPEX 3050 USD/(tH2/yr) 
https://www.iea.org/reports/global-hydrogen-review-2024#downloads</t>
  </si>
  <si>
    <t>Dehydrogenation Rate</t>
  </si>
  <si>
    <t>PSA Hydrogen Recovery Rate</t>
  </si>
  <si>
    <t>Tonnes of Ammonia needed per tonne H2</t>
  </si>
  <si>
    <t>tonneNH3/tonneH2</t>
  </si>
  <si>
    <t>tonneH2/yr</t>
  </si>
  <si>
    <t>Cracking Unit CAPEX</t>
  </si>
  <si>
    <t>Cracking Unit OPEX</t>
  </si>
  <si>
    <t>USD/tonneH2</t>
  </si>
  <si>
    <t>AUD/tonneH2</t>
  </si>
  <si>
    <t>kWh/tonneMeOH</t>
  </si>
  <si>
    <t>kgH2/tonneMeOH</t>
  </si>
  <si>
    <t>Based on stoichiometric amount of hydrogen per tonne of methanol (3molH2 x 2 g/molH2)/(1 mol MeOH x 32g/mol MeOH)</t>
  </si>
  <si>
    <t>Carbon Dioxide</t>
  </si>
  <si>
    <t>kgCO2/tonneMeOH</t>
  </si>
  <si>
    <t>Based on stoichiometric amount of CO2 per tonne of methanol
(44gCO2/32gMeOH)</t>
  </si>
  <si>
    <t>Assume an input costs of CO2</t>
  </si>
  <si>
    <t>tonneMeOH/yr</t>
  </si>
  <si>
    <t>Energy content of methanol</t>
  </si>
  <si>
    <t>USD/(kWProductFuel)</t>
  </si>
  <si>
    <t>kWMeOH</t>
  </si>
  <si>
    <t>kW of Methanol production</t>
  </si>
  <si>
    <t>Annual Opex of 5%
https://www.iea.org/reports/global-hydrogen-review-2024#downloads</t>
  </si>
  <si>
    <t>Enenrgy Content of Product Fuel</t>
  </si>
  <si>
    <t>https://www.engineeringtoolbox.com/fuels-higher-calorific-values-d_169.html</t>
  </si>
  <si>
    <t>GJ/GJProduct</t>
  </si>
  <si>
    <t>Electricity consumption of 0.018 GJ/GJProduct
https://www.iea.org/reports/global-hydrogen-review-2024#downloads</t>
  </si>
  <si>
    <t>Fischer Tropsch CAPEX</t>
  </si>
  <si>
    <t>Fischer Tropsch OPEX</t>
  </si>
  <si>
    <t>Total Levelised Cost of Methanol</t>
  </si>
  <si>
    <t>USD/tonneMeOH</t>
  </si>
  <si>
    <t>Energy Content of Product Fuel</t>
  </si>
  <si>
    <t>Energy content of methane</t>
  </si>
  <si>
    <t>kgH2/tonneCH4</t>
  </si>
  <si>
    <t>kWh/tonneCH4</t>
  </si>
  <si>
    <t>kgCO2/tonneCH4</t>
  </si>
  <si>
    <t>tonneCH4/yr</t>
  </si>
  <si>
    <t>kWCH4</t>
  </si>
  <si>
    <t>kW of Methae production</t>
  </si>
  <si>
    <t>Based on stoichiometric amount of hydrogen per tonne of methane (4molH2 x 2 g/molH2)/(1 mol CH4 x 16g/mol CH4)</t>
  </si>
  <si>
    <t>Based on stoichiometric amount of CO2 per tonne of methanol
(44gCO2/16gCH4)</t>
  </si>
  <si>
    <t>USD/tonneCH4</t>
  </si>
  <si>
    <t>Total Levelised Cost of Synthetic Natural Gas</t>
  </si>
  <si>
    <t>Electricity consumption of 1.5 kWh/kgH2
https://www.iea.org/reports/global-hydrogen-review-2024#downloads</t>
  </si>
  <si>
    <t>LOHC conversion</t>
  </si>
  <si>
    <t>LOHC CAPEX</t>
  </si>
  <si>
    <t>LOCH Capex</t>
  </si>
  <si>
    <t>CAPEX  790 USD/(tH2/year)
https://www.iea.org/reports/global-hydrogen-review-2024#downloads</t>
  </si>
  <si>
    <t>USD/(tH2/year)</t>
  </si>
  <si>
    <t>LOHC OPEX</t>
  </si>
  <si>
    <t>Total Levelised Cost of LOHC Conversion</t>
  </si>
  <si>
    <t>tonneH2/tonneH2</t>
  </si>
  <si>
    <t>Tonnes of Hydrogen needed per tonne H2</t>
  </si>
  <si>
    <t>CAPEX 2950 USD/(tH2/yr) 
https://www.iea.org/reports/global-hydrogen-review-2024#downloads</t>
  </si>
  <si>
    <t>Electricity consumption of 6 kWh/kgH2
https://www.iea.org/reports/global-hydrogen-review-2024#downloads</t>
  </si>
  <si>
    <t>Liquefecation Capex</t>
  </si>
  <si>
    <t xml:space="preserve">CAPEX  4102-7700 USD/(tH2/year)
https://www.globh2e.org.au/_files/ugd/8d2898_3aa5c4ede91f4f4e9f70c07df13f4243.pdf </t>
  </si>
  <si>
    <t xml:space="preserve">Annual Opex of 2-4%
https://www.globh2e.org.au/_files/ugd/8d2898_3aa5c4ede91f4f4e9f70c07df13f4243.pdf </t>
  </si>
  <si>
    <t>Liquefecation CAPEX</t>
  </si>
  <si>
    <t>Liquefecation OPEX</t>
  </si>
  <si>
    <t>OPEX of 1 USD/(tH2/year), which for a CAPEX of 20 USD/(tH2/year), equates to 5% CAPEX
https://www.iea.org/reports/global-hydrogen-review-2024#downloads</t>
  </si>
  <si>
    <t>Total Levelised Cost of H2 Regass</t>
  </si>
  <si>
    <t>Total Levelised Cost of H2 Liquefaction</t>
  </si>
  <si>
    <t>Primary Energy Input 0.031–0.102 GJ/GJ LNG
https://doi.org/10.1016/j.applthermaleng.2019.114736</t>
  </si>
  <si>
    <t>CAPEX 124-2255 USD/TPA LNG
https://doi.org/10.1016/j.applthermaleng.2019.114736</t>
  </si>
  <si>
    <t>OPEX 0.69-4.10 USD/GJ LNG
https://doi.org/10.1016/j.applthermaleng.2019.114736</t>
  </si>
  <si>
    <t>Energy Content of Methane</t>
  </si>
  <si>
    <t>GJElectricity/GJLNG</t>
  </si>
  <si>
    <t>USD/(tCH4/year)</t>
  </si>
  <si>
    <t>GJ/tonneCH4</t>
  </si>
  <si>
    <t>USD/GJ CH4</t>
  </si>
  <si>
    <t>LNG Liquefaction</t>
  </si>
  <si>
    <t>Total Levelised Cost of NG Liquefaction</t>
  </si>
  <si>
    <t>USD/GJ</t>
  </si>
  <si>
    <t>AUD/GJ</t>
  </si>
  <si>
    <t>Enenrgy Content of Hydrogen</t>
  </si>
  <si>
    <t>GJ/tonne</t>
  </si>
  <si>
    <t>Hydrogen Enenrgy Content</t>
  </si>
  <si>
    <t>Methane Enenrgy Content</t>
  </si>
  <si>
    <t>0.01-0.005 kWh/kWhH2 (0.333-0.1665kWh/kgH2)
https://doi.org/10.1016/j.jgsce.2023.205150</t>
  </si>
  <si>
    <t>Liquid H2 Regassification</t>
  </si>
  <si>
    <t>CAPEX 112-432 USD/kWH2 (425-1642 USD/(tonneH2/yr))
https://doi.org/10.1016/j.jgsce.2023.205150</t>
  </si>
  <si>
    <t>CAPEX  50-450 USD/(tonne/yr)
https://doi.org/10.1016/j.jngse.2020.103291</t>
  </si>
  <si>
    <t>Total Levelised Cost of NG Regass</t>
  </si>
  <si>
    <t>USD/(tNG/year)</t>
  </si>
  <si>
    <t>Annual Maintenance Costs. Assumed same as hydrogen regassification</t>
  </si>
  <si>
    <t>Heat energy: 1-2.5% of NG to regassifiy 
https://doi.org/10.1016/j.rser.2018.09.027</t>
  </si>
  <si>
    <t>Based on MRIWA estimates: 1059 MUSD for 2.8Mtpa and 1470 MUSD for 4.8 Mtpa
Other estimates of 470M USD for 4.0Mtpa are provided here:
https://strategic-res.com/news/2024/strategic-resources-announces-robust-economic-results-from-its-iron-pellet-plant-study/;
https://www.prnewswire.com/news-releases/strategic-resources-announces-robust-economic-results-from-its-iron-pellet-plant-study-302086091.html</t>
  </si>
  <si>
    <t>Levelised Cost (per tonne product)</t>
  </si>
  <si>
    <t>Levelised Cost (per tonne Product)</t>
  </si>
  <si>
    <t>Total annual staffing costs. Assumes that staffing for beneficiation and pelletisatin is included in the mill staffing costs</t>
  </si>
  <si>
    <t>Levelised Cost Attributed to Drilling Equipment CAPEX</t>
  </si>
  <si>
    <t>Levelised Cost Attributed to Loading Equipment CAPEX</t>
  </si>
  <si>
    <t>Levelised Cost Attributed to Haulage Equipment CAPEX</t>
  </si>
  <si>
    <t>Levelised Cost Attributed to Crushing, Grinding &amp; Screening CAPEX</t>
  </si>
  <si>
    <t>Levelised Cost Attributed to Beneficiation (Concentration) CAPEX</t>
  </si>
  <si>
    <t>Levelised Cost Attributed to Pelletisation CAPEX</t>
  </si>
  <si>
    <t>Levelised Cost Attributed to Tailings Dam CAPEX</t>
  </si>
  <si>
    <t>Levelised Cost Attributed to Additional CAPEX</t>
  </si>
  <si>
    <t>Levelised Cost Attributed to Annual Staffing Costs</t>
  </si>
  <si>
    <t>Levelised Cost Attributed to Annual Drilling Fuel Costs</t>
  </si>
  <si>
    <t>Levelised Cost Attributed to Annual Loading Fuel Costs</t>
  </si>
  <si>
    <t>Levelised Cost Attributed to Annual Hauling Fuel Costs</t>
  </si>
  <si>
    <t>Levelised Cost Attributed to Annual Explosives Costs</t>
  </si>
  <si>
    <t>Levelised Cost Attributed to Annual Crushing, Grinding &amp; Screening Electricity Costs</t>
  </si>
  <si>
    <t>Levelised Cost Attributed to Annual Benefication Electricity Costs</t>
  </si>
  <si>
    <t>Levelised Cost Attributed to Annual Pelletisation Electricity Costs</t>
  </si>
  <si>
    <t>Levelised Cost Attributed to Annual Maintenance Costs</t>
  </si>
  <si>
    <t>Number of workers</t>
  </si>
  <si>
    <t>Annual Pelletisation Thermal Energy (Fuel) Costs</t>
  </si>
  <si>
    <t>Levelised Cost Attributed to Annual Pelletisation Thermal Energy (Fuel) Costs</t>
  </si>
  <si>
    <t>Total Levelised Cost of Steelmaking</t>
  </si>
  <si>
    <t>Levelised Cost Attributed to BOF CAPEX</t>
  </si>
  <si>
    <t>Geraldton (WA)</t>
  </si>
  <si>
    <t>Kwinana (WA)</t>
  </si>
  <si>
    <t>Whyalla (SA)</t>
  </si>
  <si>
    <t>Melbourne (VIC)</t>
  </si>
  <si>
    <t>Bell Bay (TAS)</t>
  </si>
  <si>
    <t>Port Kembla (NSW)</t>
  </si>
  <si>
    <t>Newcastle (NSW)</t>
  </si>
  <si>
    <t>Gladstone (QLD)</t>
  </si>
  <si>
    <t>Townsville (QLD)</t>
  </si>
  <si>
    <t xml:space="preserve">https://www.mriwa.wa.gov.au/minerals-research-advancing-western-australia/focus-areas/green-steel/green-steel-resources/ </t>
  </si>
  <si>
    <t>Reformer / Hydrogen Pre-heater Sizing</t>
  </si>
  <si>
    <t>Number of  Shift Positions Required for DRI and ESF</t>
  </si>
  <si>
    <t>Assuming 4 shift positions for shaft furnace operation, 4 shift positions for EAF, 4 shift positions for BOF and 4 shift positions for Steel Storage an handling. https://doi.org/10.1007/s40831-024-00878-3</t>
  </si>
  <si>
    <t xml:space="preserve">Staffing requirements for shipping vessel, assuming shift positions are managed using the number of personnel on the vessel. </t>
  </si>
  <si>
    <t>workers</t>
  </si>
  <si>
    <t>The following is a summary table of the reference costs and the corresponding CPI indexes used to adjust these to present-day costs (used for insurance, labour and personnel costs)</t>
  </si>
  <si>
    <t>0.07 USD cents per net tonne kilometer (adjusted to present-day costs: 0.12 USD cents per net tonne kilometer) The Costs of Road and Rail Freight —Neutrality and efficiency in the farm-to-port logistics chain. Australian Government Rural Industries Research and Development Corporation—https://agrifutures.com.au/wp-content/uploads/publications/07-185.pdf</t>
  </si>
  <si>
    <t>3.15 kgCO2/kgFuel
https://safety4sea.com/wp-content/uploads/2020/11/Marine-Benchmark-Maritime-CO2-Emissions-2020_11.pdf
DCCEEW estimates are lower at 73.84 kgCO2/GJ (2.98 kgCO2/kg for an energy density of 40.4 MJ/kg) https://www.dcceew.gov.au/sites/default/files/documents/national-greenhouse-account-factors-2024.pdf</t>
  </si>
  <si>
    <t>19.9 LHV of Methanol: https://doi.org/10.1016/j.trd.2021.103075 
20.09 LHV of Methnaol: https://doi.org/10.1016/j.pecs.2018.10.001</t>
  </si>
  <si>
    <t>Assuming 4 shift positions for shaft furnace operation and 4 shift positions for HBI Storage and handling. https://doi.org/10.1007/s40831-024-00878-3</t>
  </si>
  <si>
    <t>Capex Increase Compared to Benchmarked Costs</t>
  </si>
  <si>
    <t>% of Benchmarked Cost</t>
  </si>
  <si>
    <t xml:space="preserve">This factor is applied to plant that is constructed in Australia, to account for increased costs compared to international costs. Use this if cost correlations are from international costs. This is not applied to equipmet that is delivered as is, such as vehicle costs. </t>
  </si>
  <si>
    <t>Assuming  4 shift positions for EAF and 4 shift positions for Pig Iron Storage. https://doi.org/10.1007/s40831-024-00878-3</t>
  </si>
  <si>
    <t>Assuming  4 shift positions for BOF and 4 shift positions for Steel Storage an handling. https://doi.org/10.1007/s40831-024-00878-3</t>
  </si>
  <si>
    <t>Lime (BOF Addition)</t>
  </si>
  <si>
    <t>Carbon (BOF Addition)</t>
  </si>
  <si>
    <t>Slag Disposal (BOF)</t>
  </si>
  <si>
    <t>Carbon Contained in the Hot Metal entering BOF</t>
  </si>
  <si>
    <t>Carbon content of the metal entering the BOF</t>
  </si>
  <si>
    <r>
      <t>Equivalnet CO</t>
    </r>
    <r>
      <rPr>
        <vertAlign val="subscript"/>
        <sz val="12"/>
        <color theme="1"/>
        <rFont val="Arial"/>
        <family val="2"/>
      </rPr>
      <t>2</t>
    </r>
    <r>
      <rPr>
        <sz val="12"/>
        <color theme="1"/>
        <rFont val="Arial"/>
        <family val="2"/>
      </rPr>
      <t xml:space="preserve"> in hot metal
</t>
    </r>
    <r>
      <rPr>
        <sz val="12"/>
        <color rgb="FFFF0000"/>
        <rFont val="Arial"/>
        <family val="2"/>
      </rPr>
      <t>Calculated value, please do not change this cell</t>
    </r>
  </si>
  <si>
    <t>BOF Process Labour Costs (for Overall Steelmaking Process)</t>
  </si>
  <si>
    <t xml:space="preserve">Battery </t>
  </si>
  <si>
    <t xml:space="preserve">Hydrogen </t>
  </si>
  <si>
    <t>Battery Cost*Battery Capacity+Electric Drivetrain
Battery Cost (247 USD/kWh) CSIRO. GenCost 2023-24 Final Report. 2024.
Battery Capacity (15h) assumed
Electric Drivetrain (30USD/kW) https://doi.org/10.1016/j.ijhydene.2022.01.144</t>
  </si>
  <si>
    <t xml:space="preserve">Battery Cost*Battery Capacity+Hydrogen Fuel Cell+Hydrogen Stroage Cost*Storage Capacity+Electric Drivetrain
Battery Cost (247 USD/kWh) CSIRO. GenCost 2023-24 Final Report. 2024.
Battery Capacity (0.15h) calculated based on fuel cell battey capacity https://doi.org/10.1016/j.matpr.2023.02.039
Fuel Cell Cost (5,636 USD/kWh) CSIRO. GenCost 2023-24 Final Report. 2024.
Hydrogen Storage Costs (27 USD/kWh) DOI: 10.1177/0954409719867495
Hydrogen Storage Tank Capacity (15h) Assumed equivalent to battery capacity </t>
  </si>
  <si>
    <t xml:space="preserve">Battery Electric </t>
  </si>
  <si>
    <t>Electric Locomotive Cost + Fuel Cell Battery Cost + Fuel Cell Cost + Hydrogen Storage Cost
Battery Cost (247 USD/kWh) CSIRO. GenCost 2023-24 Final Report. 2024.
Battery Capacity (2kWh)  based on fuel cell battery capacity https://doi.org/10.1016/j.matpr.2023.02.039
Fuel Cell Capacity (3,280 kW) based on Electric Locomotive Power https://journals.sagepub.com/doi/pdf/10.1177/0954409719867495
Fuel Cell Cost (5636 USD/kWh) CSIRO. GenCost 2023-24 Final Report. 2024.
Hydrogen Storage Costs (27 USD/kWh) DOI: 10.1177/0954409719867495
Hydrogen Storage Tank Capacity (38800kWh) Based on Diesel Locomotive Tank Capacity of 4,000L</t>
  </si>
  <si>
    <t>Location 1</t>
  </si>
  <si>
    <t>Biogenic CO2 cost 30 USD/tonne
DAC CO2 cost of 600-1000 USD/tonne
https://www.iea.org/reports/global-hydrogen-review-2024#downloads</t>
  </si>
  <si>
    <t>USD/kWhCH4</t>
  </si>
  <si>
    <t>Total Levelised Cost of Hydrogen</t>
  </si>
  <si>
    <t>AUD/kgH2</t>
  </si>
  <si>
    <t>Energy content of Ammonia (18.8 MJ/kg) = 18.8GJ/tonne</t>
  </si>
  <si>
    <t>Total Levelised Cost of Energy</t>
  </si>
  <si>
    <t>Energy content of hydrogen 120MJ/kg = 120GJ/tonne</t>
  </si>
  <si>
    <t>AUD/tonneMeOH</t>
  </si>
  <si>
    <t>Methanol enerngy contentn 19.9 MJ/kg = 19.9GJ/tonne</t>
  </si>
  <si>
    <t>Enenrgy content of methane: 50GJ/tonne: https://www.engineeringtoolbox.com/fuels-higher-calorific-values-d_169.html</t>
  </si>
  <si>
    <t>AUD/tonneCH4</t>
  </si>
  <si>
    <t>AUD/kWhCH4</t>
  </si>
  <si>
    <t>Total Levelised Cost of LOHC Conversion per GJ of H2</t>
  </si>
  <si>
    <t>Based on the energy contnet of Hydrogen (120GJ/tonne)</t>
  </si>
  <si>
    <t>LOHC Reconversion</t>
  </si>
  <si>
    <t>Based on the energy contet of Hydrogen (120GJ/tonne)</t>
  </si>
  <si>
    <t>Based on a fuel consumption of 13.6 kWh/kgH2
https://www.iea.org/reports/global-hydrogen-review-2024#downloads</t>
  </si>
  <si>
    <t>Assuming this heating energy is provided by hydrogen</t>
  </si>
  <si>
    <t>Assuming the LHV of hydrogen is 33.3 kWh/kgH2</t>
  </si>
  <si>
    <t>Accounts for losses due to reconversion and hydrogen needed for heating</t>
  </si>
  <si>
    <t>Natural Gas for heating</t>
  </si>
  <si>
    <t>Energy needed to regassify LNG, assumign this is provided by natural gas</t>
  </si>
  <si>
    <t>Stoichiometric Hydrogen per tonne hydrogen</t>
  </si>
  <si>
    <t>Accounts for the Plant Availability of the processing plant and hydrogen losses</t>
  </si>
  <si>
    <t>This is equivalent to the theoretical amount of hydrogen needed to produce 1 tonne of hydrogen (before losses are accounted for)</t>
  </si>
  <si>
    <t>tonneH2/tonneNH3</t>
  </si>
  <si>
    <t>This is equivalent to the theoretical amount of ammonia needed to produce 1 tonne of hydrogen (before losses are accounted for)</t>
  </si>
  <si>
    <t>Stoichiometric Ammonia per tonne Hydrogen</t>
  </si>
  <si>
    <t>Accounts for the Plant Availability of the processing plant an dehydrogenation and PSA recovery losses</t>
  </si>
  <si>
    <t>Casting Capital Costs</t>
  </si>
  <si>
    <t>Casting Sizing</t>
  </si>
  <si>
    <t>Continuous slab caster: https://doi.org/10.1016/j.ijggc.2023.103958</t>
  </si>
  <si>
    <t>Assumed similar to an EAF: https://doi.org/10.1016/j.ijggc.2023.103958</t>
  </si>
  <si>
    <t>Continuous Slab Casting</t>
  </si>
  <si>
    <t>Electric Arc Furnace</t>
  </si>
  <si>
    <t>Electricity for Casting Operation</t>
  </si>
  <si>
    <t>Electricity for continuos casting operation</t>
  </si>
  <si>
    <t>Casting electricity requiremetns:10 kWh/t
"Start with Steel. A practival plan to support carbon workers and cut emissions. Grattan Institute 2020"</t>
  </si>
  <si>
    <t>Casting CAPEX</t>
  </si>
  <si>
    <t>Casting Maintenance Costs</t>
  </si>
  <si>
    <t>Casting Electricity</t>
  </si>
  <si>
    <t>Casting Energy Requirements</t>
  </si>
  <si>
    <t>Levelised Cost Attributed to Casting CAPEX</t>
  </si>
  <si>
    <t>Levelised Cost Attributed to Casting  Electricity</t>
  </si>
  <si>
    <t>Electricity (Casting)</t>
  </si>
  <si>
    <t>Electricity for BOF Operation</t>
  </si>
  <si>
    <t>Levelised Cost Attributed to  Casting Electricity</t>
  </si>
  <si>
    <t>https://doi.org/10.1016/j.ijggc.2023.103958</t>
  </si>
  <si>
    <t>Continuous Casting</t>
  </si>
  <si>
    <t>Electric Locomotive Cost + Battery Cost
Battery Cost (247 USD/kWh) CSIRO. GenCost 2023-24 Final Report. 2024.
Battery Capacity 14500kWh. Based on battery wagon capacity https://www.bhp.com/news/media-centre/releases/2022/01/bhp-orders-four-battery-electric-locomotives-for-waio-rail-network</t>
  </si>
  <si>
    <t>Applied to all capital costs</t>
  </si>
  <si>
    <t>Includes capital cost loading (if applied)</t>
  </si>
  <si>
    <t>100%</t>
  </si>
  <si>
    <t>Caternary lines for for electic powered locomotives
Includes capital cost loading (if applied)</t>
  </si>
  <si>
    <r>
      <t>Modified vessel capital costs included any modification costs associated with running on ammonia or methanol fuels, such as engine covnersion costs and tank and scrubber costs.</t>
    </r>
    <r>
      <rPr>
        <sz val="12"/>
        <color rgb="FFFF0000"/>
        <rFont val="Calibri"/>
        <family val="2"/>
        <scheme val="minor"/>
      </rPr>
      <t xml:space="preserve"> Includes captial cost loading (if applied)</t>
    </r>
  </si>
  <si>
    <t>Price of electricity in Europe (0.30 Euro/kWh). https://ec.europa.eu/eurostat/statistics-explained/index.php?title=Electricity_price_statistics</t>
  </si>
  <si>
    <t>Copyright 2025 University of New South Wales (UNSW)</t>
  </si>
  <si>
    <t>P. Ellersdorfer, T.C. Leung, M.H.A. Khan, C. Wang, I. Canbulat, S. Saydam, I. MacGill, R. Daiyan (2025). “Cost Estimates for an Australian Germany Green Iron and Steel Value Chain”. UNSW Sydney, Australia.</t>
  </si>
  <si>
    <r>
      <t xml:space="preserve">The tool is a living tool with additional features being and expected to be added after consultation with various stakeholders. We also encourage feedback from the user to help us improve the tool. Feedback can be provided to  </t>
    </r>
    <r>
      <rPr>
        <sz val="11"/>
        <color theme="9" tint="-0.499984740745262"/>
        <rFont val="Arial"/>
        <family val="2"/>
      </rPr>
      <t>Dr. Rahman Daiyan (r.daiyan@unsw.edu.au)</t>
    </r>
  </si>
  <si>
    <t>Port of Hamburg (Germany)</t>
  </si>
  <si>
    <t>0.9-1.3 tonneH2O/tonneIron
10.1039/d3ee01077e</t>
  </si>
  <si>
    <t>0.71 MWh/tonneIron
10.1039/d3ee01077e</t>
  </si>
  <si>
    <t>0.17-0.23 tonneNG/tonneIron</t>
  </si>
  <si>
    <t>0.062 tonneH2/tonneIron</t>
  </si>
  <si>
    <t>0.055 tonneO2/tonneIron
DOI: 10.1039/d3ee01077e</t>
  </si>
  <si>
    <t>0.023 MWh/tonneIron
10.1039/d3ee01077e</t>
  </si>
  <si>
    <t xml:space="preserve">0.17-0.23 tonneNG/tonneIron
</t>
  </si>
  <si>
    <t xml:space="preserve">0.062 tonneH2/tonneIron
</t>
  </si>
  <si>
    <t>0.71 MWh/tonneIron
DOI: 10.1039/d3ee01077e</t>
  </si>
  <si>
    <t>0.023 MWh/tonneIron
DOI: 10.1039/d3ee01077e</t>
  </si>
  <si>
    <t>0.9-1.3 tonneH2O/tonneIron
DOI: 10.1039/d3ee01077e</t>
  </si>
  <si>
    <t xml:space="preserve">0.055 tonneO2/tonneIron
DOI: 10.1039/d3ee01077e
</t>
  </si>
  <si>
    <t>Methanation Process</t>
  </si>
  <si>
    <t>Assumed similar to the Fischer Tropsch process
CAPEX  2160 USD/kWProductFuel 
https://www.iea.org/reports/global-hydrogen-review-2024#downloads</t>
  </si>
  <si>
    <t>Methanation (assumed similar to Fischer Tropsch)</t>
  </si>
  <si>
    <t>Methanol Synthesis</t>
  </si>
  <si>
    <t>Methanol Synthesis (Assumed similar to Fischer Tropsch)</t>
  </si>
  <si>
    <t>Assumed similar to Fischer Tropsch
CAPEX  2160 USD/kWProductFuel 
https://www.iea.org/reports/global-hydrogen-review-2024#downloads</t>
  </si>
  <si>
    <t>Tank to wheel Efficiency of BEV in Mine Hauling truck (80%, with a range spanning 64.4% to 86%)
https://doi.org/10.3390/en17061494</t>
  </si>
  <si>
    <t>Green Iron and Steel Value Chain Analysis Tool</t>
  </si>
  <si>
    <t>Dr. Peter Ellersdorfer</t>
  </si>
  <si>
    <t>Dr. Muhammad Haider Ali Khan</t>
  </si>
  <si>
    <t>Dr. Muhammad Haider Ali Khan/Dr. Rahman Daiyan</t>
  </si>
  <si>
    <t>muhammadhaiderali.khan@unsw.edu.au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</si>
</sst>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quot;$&quot;* #,##0.00_);_(&quot;$&quot;* \(#,##0.00\);_(&quot;$&quot;* &quot;-&quot;??_);_(@_)"/>
    <numFmt numFmtId="165" formatCode="_(* #,##0.00_);_(* \(#,##0.00\);_(* &quot;-&quot;??_);_(@_)"/>
    <numFmt numFmtId="166" formatCode="_(* #,##0_);_(* \(#,##0\);_(* &quot;-&quot;??_);_(@_)"/>
    <numFmt numFmtId="167" formatCode="_(* #,##0.000_);_(* \(#,##0.000\);_(* &quot;-&quot;??_);_(@_)"/>
    <numFmt numFmtId="168" formatCode="0.000"/>
    <numFmt numFmtId="169" formatCode="_(* #,##0.0_);_(* \(#,##0.0\);_(* &quot;-&quot;??_);_(@_)"/>
    <numFmt numFmtId="170" formatCode="0.0"/>
    <numFmt numFmtId="171" formatCode="_-* #,##0.0_-;\-* #,##0.0_-;_-* &quot;-&quot;??_-;_-@_-"/>
    <numFmt numFmtId="172" formatCode="_-* #,##0_-;\-* #,##0_-;_-* &quot;-&quot;??_-;_-@_-"/>
    <numFmt numFmtId="173" formatCode="0.0000"/>
    <numFmt numFmtId="174" formatCode="_(* #,##0.0000_);_(* \(#,##0.0000\);_(* &quot;-&quot;??_);_(@_)"/>
    <numFmt numFmtId="175" formatCode="_-* #,##0.000_-;\-* #,##0.000_-;_-* &quot;-&quot;??_-;_-@_-"/>
    <numFmt numFmtId="176" formatCode="0.000000000000000"/>
  </numFmts>
  <fonts count="4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2"/>
      <color theme="0"/>
      <name val="Arial"/>
      <family val="2"/>
    </font>
    <font>
      <b/>
      <sz val="12"/>
      <color rgb="FFFFFFFF"/>
      <name val="Arial"/>
      <family val="2"/>
    </font>
    <font>
      <sz val="12"/>
      <color theme="1"/>
      <name val="Arial"/>
      <family val="2"/>
    </font>
    <font>
      <b/>
      <sz val="12"/>
      <color theme="1"/>
      <name val="Arial"/>
      <family val="2"/>
    </font>
    <font>
      <u/>
      <sz val="12"/>
      <color theme="10"/>
      <name val="Calibri"/>
      <family val="2"/>
      <scheme val="minor"/>
    </font>
    <font>
      <u/>
      <sz val="12"/>
      <color theme="10"/>
      <name val="Arial"/>
      <family val="2"/>
    </font>
    <font>
      <sz val="12"/>
      <name val="Arial"/>
      <family val="2"/>
    </font>
    <font>
      <u/>
      <sz val="11"/>
      <color theme="10"/>
      <name val="Calibri"/>
      <family val="2"/>
      <scheme val="minor"/>
    </font>
    <font>
      <b/>
      <sz val="14"/>
      <color rgb="FFFFFFFF"/>
      <name val="Arial"/>
      <family val="2"/>
    </font>
    <font>
      <b/>
      <sz val="16"/>
      <color theme="0"/>
      <name val="Arial"/>
      <family val="2"/>
    </font>
    <font>
      <b/>
      <sz val="12"/>
      <name val="Arial"/>
      <family val="2"/>
    </font>
    <font>
      <b/>
      <sz val="16"/>
      <color theme="8" tint="-0.749992370372631"/>
      <name val="Arial"/>
      <family val="2"/>
    </font>
    <font>
      <sz val="12"/>
      <color rgb="FFFF0000"/>
      <name val="Arial"/>
      <family val="2"/>
    </font>
    <font>
      <b/>
      <sz val="12"/>
      <color rgb="FFFF0000"/>
      <name val="Arial"/>
      <family val="2"/>
    </font>
    <font>
      <b/>
      <sz val="12"/>
      <color rgb="FFFA7D00"/>
      <name val="Arial"/>
      <family val="2"/>
    </font>
    <font>
      <b/>
      <sz val="12"/>
      <color theme="9" tint="-0.499984740745262"/>
      <name val="Arial"/>
      <family val="2"/>
    </font>
    <font>
      <b/>
      <sz val="20"/>
      <color theme="0"/>
      <name val="Arial"/>
      <family val="2"/>
    </font>
    <font>
      <b/>
      <sz val="11"/>
      <color rgb="FFFA7D00"/>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sz val="12"/>
      <color rgb="FF000000"/>
      <name val="Calibri"/>
      <family val="2"/>
      <scheme val="minor"/>
    </font>
    <font>
      <b/>
      <sz val="12"/>
      <color theme="0"/>
      <name val="Calibri"/>
      <family val="2"/>
      <scheme val="minor"/>
    </font>
    <font>
      <sz val="12"/>
      <color theme="0"/>
      <name val="Calibri"/>
      <family val="2"/>
      <scheme val="minor"/>
    </font>
    <font>
      <b/>
      <sz val="12"/>
      <color rgb="FFFA7D00"/>
      <name val="Calibri"/>
      <family val="2"/>
      <scheme val="minor"/>
    </font>
    <font>
      <b/>
      <sz val="12"/>
      <name val="Calibri"/>
      <family val="2"/>
      <scheme val="minor"/>
    </font>
    <font>
      <vertAlign val="subscript"/>
      <sz val="12"/>
      <color theme="1"/>
      <name val="Calibri"/>
      <family val="2"/>
      <scheme val="minor"/>
    </font>
    <font>
      <sz val="12"/>
      <name val="Calibri"/>
      <family val="2"/>
      <scheme val="minor"/>
    </font>
    <font>
      <b/>
      <sz val="11"/>
      <name val="Calibri"/>
      <family val="2"/>
      <scheme val="minor"/>
    </font>
    <font>
      <b/>
      <sz val="12"/>
      <color rgb="FF000000"/>
      <name val="Calibri"/>
      <family val="2"/>
      <scheme val="minor"/>
    </font>
    <font>
      <sz val="12"/>
      <color theme="0"/>
      <name val="Arial"/>
      <family val="2"/>
    </font>
    <font>
      <i/>
      <sz val="12"/>
      <color theme="1"/>
      <name val="Calibri"/>
      <family val="2"/>
      <scheme val="minor"/>
    </font>
    <font>
      <b/>
      <sz val="14"/>
      <color theme="1"/>
      <name val="Calibri"/>
      <family val="2"/>
      <scheme val="minor"/>
    </font>
    <font>
      <sz val="8"/>
      <name val="Calibri"/>
      <family val="2"/>
      <scheme val="minor"/>
    </font>
    <font>
      <sz val="11"/>
      <color theme="1"/>
      <name val="Arial"/>
      <family val="2"/>
    </font>
    <font>
      <sz val="11"/>
      <color theme="9" tint="-0.499984740745262"/>
      <name val="Arial"/>
      <family val="2"/>
    </font>
    <font>
      <b/>
      <sz val="14"/>
      <color rgb="FFFA7D00"/>
      <name val="Calibri"/>
      <family val="2"/>
      <scheme val="minor"/>
    </font>
    <font>
      <sz val="12"/>
      <color rgb="FFFF0000"/>
      <name val="Calibri"/>
      <family val="2"/>
      <scheme val="minor"/>
    </font>
    <font>
      <vertAlign val="subscript"/>
      <sz val="12"/>
      <color theme="1"/>
      <name val="Arial"/>
      <family val="2"/>
    </font>
    <font>
      <vertAlign val="superscript"/>
      <sz val="12"/>
      <color theme="1"/>
      <name val="Arial"/>
      <family val="2"/>
    </font>
  </fonts>
  <fills count="26">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theme="5"/>
        <bgColor indexed="64"/>
      </patternFill>
    </fill>
    <fill>
      <patternFill patternType="solid">
        <fgColor theme="0"/>
        <bgColor indexed="64"/>
      </patternFill>
    </fill>
    <fill>
      <patternFill patternType="solid">
        <fgColor rgb="FFFFCC99"/>
      </patternFill>
    </fill>
    <fill>
      <patternFill patternType="solid">
        <fgColor rgb="FFF2F2F2"/>
      </patternFill>
    </fill>
    <fill>
      <patternFill patternType="solid">
        <fgColor theme="5"/>
      </patternFill>
    </fill>
    <fill>
      <patternFill patternType="solid">
        <fgColor rgb="FF4472C4"/>
        <bgColor indexed="64"/>
      </patternFill>
    </fill>
    <fill>
      <patternFill patternType="solid">
        <fgColor theme="7"/>
        <bgColor indexed="64"/>
      </patternFill>
    </fill>
    <fill>
      <patternFill patternType="solid">
        <fgColor rgb="FFF69174"/>
        <bgColor indexed="64"/>
      </patternFill>
    </fill>
    <fill>
      <patternFill patternType="solid">
        <fgColor theme="2"/>
        <bgColor indexed="64"/>
      </patternFill>
    </fill>
    <fill>
      <patternFill patternType="solid">
        <fgColor rgb="FF002060"/>
        <bgColor indexed="64"/>
      </patternFill>
    </fill>
    <fill>
      <patternFill patternType="solid">
        <fgColor theme="9"/>
        <bgColor indexed="64"/>
      </patternFill>
    </fill>
    <fill>
      <patternFill patternType="solid">
        <fgColor rgb="FF000000"/>
        <bgColor indexed="64"/>
      </patternFill>
    </fill>
    <fill>
      <patternFill patternType="solid">
        <fgColor rgb="FFD5EAFF"/>
        <bgColor indexed="64"/>
      </patternFill>
    </fill>
    <fill>
      <patternFill patternType="solid">
        <fgColor theme="0" tint="-0.24994659260841701"/>
        <bgColor indexed="64"/>
      </patternFill>
    </fill>
    <fill>
      <patternFill patternType="solid">
        <fgColor rgb="FFF8B643"/>
        <bgColor indexed="64"/>
      </patternFill>
    </fill>
    <fill>
      <patternFill patternType="solid">
        <fgColor rgb="FF284E6A"/>
        <bgColor indexed="64"/>
      </patternFill>
    </fill>
    <fill>
      <patternFill patternType="solid">
        <fgColor rgb="FFFFCC99"/>
        <bgColor indexed="64"/>
      </patternFill>
    </fill>
    <fill>
      <patternFill patternType="solid">
        <fgColor rgb="FF5BB05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3"/>
        <bgColor indexed="64"/>
      </patternFill>
    </fill>
    <fill>
      <patternFill patternType="solid">
        <fgColor theme="0" tint="-0.249977111117893"/>
        <bgColor indexed="64"/>
      </patternFill>
    </fill>
  </fills>
  <borders count="117">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ck">
        <color indexed="64"/>
      </top>
      <bottom/>
      <diagonal/>
    </border>
    <border>
      <left style="thin">
        <color indexed="64"/>
      </left>
      <right/>
      <top style="thin">
        <color indexed="64"/>
      </top>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thin">
        <color indexed="64"/>
      </left>
      <right/>
      <top/>
      <bottom/>
      <diagonal/>
    </border>
    <border>
      <left style="thin">
        <color indexed="64"/>
      </left>
      <right/>
      <top style="thick">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medium">
        <color indexed="64"/>
      </right>
      <top style="thick">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rgb="FF7F7F7F"/>
      </top>
      <bottom style="thin">
        <color rgb="FF7F7F7F"/>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rgb="FF7F7F7F"/>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thin">
        <color rgb="FF7F7F7F"/>
      </left>
      <right style="thin">
        <color rgb="FF7F7F7F"/>
      </right>
      <top style="thin">
        <color rgb="FF7F7F7F"/>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theme="1"/>
      </left>
      <right style="thin">
        <color theme="1"/>
      </right>
      <top/>
      <bottom style="thin">
        <color theme="1"/>
      </bottom>
      <diagonal/>
    </border>
    <border>
      <left style="thin">
        <color indexed="64"/>
      </left>
      <right style="medium">
        <color indexed="64"/>
      </right>
      <top style="thin">
        <color indexed="64"/>
      </top>
      <bottom/>
      <diagonal/>
    </border>
    <border>
      <left style="thin">
        <color theme="1"/>
      </left>
      <right style="thin">
        <color theme="1"/>
      </right>
      <top style="medium">
        <color indexed="64"/>
      </top>
      <bottom style="thin">
        <color theme="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rgb="FF7F7F7F"/>
      </left>
      <right style="thin">
        <color rgb="FF7F7F7F"/>
      </right>
      <top style="thin">
        <color rgb="FF7F7F7F"/>
      </top>
      <bottom style="medium">
        <color indexed="64"/>
      </bottom>
      <diagonal/>
    </border>
    <border>
      <left style="thin">
        <color indexed="64"/>
      </left>
      <right style="thin">
        <color theme="1"/>
      </right>
      <top style="thin">
        <color indexed="64"/>
      </top>
      <bottom/>
      <diagonal/>
    </border>
    <border>
      <left/>
      <right style="thin">
        <color indexed="64"/>
      </right>
      <top/>
      <bottom style="thin">
        <color indexed="64"/>
      </bottom>
      <diagonal/>
    </border>
    <border>
      <left style="thin">
        <color rgb="FF7F7F7F"/>
      </left>
      <right style="thin">
        <color rgb="FF7F7F7F"/>
      </right>
      <top/>
      <bottom/>
      <diagonal/>
    </border>
    <border>
      <left style="thin">
        <color indexed="64"/>
      </left>
      <right style="thin">
        <color theme="1"/>
      </right>
      <top/>
      <bottom/>
      <diagonal/>
    </border>
    <border>
      <left style="thin">
        <color indexed="64"/>
      </left>
      <right style="thin">
        <color theme="1"/>
      </right>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right style="thin">
        <color indexed="64"/>
      </right>
      <top style="thin">
        <color indexed="64"/>
      </top>
      <bottom/>
      <diagonal/>
    </border>
    <border>
      <left/>
      <right style="thin">
        <color indexed="64"/>
      </right>
      <top/>
      <bottom/>
      <diagonal/>
    </border>
    <border>
      <left style="thin">
        <color rgb="FF7F7F7F"/>
      </left>
      <right style="thin">
        <color rgb="FF7F7F7F"/>
      </right>
      <top/>
      <bottom style="thin">
        <color rgb="FF7F7F7F"/>
      </bottom>
      <diagonal/>
    </border>
    <border>
      <left style="medium">
        <color indexed="64"/>
      </left>
      <right style="thin">
        <color indexed="64"/>
      </right>
      <top/>
      <bottom/>
      <diagonal/>
    </border>
    <border>
      <left style="thin">
        <color indexed="64"/>
      </left>
      <right style="medium">
        <color indexed="64"/>
      </right>
      <top/>
      <bottom/>
      <diagonal/>
    </border>
    <border>
      <left style="thin">
        <color theme="1"/>
      </left>
      <right/>
      <top style="thin">
        <color theme="1"/>
      </top>
      <bottom/>
      <diagonal/>
    </border>
    <border>
      <left/>
      <right style="thin">
        <color rgb="FF7F7F7F"/>
      </right>
      <top style="thin">
        <color rgb="FF7F7F7F"/>
      </top>
      <bottom style="thin">
        <color rgb="FF7F7F7F"/>
      </bottom>
      <diagonal/>
    </border>
    <border>
      <left/>
      <right style="thin">
        <color theme="1"/>
      </right>
      <top style="thin">
        <color theme="1"/>
      </top>
      <bottom/>
      <diagonal/>
    </border>
    <border>
      <left style="thin">
        <color rgb="FF7F7F7F"/>
      </left>
      <right/>
      <top style="thin">
        <color rgb="FF7F7F7F"/>
      </top>
      <bottom style="thin">
        <color rgb="FF7F7F7F"/>
      </bottom>
      <diagonal/>
    </border>
    <border>
      <left style="medium">
        <color indexed="64"/>
      </left>
      <right/>
      <top style="thin">
        <color indexed="64"/>
      </top>
      <bottom/>
      <diagonal/>
    </border>
    <border>
      <left style="thin">
        <color indexed="64"/>
      </left>
      <right style="thin">
        <color rgb="FF7F7F7F"/>
      </right>
      <top style="thin">
        <color indexed="64"/>
      </top>
      <bottom/>
      <diagonal/>
    </border>
    <border>
      <left style="thin">
        <color indexed="64"/>
      </left>
      <right style="thin">
        <color rgb="FF7F7F7F"/>
      </right>
      <top/>
      <bottom style="thin">
        <color indexed="64"/>
      </bottom>
      <diagonal/>
    </border>
    <border>
      <left/>
      <right style="thin">
        <color theme="1"/>
      </right>
      <top style="thin">
        <color indexed="64"/>
      </top>
      <bottom/>
      <diagonal/>
    </border>
    <border>
      <left/>
      <right style="thin">
        <color theme="1"/>
      </right>
      <top/>
      <bottom style="thin">
        <color indexed="64"/>
      </bottom>
      <diagonal/>
    </border>
    <border>
      <left style="thin">
        <color indexed="64"/>
      </left>
      <right style="thick">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theme="1"/>
      </left>
      <right style="thin">
        <color theme="1"/>
      </right>
      <top style="thin">
        <color theme="1"/>
      </top>
      <bottom style="medium">
        <color indexed="64"/>
      </bottom>
      <diagonal/>
    </border>
    <border>
      <left style="thin">
        <color theme="1"/>
      </left>
      <right/>
      <top style="medium">
        <color indexed="64"/>
      </top>
      <bottom style="thin">
        <color theme="1"/>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s>
  <cellStyleXfs count="16">
    <xf numFmtId="0" fontId="0" fillId="0" borderId="0"/>
    <xf numFmtId="165"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0" fontId="3" fillId="0" borderId="0"/>
    <xf numFmtId="0" fontId="9" fillId="0" borderId="0" applyNumberFormat="0" applyFill="0" applyBorder="0" applyAlignment="0" applyProtection="0"/>
    <xf numFmtId="0" fontId="12" fillId="0" borderId="0" applyNumberFormat="0" applyFill="0" applyBorder="0" applyAlignment="0" applyProtection="0"/>
    <xf numFmtId="0" fontId="2" fillId="0" borderId="0"/>
    <xf numFmtId="0" fontId="30" fillId="6" borderId="33" applyNumberFormat="0" applyAlignment="0">
      <protection locked="0"/>
    </xf>
    <xf numFmtId="0" fontId="15" fillId="8" borderId="0" applyNumberFormat="0" applyBorder="0" applyAlignment="0" applyProtection="0"/>
    <xf numFmtId="0" fontId="19" fillId="7" borderId="0" applyNumberFormat="0" applyFill="0" applyBorder="0" applyAlignment="0" applyProtection="0"/>
    <xf numFmtId="0" fontId="20" fillId="16" borderId="0" applyNumberFormat="0" applyBorder="0" applyAlignment="0" applyProtection="0"/>
    <xf numFmtId="0" fontId="17" fillId="0" borderId="0" applyNumberFormat="0" applyFill="0" applyBorder="0" applyAlignment="0"/>
    <xf numFmtId="0" fontId="8" fillId="17" borderId="0" applyNumberFormat="0" applyFont="0" applyBorder="0" applyAlignment="0" applyProtection="0"/>
    <xf numFmtId="0" fontId="29" fillId="7" borderId="56" applyNumberFormat="0" applyAlignment="0" applyProtection="0"/>
    <xf numFmtId="0" fontId="23" fillId="0" borderId="0" applyNumberFormat="0" applyFill="0" applyBorder="0" applyAlignment="0" applyProtection="0"/>
  </cellStyleXfs>
  <cellXfs count="783">
    <xf numFmtId="0" fontId="0" fillId="0" borderId="0" xfId="0"/>
    <xf numFmtId="0" fontId="6" fillId="0" borderId="0" xfId="4" applyFont="1" applyAlignment="1">
      <alignment vertical="center"/>
    </xf>
    <xf numFmtId="0" fontId="7" fillId="0" borderId="0" xfId="4" applyFont="1" applyAlignment="1">
      <alignment vertical="center"/>
    </xf>
    <xf numFmtId="0" fontId="7" fillId="0" borderId="5" xfId="4" applyFont="1" applyBorder="1" applyAlignment="1">
      <alignment vertical="center"/>
    </xf>
    <xf numFmtId="0" fontId="8" fillId="0" borderId="6" xfId="4" applyFont="1" applyBorder="1" applyAlignment="1">
      <alignment vertical="center"/>
    </xf>
    <xf numFmtId="0" fontId="10" fillId="0" borderId="7" xfId="5" applyFont="1" applyFill="1" applyBorder="1" applyAlignment="1">
      <alignment vertical="center"/>
    </xf>
    <xf numFmtId="0" fontId="7" fillId="0" borderId="0" xfId="4" applyFont="1" applyAlignment="1">
      <alignment vertical="center" wrapText="1"/>
    </xf>
    <xf numFmtId="0" fontId="7" fillId="0" borderId="0" xfId="4" applyFont="1" applyAlignment="1">
      <alignment horizontal="left" vertical="center"/>
    </xf>
    <xf numFmtId="0" fontId="13" fillId="9" borderId="18" xfId="7" applyFont="1" applyFill="1" applyBorder="1" applyAlignment="1">
      <alignment horizontal="left" vertical="center"/>
    </xf>
    <xf numFmtId="0" fontId="7" fillId="0" borderId="0" xfId="7" applyFont="1"/>
    <xf numFmtId="0" fontId="7" fillId="0" borderId="19" xfId="7" applyFont="1" applyBorder="1"/>
    <xf numFmtId="0" fontId="5" fillId="3" borderId="18" xfId="7" applyFont="1" applyFill="1" applyBorder="1" applyAlignment="1">
      <alignment horizontal="left" vertical="center"/>
    </xf>
    <xf numFmtId="0" fontId="5" fillId="10" borderId="18" xfId="7" applyFont="1" applyFill="1" applyBorder="1" applyAlignment="1">
      <alignment horizontal="left" vertical="center"/>
    </xf>
    <xf numFmtId="0" fontId="5" fillId="11" borderId="18" xfId="0" applyFont="1" applyFill="1" applyBorder="1" applyAlignment="1">
      <alignment horizontal="left" vertical="center"/>
    </xf>
    <xf numFmtId="0" fontId="7" fillId="0" borderId="0" xfId="7" applyFont="1" applyAlignment="1">
      <alignment horizontal="left"/>
    </xf>
    <xf numFmtId="0" fontId="14" fillId="5" borderId="14" xfId="7" applyFont="1" applyFill="1" applyBorder="1" applyAlignment="1">
      <alignment vertical="center"/>
    </xf>
    <xf numFmtId="0" fontId="14" fillId="5" borderId="22" xfId="7" applyFont="1" applyFill="1" applyBorder="1" applyAlignment="1">
      <alignment vertical="center"/>
    </xf>
    <xf numFmtId="0" fontId="14" fillId="5" borderId="15" xfId="7" applyFont="1" applyFill="1" applyBorder="1" applyAlignment="1">
      <alignment vertical="center"/>
    </xf>
    <xf numFmtId="0" fontId="5" fillId="2" borderId="22" xfId="7" applyFont="1" applyFill="1" applyBorder="1" applyAlignment="1">
      <alignment vertical="center"/>
    </xf>
    <xf numFmtId="0" fontId="8" fillId="0" borderId="26" xfId="7" applyFont="1" applyBorder="1" applyAlignment="1">
      <alignment vertical="center"/>
    </xf>
    <xf numFmtId="0" fontId="7" fillId="0" borderId="28" xfId="7" applyFont="1" applyBorder="1" applyAlignment="1">
      <alignment vertical="center"/>
    </xf>
    <xf numFmtId="0" fontId="17" fillId="12" borderId="16" xfId="7" applyFont="1" applyFill="1" applyBorder="1" applyAlignment="1">
      <alignment vertical="center"/>
    </xf>
    <xf numFmtId="0" fontId="17" fillId="12" borderId="0" xfId="7" applyFont="1" applyFill="1" applyAlignment="1">
      <alignment vertical="center"/>
    </xf>
    <xf numFmtId="0" fontId="17" fillId="12" borderId="17" xfId="7" applyFont="1" applyFill="1" applyBorder="1" applyAlignment="1">
      <alignment vertical="center"/>
    </xf>
    <xf numFmtId="0" fontId="6" fillId="15" borderId="14" xfId="7" applyFont="1" applyFill="1" applyBorder="1" applyAlignment="1">
      <alignment vertical="center"/>
    </xf>
    <xf numFmtId="0" fontId="6" fillId="15" borderId="15" xfId="7" applyFont="1" applyFill="1" applyBorder="1" applyAlignment="1">
      <alignment vertical="center"/>
    </xf>
    <xf numFmtId="0" fontId="8" fillId="0" borderId="32" xfId="7" applyFont="1" applyBorder="1" applyAlignment="1">
      <alignment vertical="center"/>
    </xf>
    <xf numFmtId="0" fontId="30" fillId="6" borderId="33" xfId="8" applyAlignment="1">
      <alignment vertical="center"/>
      <protection locked="0"/>
    </xf>
    <xf numFmtId="0" fontId="7" fillId="0" borderId="34" xfId="7" applyFont="1" applyBorder="1" applyAlignment="1">
      <alignment vertical="center"/>
    </xf>
    <xf numFmtId="0" fontId="19" fillId="7" borderId="27" xfId="10" applyBorder="1" applyAlignment="1">
      <alignment vertical="center"/>
    </xf>
    <xf numFmtId="0" fontId="7" fillId="5" borderId="0" xfId="0" applyFont="1" applyFill="1"/>
    <xf numFmtId="0" fontId="7" fillId="0" borderId="0" xfId="0" applyFont="1"/>
    <xf numFmtId="0" fontId="15" fillId="21" borderId="27" xfId="9" applyFill="1" applyBorder="1" applyAlignment="1">
      <alignment vertical="center"/>
    </xf>
    <xf numFmtId="0" fontId="0" fillId="5" borderId="0" xfId="0" applyFill="1"/>
    <xf numFmtId="0" fontId="21" fillId="0" borderId="0" xfId="0" applyFont="1" applyAlignment="1">
      <alignment vertical="center"/>
    </xf>
    <xf numFmtId="0" fontId="21" fillId="5" borderId="0" xfId="0" applyFont="1" applyFill="1" applyAlignment="1">
      <alignment vertical="center"/>
    </xf>
    <xf numFmtId="0" fontId="2" fillId="0" borderId="0" xfId="0" applyFont="1"/>
    <xf numFmtId="49" fontId="0" fillId="0" borderId="0" xfId="0" applyNumberFormat="1"/>
    <xf numFmtId="0" fontId="7" fillId="0" borderId="0" xfId="7" applyFont="1" applyAlignment="1">
      <alignment vertical="center"/>
    </xf>
    <xf numFmtId="0" fontId="8" fillId="0" borderId="52" xfId="7" applyFont="1" applyBorder="1" applyAlignment="1">
      <alignment vertical="center"/>
    </xf>
    <xf numFmtId="0" fontId="8" fillId="0" borderId="29" xfId="0" applyFont="1" applyBorder="1" applyAlignment="1">
      <alignment vertical="center"/>
    </xf>
    <xf numFmtId="0" fontId="8" fillId="17" borderId="30" xfId="13" applyFont="1" applyBorder="1" applyAlignment="1">
      <alignment vertical="center"/>
    </xf>
    <xf numFmtId="0" fontId="17" fillId="0" borderId="40" xfId="12" applyBorder="1" applyAlignment="1">
      <alignment vertical="center"/>
    </xf>
    <xf numFmtId="0" fontId="7" fillId="0" borderId="53" xfId="0" applyFont="1" applyBorder="1" applyAlignment="1">
      <alignment vertical="center"/>
    </xf>
    <xf numFmtId="0" fontId="7" fillId="5" borderId="0" xfId="7" applyFont="1" applyFill="1"/>
    <xf numFmtId="0" fontId="1" fillId="0" borderId="0" xfId="0" applyFont="1"/>
    <xf numFmtId="0" fontId="1" fillId="5" borderId="0" xfId="0" applyFont="1" applyFill="1"/>
    <xf numFmtId="166" fontId="1" fillId="0" borderId="0" xfId="0" applyNumberFormat="1" applyFont="1"/>
    <xf numFmtId="166" fontId="7" fillId="0" borderId="27" xfId="1" applyNumberFormat="1" applyFont="1" applyBorder="1" applyAlignment="1">
      <alignment horizontal="center" vertical="center"/>
    </xf>
    <xf numFmtId="166" fontId="7" fillId="0" borderId="40" xfId="1" applyNumberFormat="1" applyFont="1" applyBorder="1" applyAlignment="1">
      <alignment horizontal="center" vertical="center"/>
    </xf>
    <xf numFmtId="0" fontId="7" fillId="0" borderId="27" xfId="0" applyFont="1" applyBorder="1" applyAlignment="1">
      <alignment horizontal="center" vertical="center"/>
    </xf>
    <xf numFmtId="0" fontId="25" fillId="0" borderId="0" xfId="0" applyFont="1"/>
    <xf numFmtId="0" fontId="1" fillId="0" borderId="27" xfId="0" applyFont="1" applyBorder="1"/>
    <xf numFmtId="0" fontId="27" fillId="2" borderId="14" xfId="0" applyFont="1" applyFill="1" applyBorder="1"/>
    <xf numFmtId="0" fontId="27" fillId="2" borderId="22" xfId="0" applyFont="1" applyFill="1" applyBorder="1"/>
    <xf numFmtId="0" fontId="27" fillId="2" borderId="22" xfId="0" applyFont="1" applyFill="1" applyBorder="1" applyAlignment="1">
      <alignment horizontal="center"/>
    </xf>
    <xf numFmtId="0" fontId="27" fillId="2" borderId="15" xfId="0" applyFont="1" applyFill="1" applyBorder="1"/>
    <xf numFmtId="0" fontId="27" fillId="19" borderId="57" xfId="0" applyFont="1" applyFill="1" applyBorder="1"/>
    <xf numFmtId="0" fontId="25" fillId="19" borderId="45" xfId="0" applyFont="1" applyFill="1" applyBorder="1"/>
    <xf numFmtId="0" fontId="25" fillId="19" borderId="58" xfId="0" applyFont="1" applyFill="1" applyBorder="1"/>
    <xf numFmtId="2" fontId="29" fillId="7" borderId="27" xfId="10" applyNumberFormat="1" applyFont="1" applyBorder="1" applyAlignment="1">
      <alignment horizontal="right" vertical="center"/>
    </xf>
    <xf numFmtId="0" fontId="1" fillId="5" borderId="36" xfId="0" applyFont="1" applyFill="1" applyBorder="1" applyAlignment="1">
      <alignment vertical="center" wrapText="1"/>
    </xf>
    <xf numFmtId="0" fontId="1" fillId="5" borderId="27" xfId="0" applyFont="1" applyFill="1" applyBorder="1" applyAlignment="1">
      <alignment vertical="center"/>
    </xf>
    <xf numFmtId="0" fontId="1" fillId="5" borderId="0" xfId="0" applyFont="1" applyFill="1" applyAlignment="1">
      <alignment horizontal="left" vertical="center"/>
    </xf>
    <xf numFmtId="0" fontId="30" fillId="6" borderId="33" xfId="8" applyAlignment="1">
      <alignment horizontal="right" vertical="center"/>
      <protection locked="0"/>
    </xf>
    <xf numFmtId="165" fontId="1" fillId="0" borderId="27" xfId="1" applyFont="1" applyFill="1" applyBorder="1" applyAlignment="1">
      <alignment vertical="center"/>
    </xf>
    <xf numFmtId="165" fontId="1" fillId="0" borderId="39" xfId="1" applyFont="1" applyFill="1" applyBorder="1" applyAlignment="1">
      <alignment vertical="center"/>
    </xf>
    <xf numFmtId="165" fontId="1" fillId="0" borderId="36" xfId="1" applyFont="1" applyFill="1" applyBorder="1" applyAlignment="1">
      <alignment vertical="center"/>
    </xf>
    <xf numFmtId="166" fontId="29" fillId="7" borderId="62" xfId="14" applyNumberFormat="1" applyBorder="1" applyAlignment="1">
      <alignment horizontal="right" vertical="center"/>
    </xf>
    <xf numFmtId="0" fontId="29" fillId="7" borderId="62" xfId="14" applyBorder="1" applyAlignment="1">
      <alignment horizontal="right" vertical="center"/>
    </xf>
    <xf numFmtId="0" fontId="29" fillId="7" borderId="66" xfId="14" applyBorder="1" applyAlignment="1">
      <alignment horizontal="right" vertical="center"/>
    </xf>
    <xf numFmtId="165" fontId="1" fillId="0" borderId="42" xfId="1" applyFont="1" applyFill="1" applyBorder="1" applyAlignment="1">
      <alignment vertical="center"/>
    </xf>
    <xf numFmtId="2" fontId="29" fillId="7" borderId="56" xfId="14" applyNumberFormat="1" applyAlignment="1">
      <alignment vertical="center"/>
    </xf>
    <xf numFmtId="0" fontId="29" fillId="7" borderId="56" xfId="14" applyNumberFormat="1" applyAlignment="1">
      <alignment vertical="center"/>
    </xf>
    <xf numFmtId="0" fontId="25" fillId="18" borderId="44" xfId="0" applyFont="1" applyFill="1" applyBorder="1"/>
    <xf numFmtId="0" fontId="25" fillId="18" borderId="43" xfId="0" applyFont="1" applyFill="1" applyBorder="1"/>
    <xf numFmtId="0" fontId="12" fillId="0" borderId="0" xfId="6"/>
    <xf numFmtId="0" fontId="0" fillId="0" borderId="27" xfId="0" applyBorder="1" applyAlignment="1">
      <alignment horizontal="center" vertical="center"/>
    </xf>
    <xf numFmtId="0" fontId="0" fillId="0" borderId="27" xfId="0" applyBorder="1" applyAlignment="1">
      <alignment horizontal="center" vertical="center" wrapText="1"/>
    </xf>
    <xf numFmtId="0" fontId="0" fillId="0" borderId="27" xfId="0" applyBorder="1"/>
    <xf numFmtId="0" fontId="24" fillId="0" borderId="27" xfId="0" applyFont="1" applyBorder="1" applyAlignment="1">
      <alignment horizontal="center" vertical="center"/>
    </xf>
    <xf numFmtId="172" fontId="0" fillId="0" borderId="27" xfId="1" applyNumberFormat="1" applyFont="1" applyFill="1" applyBorder="1" applyAlignment="1">
      <alignment horizontal="center" vertical="center"/>
    </xf>
    <xf numFmtId="170" fontId="0" fillId="0" borderId="27" xfId="0" applyNumberFormat="1" applyBorder="1" applyAlignment="1">
      <alignment horizontal="center" vertical="center"/>
    </xf>
    <xf numFmtId="0" fontId="0" fillId="0" borderId="0" xfId="0" applyAlignment="1">
      <alignment horizontal="center" vertical="center"/>
    </xf>
    <xf numFmtId="166" fontId="0" fillId="0" borderId="27" xfId="1" applyNumberFormat="1" applyFont="1" applyFill="1" applyBorder="1" applyAlignment="1">
      <alignment horizontal="center" vertical="center"/>
    </xf>
    <xf numFmtId="166" fontId="0" fillId="0" borderId="27" xfId="1" applyNumberFormat="1" applyFont="1" applyBorder="1" applyAlignment="1">
      <alignment horizontal="center" vertical="center"/>
    </xf>
    <xf numFmtId="165" fontId="0" fillId="0" borderId="27" xfId="1" applyFont="1" applyFill="1" applyBorder="1" applyAlignment="1">
      <alignment horizontal="center" vertical="center"/>
    </xf>
    <xf numFmtId="0" fontId="30" fillId="6" borderId="27" xfId="8" applyBorder="1" applyAlignment="1">
      <alignment vertical="center"/>
      <protection locked="0"/>
    </xf>
    <xf numFmtId="0" fontId="27" fillId="19" borderId="8" xfId="0" applyFont="1" applyFill="1" applyBorder="1" applyAlignment="1">
      <alignment vertical="center"/>
    </xf>
    <xf numFmtId="0" fontId="27" fillId="19" borderId="21" xfId="0" applyFont="1" applyFill="1" applyBorder="1" applyAlignment="1">
      <alignment vertical="center"/>
    </xf>
    <xf numFmtId="0" fontId="27" fillId="19" borderId="9" xfId="0" applyFont="1" applyFill="1" applyBorder="1" applyAlignment="1">
      <alignment vertical="center"/>
    </xf>
    <xf numFmtId="166" fontId="30" fillId="6" borderId="27" xfId="1" applyNumberFormat="1" applyFont="1" applyFill="1" applyBorder="1" applyAlignment="1" applyProtection="1">
      <alignment vertical="center"/>
      <protection locked="0"/>
    </xf>
    <xf numFmtId="0" fontId="1" fillId="0" borderId="27" xfId="0" applyFont="1" applyBorder="1" applyAlignment="1">
      <alignment vertical="center"/>
    </xf>
    <xf numFmtId="0" fontId="1" fillId="0" borderId="27" xfId="0" applyFont="1" applyBorder="1" applyAlignment="1">
      <alignment horizontal="center" vertical="top" wrapText="1"/>
    </xf>
    <xf numFmtId="172" fontId="29" fillId="7" borderId="27" xfId="14" applyNumberFormat="1" applyBorder="1" applyAlignment="1">
      <alignment vertical="center"/>
    </xf>
    <xf numFmtId="171" fontId="30" fillId="6" borderId="33" xfId="8" applyNumberFormat="1" applyAlignment="1">
      <alignment vertical="center"/>
      <protection locked="0"/>
    </xf>
    <xf numFmtId="172" fontId="30" fillId="6" borderId="33" xfId="8" applyNumberFormat="1" applyAlignment="1">
      <alignment vertical="center"/>
      <protection locked="0"/>
    </xf>
    <xf numFmtId="0" fontId="1" fillId="0" borderId="0" xfId="0" applyFont="1" applyAlignment="1">
      <alignment vertical="center"/>
    </xf>
    <xf numFmtId="43" fontId="29" fillId="7" borderId="27" xfId="14" applyNumberFormat="1" applyBorder="1" applyAlignment="1" applyProtection="1">
      <alignment vertical="center"/>
      <protection locked="0"/>
    </xf>
    <xf numFmtId="0" fontId="1" fillId="0" borderId="40" xfId="0" applyFont="1" applyBorder="1" applyAlignment="1">
      <alignment horizontal="center" vertical="center" wrapText="1"/>
    </xf>
    <xf numFmtId="43" fontId="30" fillId="6" borderId="33" xfId="8" applyNumberFormat="1" applyAlignment="1">
      <alignment vertical="center"/>
      <protection locked="0"/>
    </xf>
    <xf numFmtId="0" fontId="1" fillId="0" borderId="40" xfId="0" applyFont="1" applyBorder="1" applyAlignment="1">
      <alignment vertical="center"/>
    </xf>
    <xf numFmtId="172" fontId="29" fillId="7" borderId="70" xfId="14" applyNumberFormat="1" applyBorder="1" applyAlignment="1">
      <alignment vertical="center"/>
    </xf>
    <xf numFmtId="0" fontId="25" fillId="12" borderId="27" xfId="0" applyFont="1" applyFill="1" applyBorder="1" applyAlignment="1">
      <alignment horizontal="left" vertical="center"/>
    </xf>
    <xf numFmtId="0" fontId="1" fillId="0" borderId="54" xfId="0" applyFont="1" applyBorder="1" applyAlignment="1">
      <alignment vertical="center"/>
    </xf>
    <xf numFmtId="172" fontId="30" fillId="6" borderId="73" xfId="8" applyNumberFormat="1" applyBorder="1" applyAlignment="1">
      <alignment vertical="center"/>
      <protection locked="0"/>
    </xf>
    <xf numFmtId="0" fontId="1" fillId="0" borderId="54" xfId="0" applyFont="1" applyBorder="1" applyAlignment="1">
      <alignment horizontal="center" vertical="top" wrapText="1"/>
    </xf>
    <xf numFmtId="43" fontId="29" fillId="7" borderId="56" xfId="14" applyNumberFormat="1" applyAlignment="1">
      <alignment vertical="center"/>
    </xf>
    <xf numFmtId="0" fontId="1" fillId="0" borderId="40" xfId="0" applyFont="1" applyBorder="1" applyAlignment="1">
      <alignment horizontal="center" vertical="top" wrapText="1"/>
    </xf>
    <xf numFmtId="172" fontId="29" fillId="7" borderId="56" xfId="14" applyNumberFormat="1" applyAlignment="1">
      <alignment vertical="center"/>
    </xf>
    <xf numFmtId="2" fontId="30" fillId="6" borderId="72" xfId="8" applyNumberFormat="1" applyBorder="1" applyAlignment="1">
      <alignment vertical="center"/>
      <protection locked="0"/>
    </xf>
    <xf numFmtId="0" fontId="30" fillId="6" borderId="72" xfId="8" applyBorder="1" applyAlignment="1">
      <alignment vertical="center"/>
      <protection locked="0"/>
    </xf>
    <xf numFmtId="0" fontId="1" fillId="0" borderId="27" xfId="0" applyFont="1" applyBorder="1" applyAlignment="1">
      <alignment horizontal="left" vertical="center"/>
    </xf>
    <xf numFmtId="0" fontId="25" fillId="0" borderId="27" xfId="0" applyFont="1" applyBorder="1" applyAlignment="1">
      <alignment horizontal="left" vertical="center"/>
    </xf>
    <xf numFmtId="1" fontId="30" fillId="6" borderId="33" xfId="8" applyNumberFormat="1" applyAlignment="1">
      <alignment horizontal="right" vertical="center"/>
      <protection locked="0"/>
    </xf>
    <xf numFmtId="172" fontId="29" fillId="7" borderId="56" xfId="14" applyNumberFormat="1" applyAlignment="1">
      <alignment horizontal="left" vertical="center"/>
    </xf>
    <xf numFmtId="43" fontId="25" fillId="0" borderId="27" xfId="0" applyNumberFormat="1" applyFont="1" applyBorder="1" applyAlignment="1">
      <alignment horizontal="left" vertical="center"/>
    </xf>
    <xf numFmtId="0" fontId="25" fillId="12" borderId="27" xfId="0" applyFont="1" applyFill="1" applyBorder="1" applyAlignment="1">
      <alignment horizontal="center" vertical="center"/>
    </xf>
    <xf numFmtId="0" fontId="27" fillId="19" borderId="16" xfId="0" applyFont="1" applyFill="1" applyBorder="1" applyAlignment="1">
      <alignment vertical="center"/>
    </xf>
    <xf numFmtId="0" fontId="27" fillId="19" borderId="0" xfId="0" applyFont="1" applyFill="1" applyAlignment="1">
      <alignment vertical="center"/>
    </xf>
    <xf numFmtId="0" fontId="27" fillId="19" borderId="17" xfId="0" applyFont="1" applyFill="1" applyBorder="1" applyAlignment="1">
      <alignment vertical="center"/>
    </xf>
    <xf numFmtId="0" fontId="32" fillId="0" borderId="27" xfId="0" applyFont="1" applyBorder="1" applyAlignment="1">
      <alignment vertical="center"/>
    </xf>
    <xf numFmtId="0" fontId="32" fillId="0" borderId="27" xfId="0" applyFont="1" applyBorder="1" applyAlignment="1">
      <alignment horizontal="center" vertical="top" wrapText="1"/>
    </xf>
    <xf numFmtId="0" fontId="1" fillId="0" borderId="27" xfId="0" applyFont="1" applyBorder="1" applyAlignment="1">
      <alignment vertical="center" wrapText="1"/>
    </xf>
    <xf numFmtId="0" fontId="1" fillId="0" borderId="27" xfId="0" applyFont="1" applyBorder="1" applyAlignment="1">
      <alignment horizontal="center" vertical="center" wrapText="1"/>
    </xf>
    <xf numFmtId="172" fontId="29" fillId="7" borderId="56" xfId="14" applyNumberFormat="1" applyAlignment="1" applyProtection="1">
      <alignment vertical="center"/>
      <protection locked="0"/>
    </xf>
    <xf numFmtId="0" fontId="32" fillId="0" borderId="27" xfId="0" applyFont="1" applyBorder="1" applyAlignment="1">
      <alignment horizontal="center" vertical="center" wrapText="1"/>
    </xf>
    <xf numFmtId="166" fontId="29" fillId="7" borderId="56" xfId="1" applyNumberFormat="1" applyFont="1" applyFill="1" applyBorder="1" applyAlignment="1" applyProtection="1">
      <alignment vertical="center"/>
      <protection locked="0"/>
    </xf>
    <xf numFmtId="166" fontId="29" fillId="7" borderId="27" xfId="14" applyNumberFormat="1" applyBorder="1" applyAlignment="1">
      <alignment vertical="center"/>
    </xf>
    <xf numFmtId="0" fontId="1" fillId="0" borderId="39" xfId="0" applyFont="1" applyBorder="1" applyAlignment="1">
      <alignment vertical="center"/>
    </xf>
    <xf numFmtId="2" fontId="29" fillId="7" borderId="27" xfId="14" applyNumberFormat="1" applyBorder="1" applyAlignment="1">
      <alignment vertical="center"/>
    </xf>
    <xf numFmtId="0" fontId="1" fillId="5" borderId="0" xfId="0" applyFont="1" applyFill="1" applyAlignment="1">
      <alignment vertical="center"/>
    </xf>
    <xf numFmtId="0" fontId="27" fillId="2" borderId="14" xfId="0" applyFont="1" applyFill="1" applyBorder="1" applyAlignment="1">
      <alignment vertical="center"/>
    </xf>
    <xf numFmtId="0" fontId="27" fillId="2" borderId="22" xfId="0" applyFont="1" applyFill="1" applyBorder="1" applyAlignment="1">
      <alignment vertical="center"/>
    </xf>
    <xf numFmtId="0" fontId="27" fillId="2" borderId="22" xfId="0" applyFont="1" applyFill="1" applyBorder="1" applyAlignment="1">
      <alignment horizontal="center" vertical="center"/>
    </xf>
    <xf numFmtId="0" fontId="27" fillId="2" borderId="15" xfId="0" applyFont="1" applyFill="1" applyBorder="1" applyAlignment="1">
      <alignment vertical="center"/>
    </xf>
    <xf numFmtId="0" fontId="28" fillId="0" borderId="0" xfId="0" applyFont="1" applyAlignment="1">
      <alignment vertical="center"/>
    </xf>
    <xf numFmtId="0" fontId="27" fillId="19" borderId="57" xfId="0" applyFont="1" applyFill="1" applyBorder="1" applyAlignment="1">
      <alignment vertical="center"/>
    </xf>
    <xf numFmtId="0" fontId="25" fillId="19" borderId="45" xfId="0" applyFont="1" applyFill="1" applyBorder="1" applyAlignment="1">
      <alignment vertical="center"/>
    </xf>
    <xf numFmtId="0" fontId="25" fillId="19" borderId="58" xfId="0" applyFont="1" applyFill="1" applyBorder="1" applyAlignment="1">
      <alignment vertical="center"/>
    </xf>
    <xf numFmtId="0" fontId="1" fillId="5" borderId="23" xfId="0" applyFont="1" applyFill="1" applyBorder="1" applyAlignment="1">
      <alignment vertical="center"/>
    </xf>
    <xf numFmtId="0" fontId="1" fillId="20" borderId="39" xfId="0" applyFont="1" applyFill="1" applyBorder="1" applyAlignment="1">
      <alignment vertical="center"/>
    </xf>
    <xf numFmtId="0" fontId="25" fillId="5" borderId="24" xfId="0" applyFont="1" applyFill="1" applyBorder="1" applyAlignment="1">
      <alignment vertical="center"/>
    </xf>
    <xf numFmtId="0" fontId="25" fillId="5" borderId="51" xfId="0" applyFont="1" applyFill="1" applyBorder="1" applyAlignment="1">
      <alignment vertical="center"/>
    </xf>
    <xf numFmtId="0" fontId="1" fillId="5" borderId="26" xfId="0" applyFont="1" applyFill="1" applyBorder="1" applyAlignment="1">
      <alignment vertical="center"/>
    </xf>
    <xf numFmtId="166" fontId="26" fillId="20" borderId="36" xfId="0" applyNumberFormat="1" applyFont="1" applyFill="1" applyBorder="1" applyAlignment="1">
      <alignment vertical="center"/>
    </xf>
    <xf numFmtId="9" fontId="1" fillId="5" borderId="27" xfId="3" applyFont="1" applyFill="1" applyBorder="1" applyAlignment="1">
      <alignment vertical="center"/>
    </xf>
    <xf numFmtId="0" fontId="1" fillId="5" borderId="36" xfId="0" applyFont="1" applyFill="1" applyBorder="1" applyAlignment="1">
      <alignment vertical="center"/>
    </xf>
    <xf numFmtId="0" fontId="1" fillId="20" borderId="36" xfId="0" applyFont="1" applyFill="1" applyBorder="1" applyAlignment="1">
      <alignment vertical="center"/>
    </xf>
    <xf numFmtId="0" fontId="1" fillId="5" borderId="28" xfId="0" applyFont="1" applyFill="1" applyBorder="1" applyAlignment="1">
      <alignment vertical="center"/>
    </xf>
    <xf numFmtId="0" fontId="1" fillId="5" borderId="29" xfId="0" applyFont="1" applyFill="1" applyBorder="1" applyAlignment="1">
      <alignment vertical="center"/>
    </xf>
    <xf numFmtId="0" fontId="1" fillId="5" borderId="30" xfId="0" applyFont="1" applyFill="1" applyBorder="1" applyAlignment="1">
      <alignment vertical="center"/>
    </xf>
    <xf numFmtId="0" fontId="1" fillId="5" borderId="60" xfId="0" applyFont="1" applyFill="1" applyBorder="1" applyAlignment="1">
      <alignment vertical="center"/>
    </xf>
    <xf numFmtId="165" fontId="1" fillId="0" borderId="0" xfId="1" applyFont="1" applyFill="1" applyAlignment="1">
      <alignment vertical="center"/>
    </xf>
    <xf numFmtId="0" fontId="27" fillId="19" borderId="47" xfId="0" applyFont="1" applyFill="1" applyBorder="1" applyAlignment="1">
      <alignment vertical="center"/>
    </xf>
    <xf numFmtId="0" fontId="25" fillId="19" borderId="41" xfId="0" applyFont="1" applyFill="1" applyBorder="1" applyAlignment="1">
      <alignment vertical="center"/>
    </xf>
    <xf numFmtId="0" fontId="25" fillId="19" borderId="48" xfId="0" applyFont="1" applyFill="1" applyBorder="1" applyAlignment="1">
      <alignment vertical="center"/>
    </xf>
    <xf numFmtId="0" fontId="30" fillId="22" borderId="61" xfId="0" applyFont="1" applyFill="1" applyBorder="1" applyAlignment="1">
      <alignment vertical="center"/>
    </xf>
    <xf numFmtId="0" fontId="1" fillId="20" borderId="36" xfId="0" applyFont="1" applyFill="1" applyBorder="1" applyAlignment="1">
      <alignment horizontal="right" vertical="center"/>
    </xf>
    <xf numFmtId="0" fontId="30" fillId="22" borderId="36" xfId="0" applyFont="1" applyFill="1" applyBorder="1" applyAlignment="1">
      <alignment vertical="center"/>
    </xf>
    <xf numFmtId="0" fontId="30" fillId="22" borderId="38" xfId="0" applyFont="1" applyFill="1" applyBorder="1" applyAlignment="1">
      <alignment vertical="center"/>
    </xf>
    <xf numFmtId="0" fontId="30" fillId="22" borderId="37" xfId="0" applyFont="1" applyFill="1" applyBorder="1" applyAlignment="1">
      <alignment vertical="center"/>
    </xf>
    <xf numFmtId="0" fontId="1" fillId="17" borderId="27" xfId="13" applyFont="1" applyBorder="1" applyAlignment="1">
      <alignment horizontal="right" vertical="center"/>
    </xf>
    <xf numFmtId="0" fontId="1" fillId="0" borderId="0" xfId="0" applyFont="1" applyAlignment="1">
      <alignment horizontal="right" vertical="center"/>
    </xf>
    <xf numFmtId="0" fontId="27" fillId="19" borderId="67" xfId="0" applyFont="1" applyFill="1" applyBorder="1" applyAlignment="1">
      <alignment vertical="center"/>
    </xf>
    <xf numFmtId="0" fontId="25" fillId="19" borderId="68" xfId="0" applyFont="1" applyFill="1" applyBorder="1" applyAlignment="1">
      <alignment vertical="center"/>
    </xf>
    <xf numFmtId="0" fontId="25" fillId="19" borderId="69" xfId="0" applyFont="1" applyFill="1" applyBorder="1" applyAlignment="1">
      <alignment vertical="center"/>
    </xf>
    <xf numFmtId="166" fontId="1" fillId="20" borderId="24" xfId="1" applyNumberFormat="1" applyFont="1" applyFill="1" applyBorder="1" applyAlignment="1">
      <alignment vertical="center"/>
    </xf>
    <xf numFmtId="0" fontId="1" fillId="5" borderId="24" xfId="0" applyFont="1" applyFill="1" applyBorder="1" applyAlignment="1">
      <alignment vertical="center"/>
    </xf>
    <xf numFmtId="0" fontId="1" fillId="5" borderId="51" xfId="0" applyFont="1" applyFill="1" applyBorder="1" applyAlignment="1">
      <alignment vertical="center"/>
    </xf>
    <xf numFmtId="166" fontId="1" fillId="20" borderId="27" xfId="1" applyNumberFormat="1" applyFont="1" applyFill="1" applyBorder="1" applyAlignment="1">
      <alignment vertical="center"/>
    </xf>
    <xf numFmtId="0" fontId="1" fillId="20" borderId="27" xfId="0" applyFont="1" applyFill="1" applyBorder="1" applyAlignment="1">
      <alignment vertical="center"/>
    </xf>
    <xf numFmtId="0" fontId="27" fillId="19" borderId="14" xfId="0" applyFont="1" applyFill="1" applyBorder="1" applyAlignment="1">
      <alignment vertical="center"/>
    </xf>
    <xf numFmtId="0" fontId="25" fillId="19" borderId="22" xfId="0" applyFont="1" applyFill="1" applyBorder="1" applyAlignment="1">
      <alignment vertical="center"/>
    </xf>
    <xf numFmtId="0" fontId="25" fillId="19" borderId="15" xfId="0" applyFont="1" applyFill="1" applyBorder="1" applyAlignment="1">
      <alignment vertical="center"/>
    </xf>
    <xf numFmtId="3" fontId="29" fillId="7" borderId="56" xfId="14" applyNumberFormat="1" applyAlignment="1">
      <alignment vertical="center"/>
    </xf>
    <xf numFmtId="0" fontId="1" fillId="0" borderId="24" xfId="0" applyFont="1" applyBorder="1" applyAlignment="1">
      <alignment vertical="center"/>
    </xf>
    <xf numFmtId="0" fontId="1" fillId="0" borderId="36" xfId="0" applyFont="1" applyBorder="1" applyAlignment="1">
      <alignment vertical="center"/>
    </xf>
    <xf numFmtId="169" fontId="29" fillId="7" borderId="56" xfId="14" applyNumberFormat="1" applyAlignment="1">
      <alignment vertical="center"/>
    </xf>
    <xf numFmtId="0" fontId="1" fillId="5" borderId="40" xfId="0" applyFont="1" applyFill="1" applyBorder="1" applyAlignment="1">
      <alignment vertical="center"/>
    </xf>
    <xf numFmtId="165" fontId="1" fillId="0" borderId="40" xfId="1" applyFont="1" applyFill="1" applyBorder="1" applyAlignment="1">
      <alignment vertical="center"/>
    </xf>
    <xf numFmtId="0" fontId="25" fillId="22" borderId="0" xfId="0" applyFont="1" applyFill="1" applyAlignment="1">
      <alignment vertical="center"/>
    </xf>
    <xf numFmtId="0" fontId="1" fillId="22" borderId="0" xfId="0" applyFont="1" applyFill="1" applyAlignment="1">
      <alignment vertical="center"/>
    </xf>
    <xf numFmtId="165" fontId="1" fillId="22" borderId="0" xfId="1" applyFont="1" applyFill="1" applyAlignment="1">
      <alignment vertical="center"/>
    </xf>
    <xf numFmtId="0" fontId="29" fillId="7" borderId="56" xfId="14" applyAlignment="1">
      <alignment vertical="center"/>
    </xf>
    <xf numFmtId="0" fontId="27" fillId="19" borderId="63" xfId="0" applyFont="1" applyFill="1" applyBorder="1" applyAlignment="1">
      <alignment vertical="center"/>
    </xf>
    <xf numFmtId="0" fontId="27" fillId="19" borderId="64" xfId="0" applyFont="1" applyFill="1" applyBorder="1" applyAlignment="1">
      <alignment vertical="center"/>
    </xf>
    <xf numFmtId="0" fontId="27" fillId="19" borderId="65" xfId="0" applyFont="1" applyFill="1" applyBorder="1" applyAlignment="1">
      <alignment vertical="center"/>
    </xf>
    <xf numFmtId="0" fontId="25" fillId="18" borderId="44" xfId="0" applyFont="1" applyFill="1" applyBorder="1" applyAlignment="1">
      <alignment vertical="center"/>
    </xf>
    <xf numFmtId="0" fontId="25" fillId="18" borderId="43" xfId="0" applyFont="1" applyFill="1" applyBorder="1" applyAlignment="1">
      <alignment vertical="center"/>
    </xf>
    <xf numFmtId="0" fontId="25" fillId="0" borderId="0" xfId="0" applyFont="1" applyAlignment="1">
      <alignment vertical="center"/>
    </xf>
    <xf numFmtId="166" fontId="29" fillId="7" borderId="56" xfId="1" applyNumberFormat="1" applyFont="1" applyFill="1" applyBorder="1" applyAlignment="1">
      <alignment vertical="center"/>
    </xf>
    <xf numFmtId="165" fontId="1" fillId="22" borderId="27" xfId="1" applyFont="1" applyFill="1" applyBorder="1" applyAlignment="1">
      <alignment vertical="center"/>
    </xf>
    <xf numFmtId="0" fontId="1" fillId="5" borderId="52" xfId="0" applyFont="1" applyFill="1" applyBorder="1" applyAlignment="1">
      <alignment vertical="center"/>
    </xf>
    <xf numFmtId="0" fontId="1" fillId="20" borderId="40" xfId="0" applyFont="1" applyFill="1" applyBorder="1" applyAlignment="1">
      <alignment vertical="center"/>
    </xf>
    <xf numFmtId="0" fontId="1" fillId="5" borderId="74" xfId="0" applyFont="1" applyFill="1" applyBorder="1" applyAlignment="1">
      <alignment vertical="center"/>
    </xf>
    <xf numFmtId="170" fontId="29" fillId="7" borderId="56" xfId="14" applyNumberFormat="1" applyAlignment="1">
      <alignment horizontal="right" vertical="center"/>
    </xf>
    <xf numFmtId="2" fontId="29" fillId="7" borderId="56" xfId="14" applyNumberFormat="1" applyAlignment="1">
      <alignment horizontal="right" vertical="center"/>
    </xf>
    <xf numFmtId="0" fontId="25" fillId="22" borderId="27" xfId="0" applyFont="1" applyFill="1" applyBorder="1" applyAlignment="1">
      <alignment vertical="center"/>
    </xf>
    <xf numFmtId="0" fontId="1" fillId="22" borderId="27" xfId="0" applyFont="1" applyFill="1" applyBorder="1" applyAlignment="1">
      <alignment vertical="center"/>
    </xf>
    <xf numFmtId="164" fontId="1" fillId="22" borderId="27" xfId="2" applyFont="1" applyFill="1" applyBorder="1" applyAlignment="1">
      <alignment vertical="center"/>
    </xf>
    <xf numFmtId="166" fontId="29" fillId="7" borderId="56" xfId="1" applyNumberFormat="1" applyFont="1" applyFill="1" applyBorder="1" applyAlignment="1">
      <alignment horizontal="right" vertical="center"/>
    </xf>
    <xf numFmtId="1" fontId="29" fillId="7" borderId="56" xfId="14" applyNumberFormat="1" applyAlignment="1">
      <alignment horizontal="right" vertical="center"/>
    </xf>
    <xf numFmtId="1" fontId="29" fillId="7" borderId="56" xfId="14" applyNumberFormat="1" applyAlignment="1">
      <alignment vertical="center"/>
    </xf>
    <xf numFmtId="1" fontId="29" fillId="7" borderId="27" xfId="14" applyNumberFormat="1" applyBorder="1" applyAlignment="1">
      <alignment horizontal="right" vertical="center"/>
    </xf>
    <xf numFmtId="166" fontId="29" fillId="7" borderId="70" xfId="1" applyNumberFormat="1" applyFont="1" applyFill="1" applyBorder="1" applyAlignment="1">
      <alignment horizontal="right" vertical="center"/>
    </xf>
    <xf numFmtId="0" fontId="27" fillId="19" borderId="27" xfId="0" applyFont="1" applyFill="1" applyBorder="1" applyAlignment="1">
      <alignment vertical="center"/>
    </xf>
    <xf numFmtId="166" fontId="29" fillId="7" borderId="56" xfId="14" applyNumberFormat="1" applyAlignment="1">
      <alignment vertical="center"/>
    </xf>
    <xf numFmtId="0" fontId="1" fillId="0" borderId="27" xfId="1" applyNumberFormat="1" applyFont="1" applyFill="1" applyBorder="1" applyAlignment="1">
      <alignment vertical="center"/>
    </xf>
    <xf numFmtId="0" fontId="27" fillId="19" borderId="16" xfId="0" applyFont="1" applyFill="1" applyBorder="1"/>
    <xf numFmtId="0" fontId="25" fillId="19" borderId="0" xfId="0" applyFont="1" applyFill="1"/>
    <xf numFmtId="0" fontId="25" fillId="19" borderId="17" xfId="0" applyFont="1" applyFill="1" applyBorder="1"/>
    <xf numFmtId="0" fontId="1" fillId="5" borderId="32" xfId="0" applyFont="1" applyFill="1" applyBorder="1" applyAlignment="1">
      <alignment vertical="center"/>
    </xf>
    <xf numFmtId="0" fontId="30" fillId="6" borderId="75" xfId="8" applyBorder="1" applyAlignment="1">
      <alignment vertical="center"/>
      <protection locked="0"/>
    </xf>
    <xf numFmtId="0" fontId="25" fillId="5" borderId="76" xfId="0" applyFont="1" applyFill="1" applyBorder="1" applyAlignment="1">
      <alignment vertical="center"/>
    </xf>
    <xf numFmtId="0" fontId="25" fillId="5" borderId="77" xfId="0" applyFont="1" applyFill="1" applyBorder="1" applyAlignment="1">
      <alignment vertical="center"/>
    </xf>
    <xf numFmtId="166" fontId="30" fillId="6" borderId="33" xfId="8" applyNumberFormat="1" applyAlignment="1">
      <alignment vertical="center"/>
      <protection locked="0"/>
    </xf>
    <xf numFmtId="168" fontId="29" fillId="7" borderId="78" xfId="14" applyNumberFormat="1" applyBorder="1" applyAlignment="1">
      <alignment vertical="center"/>
    </xf>
    <xf numFmtId="0" fontId="1" fillId="0" borderId="27" xfId="0" applyFont="1" applyBorder="1" applyAlignment="1">
      <alignment horizontal="center" vertical="center"/>
    </xf>
    <xf numFmtId="166" fontId="29" fillId="7" borderId="27" xfId="1" applyNumberFormat="1" applyFont="1" applyFill="1" applyBorder="1" applyAlignment="1">
      <alignment vertical="center"/>
    </xf>
    <xf numFmtId="166" fontId="29" fillId="7" borderId="70" xfId="14" applyNumberFormat="1" applyBorder="1" applyAlignment="1">
      <alignment vertical="center"/>
    </xf>
    <xf numFmtId="0" fontId="30" fillId="6" borderId="71" xfId="8" applyBorder="1" applyAlignment="1">
      <alignment vertical="center"/>
      <protection locked="0"/>
    </xf>
    <xf numFmtId="0" fontId="25" fillId="20" borderId="39" xfId="0" applyFont="1" applyFill="1" applyBorder="1" applyAlignment="1">
      <alignment vertical="center"/>
    </xf>
    <xf numFmtId="166" fontId="34" fillId="20" borderId="36" xfId="0" applyNumberFormat="1" applyFont="1" applyFill="1" applyBorder="1" applyAlignment="1">
      <alignment vertical="center"/>
    </xf>
    <xf numFmtId="0" fontId="25" fillId="20" borderId="36" xfId="0" applyFont="1" applyFill="1" applyBorder="1" applyAlignment="1">
      <alignment vertical="center"/>
    </xf>
    <xf numFmtId="165" fontId="1" fillId="0" borderId="27" xfId="1" applyFont="1" applyFill="1" applyBorder="1" applyAlignment="1">
      <alignment horizontal="center" vertical="center" wrapText="1"/>
    </xf>
    <xf numFmtId="0" fontId="25" fillId="20" borderId="27" xfId="0" applyFont="1" applyFill="1" applyBorder="1" applyAlignment="1">
      <alignment vertical="center"/>
    </xf>
    <xf numFmtId="166" fontId="29" fillId="7" borderId="56" xfId="14" applyNumberFormat="1" applyAlignment="1" applyProtection="1">
      <alignment vertical="center"/>
      <protection locked="0"/>
    </xf>
    <xf numFmtId="0" fontId="1" fillId="0" borderId="79" xfId="0" applyFont="1" applyBorder="1" applyAlignment="1">
      <alignment vertical="center"/>
    </xf>
    <xf numFmtId="166" fontId="29" fillId="7" borderId="27" xfId="1" applyNumberFormat="1" applyFont="1" applyFill="1" applyBorder="1" applyAlignment="1" applyProtection="1">
      <alignment vertical="center"/>
      <protection locked="0"/>
    </xf>
    <xf numFmtId="0" fontId="25" fillId="20" borderId="40" xfId="0" applyFont="1" applyFill="1" applyBorder="1" applyAlignment="1">
      <alignment vertical="center"/>
    </xf>
    <xf numFmtId="0" fontId="24" fillId="0" borderId="36" xfId="0" applyFont="1" applyBorder="1" applyAlignment="1">
      <alignment horizontal="center" vertical="center"/>
    </xf>
    <xf numFmtId="165" fontId="1" fillId="0" borderId="27" xfId="1" applyFont="1" applyFill="1" applyBorder="1" applyAlignment="1">
      <alignment horizontal="center" vertical="center"/>
    </xf>
    <xf numFmtId="165" fontId="0" fillId="22" borderId="27" xfId="1" applyFont="1" applyFill="1" applyBorder="1" applyAlignment="1">
      <alignment horizontal="center" vertical="center"/>
    </xf>
    <xf numFmtId="166" fontId="1" fillId="5" borderId="27" xfId="1" applyNumberFormat="1" applyFont="1" applyFill="1" applyBorder="1" applyAlignment="1">
      <alignment horizontal="center" vertical="center"/>
    </xf>
    <xf numFmtId="165" fontId="1" fillId="5" borderId="27" xfId="1" applyFont="1" applyFill="1" applyBorder="1" applyAlignment="1">
      <alignment horizontal="center" vertical="center"/>
    </xf>
    <xf numFmtId="0" fontId="27" fillId="19" borderId="65" xfId="0" applyFont="1" applyFill="1" applyBorder="1" applyAlignment="1">
      <alignment horizontal="center" vertical="center"/>
    </xf>
    <xf numFmtId="0" fontId="1" fillId="5" borderId="28" xfId="0" applyFont="1" applyFill="1" applyBorder="1" applyAlignment="1">
      <alignment horizontal="center" vertical="center"/>
    </xf>
    <xf numFmtId="0" fontId="1" fillId="5" borderId="74" xfId="0" applyFont="1" applyFill="1" applyBorder="1" applyAlignment="1">
      <alignment horizontal="center" vertical="center"/>
    </xf>
    <xf numFmtId="165" fontId="1" fillId="0" borderId="40" xfId="1" applyFont="1" applyFill="1" applyBorder="1" applyAlignment="1">
      <alignment horizontal="center" vertical="center"/>
    </xf>
    <xf numFmtId="0" fontId="27" fillId="19" borderId="27" xfId="0" applyFont="1" applyFill="1" applyBorder="1" applyAlignment="1">
      <alignment horizontal="center" vertical="center"/>
    </xf>
    <xf numFmtId="165" fontId="1" fillId="22" borderId="27" xfId="1" applyFont="1" applyFill="1" applyBorder="1" applyAlignment="1">
      <alignment horizontal="center" vertical="center"/>
    </xf>
    <xf numFmtId="166" fontId="1" fillId="0" borderId="27" xfId="1" applyNumberFormat="1" applyFont="1" applyFill="1" applyBorder="1" applyAlignment="1">
      <alignment horizontal="center" vertical="center" wrapText="1"/>
    </xf>
    <xf numFmtId="166" fontId="1" fillId="0" borderId="27" xfId="1" applyNumberFormat="1" applyFont="1" applyFill="1" applyBorder="1" applyAlignment="1">
      <alignment vertical="center"/>
    </xf>
    <xf numFmtId="166" fontId="1" fillId="0" borderId="0" xfId="1" applyNumberFormat="1" applyFont="1" applyFill="1" applyBorder="1" applyAlignment="1">
      <alignment vertical="center"/>
    </xf>
    <xf numFmtId="165" fontId="29" fillId="7" borderId="56" xfId="14" applyNumberFormat="1" applyAlignment="1">
      <alignment vertical="center"/>
    </xf>
    <xf numFmtId="0" fontId="1" fillId="0" borderId="29" xfId="0" applyFont="1" applyBorder="1" applyAlignment="1">
      <alignment vertical="center"/>
    </xf>
    <xf numFmtId="0" fontId="1" fillId="0" borderId="52" xfId="0" applyFont="1" applyBorder="1" applyAlignment="1">
      <alignment vertical="center"/>
    </xf>
    <xf numFmtId="0" fontId="1" fillId="5" borderId="42" xfId="0" applyFont="1" applyFill="1" applyBorder="1" applyAlignment="1">
      <alignment vertical="center"/>
    </xf>
    <xf numFmtId="0" fontId="1" fillId="5" borderId="74" xfId="0" applyFont="1" applyFill="1" applyBorder="1" applyAlignment="1">
      <alignment horizontal="center" vertical="top" wrapText="1"/>
    </xf>
    <xf numFmtId="0" fontId="1" fillId="0" borderId="0" xfId="0" applyFont="1" applyAlignment="1">
      <alignment horizontal="center" vertical="center" wrapText="1"/>
    </xf>
    <xf numFmtId="169" fontId="30" fillId="6" borderId="33" xfId="8" applyNumberFormat="1" applyAlignment="1">
      <alignment vertical="center"/>
      <protection locked="0"/>
    </xf>
    <xf numFmtId="0" fontId="1" fillId="5" borderId="28" xfId="0" applyFont="1" applyFill="1" applyBorder="1" applyAlignment="1">
      <alignment horizontal="center" vertical="top" wrapText="1"/>
    </xf>
    <xf numFmtId="173" fontId="1" fillId="0" borderId="0" xfId="0" applyNumberFormat="1" applyFont="1" applyAlignment="1">
      <alignment horizontal="center" vertical="center" wrapText="1"/>
    </xf>
    <xf numFmtId="0" fontId="1" fillId="0" borderId="0" xfId="0" applyFont="1" applyAlignment="1">
      <alignment vertical="center" wrapText="1"/>
    </xf>
    <xf numFmtId="166" fontId="32" fillId="6" borderId="33" xfId="8" applyNumberFormat="1" applyFont="1" applyAlignment="1">
      <alignment vertical="center"/>
      <protection locked="0"/>
    </xf>
    <xf numFmtId="165" fontId="1" fillId="0" borderId="0" xfId="1" applyFont="1" applyFill="1" applyBorder="1" applyAlignment="1">
      <alignment vertical="center"/>
    </xf>
    <xf numFmtId="0" fontId="1" fillId="0" borderId="26" xfId="0" applyFont="1" applyBorder="1" applyAlignment="1">
      <alignment vertical="center"/>
    </xf>
    <xf numFmtId="0" fontId="1" fillId="5" borderId="31" xfId="0" applyFont="1" applyFill="1" applyBorder="1" applyAlignment="1">
      <alignment horizontal="center" vertical="top" wrapText="1"/>
    </xf>
    <xf numFmtId="166" fontId="30" fillId="6" borderId="71" xfId="8" applyNumberFormat="1" applyBorder="1" applyAlignment="1">
      <alignment vertical="center"/>
      <protection locked="0"/>
    </xf>
    <xf numFmtId="165" fontId="30" fillId="6" borderId="27" xfId="8" applyNumberFormat="1" applyBorder="1" applyAlignment="1">
      <alignment vertical="center"/>
      <protection locked="0"/>
    </xf>
    <xf numFmtId="166" fontId="30" fillId="6" borderId="30" xfId="8" applyNumberFormat="1" applyBorder="1" applyAlignment="1">
      <alignment vertical="center"/>
      <protection locked="0"/>
    </xf>
    <xf numFmtId="0" fontId="1" fillId="5" borderId="25" xfId="0" applyFont="1" applyFill="1" applyBorder="1" applyAlignment="1">
      <alignment horizontal="center" vertical="top" wrapText="1"/>
    </xf>
    <xf numFmtId="0" fontId="1" fillId="0" borderId="0" xfId="0" applyFont="1" applyAlignment="1">
      <alignment horizontal="left" vertical="center"/>
    </xf>
    <xf numFmtId="0" fontId="1" fillId="0" borderId="40" xfId="0" applyFont="1" applyBorder="1" applyAlignment="1">
      <alignment horizontal="left" vertical="center"/>
    </xf>
    <xf numFmtId="0" fontId="32" fillId="0" borderId="0" xfId="1" applyNumberFormat="1" applyFont="1" applyFill="1" applyBorder="1" applyAlignment="1">
      <alignment horizontal="center" vertical="center"/>
    </xf>
    <xf numFmtId="0" fontId="1" fillId="0" borderId="0" xfId="0" applyFont="1" applyAlignment="1">
      <alignment horizontal="center" vertical="center"/>
    </xf>
    <xf numFmtId="0" fontId="7" fillId="23" borderId="27" xfId="0" applyFont="1" applyFill="1" applyBorder="1" applyAlignment="1">
      <alignment horizontal="left" vertical="center" wrapText="1"/>
    </xf>
    <xf numFmtId="0" fontId="1" fillId="0" borderId="40" xfId="0" applyFont="1" applyBorder="1" applyAlignment="1">
      <alignment vertical="center" wrapText="1"/>
    </xf>
    <xf numFmtId="0" fontId="25" fillId="5" borderId="51" xfId="0" applyFont="1" applyFill="1" applyBorder="1" applyAlignment="1">
      <alignment vertical="center" wrapText="1"/>
    </xf>
    <xf numFmtId="0" fontId="1" fillId="0" borderId="0" xfId="0" applyFont="1" applyAlignment="1">
      <alignment wrapText="1"/>
    </xf>
    <xf numFmtId="0" fontId="25" fillId="19" borderId="41" xfId="0" applyFont="1" applyFill="1" applyBorder="1" applyAlignment="1">
      <alignment vertical="center" wrapText="1"/>
    </xf>
    <xf numFmtId="165" fontId="1" fillId="22" borderId="27" xfId="1" applyFont="1" applyFill="1" applyBorder="1" applyAlignment="1">
      <alignment vertical="center" wrapText="1"/>
    </xf>
    <xf numFmtId="0" fontId="27" fillId="19" borderId="64" xfId="0" applyFont="1" applyFill="1" applyBorder="1" applyAlignment="1">
      <alignment vertical="center" wrapText="1"/>
    </xf>
    <xf numFmtId="0" fontId="1" fillId="5" borderId="27" xfId="0" applyFont="1" applyFill="1" applyBorder="1" applyAlignment="1">
      <alignment vertical="center" wrapText="1"/>
    </xf>
    <xf numFmtId="0" fontId="1" fillId="5" borderId="40" xfId="0" applyFont="1" applyFill="1" applyBorder="1" applyAlignment="1">
      <alignment vertical="center" wrapText="1"/>
    </xf>
    <xf numFmtId="0" fontId="27" fillId="19" borderId="0" xfId="0" applyFont="1" applyFill="1" applyAlignment="1">
      <alignment vertical="center" wrapText="1"/>
    </xf>
    <xf numFmtId="0" fontId="25" fillId="12" borderId="27" xfId="0" applyFont="1" applyFill="1" applyBorder="1" applyAlignment="1">
      <alignment horizontal="left" vertical="center" wrapText="1"/>
    </xf>
    <xf numFmtId="165" fontId="1" fillId="0" borderId="27" xfId="1" applyFont="1" applyFill="1" applyBorder="1" applyAlignment="1">
      <alignment vertical="center" wrapText="1"/>
    </xf>
    <xf numFmtId="0" fontId="1" fillId="0" borderId="27" xfId="0" applyFont="1" applyBorder="1" applyAlignment="1">
      <alignment vertical="top" wrapText="1"/>
    </xf>
    <xf numFmtId="169" fontId="29" fillId="7" borderId="56" xfId="14" applyNumberFormat="1" applyAlignment="1" applyProtection="1">
      <alignment vertical="center"/>
      <protection locked="0"/>
    </xf>
    <xf numFmtId="2" fontId="29" fillId="7" borderId="56" xfId="14" applyNumberFormat="1" applyAlignment="1" applyProtection="1">
      <alignment vertical="center"/>
      <protection locked="0"/>
    </xf>
    <xf numFmtId="0" fontId="29" fillId="7" borderId="56" xfId="14" applyAlignment="1" applyProtection="1">
      <alignment vertical="center"/>
      <protection locked="0"/>
    </xf>
    <xf numFmtId="0" fontId="0" fillId="0" borderId="0" xfId="0" applyAlignment="1">
      <alignment wrapText="1"/>
    </xf>
    <xf numFmtId="0" fontId="27" fillId="24" borderId="27" xfId="0" applyFont="1" applyFill="1" applyBorder="1"/>
    <xf numFmtId="0" fontId="11" fillId="0" borderId="27" xfId="0" applyFont="1" applyBorder="1" applyAlignment="1">
      <alignment horizontal="center" vertical="center"/>
    </xf>
    <xf numFmtId="0" fontId="11" fillId="0" borderId="27" xfId="0" applyFont="1" applyBorder="1" applyAlignment="1">
      <alignment horizontal="center" vertical="center" wrapText="1"/>
    </xf>
    <xf numFmtId="0" fontId="11" fillId="0" borderId="27" xfId="0" applyFont="1" applyBorder="1" applyAlignment="1">
      <alignment horizontal="center" vertical="top" wrapText="1"/>
    </xf>
    <xf numFmtId="165" fontId="1" fillId="0" borderId="24" xfId="1" applyFont="1" applyFill="1" applyBorder="1" applyAlignment="1">
      <alignment horizontal="center" vertical="center"/>
    </xf>
    <xf numFmtId="0" fontId="30" fillId="0" borderId="0" xfId="8" applyFill="1" applyBorder="1" applyAlignment="1">
      <alignment vertical="center"/>
      <protection locked="0"/>
    </xf>
    <xf numFmtId="43" fontId="29" fillId="0" borderId="0" xfId="14" applyNumberFormat="1" applyFill="1" applyBorder="1" applyAlignment="1" applyProtection="1">
      <alignment vertical="center"/>
      <protection locked="0"/>
    </xf>
    <xf numFmtId="172" fontId="29" fillId="0" borderId="0" xfId="14" applyNumberFormat="1" applyFill="1" applyBorder="1" applyAlignment="1" applyProtection="1">
      <alignment vertical="center"/>
      <protection locked="0"/>
    </xf>
    <xf numFmtId="0" fontId="1" fillId="0" borderId="0" xfId="0" applyFont="1" applyAlignment="1">
      <alignment horizontal="center" vertical="top" wrapText="1"/>
    </xf>
    <xf numFmtId="0" fontId="27" fillId="0" borderId="0" xfId="0" applyFont="1"/>
    <xf numFmtId="0" fontId="7" fillId="0" borderId="40" xfId="0" applyFont="1" applyBorder="1" applyAlignment="1">
      <alignment vertical="top" wrapText="1"/>
    </xf>
    <xf numFmtId="0" fontId="25" fillId="0" borderId="27" xfId="0" applyFont="1" applyBorder="1" applyAlignment="1">
      <alignment vertical="center"/>
    </xf>
    <xf numFmtId="0" fontId="1" fillId="0" borderId="24" xfId="0" applyFont="1" applyBorder="1" applyAlignment="1">
      <alignment horizontal="center" vertical="center" wrapText="1"/>
    </xf>
    <xf numFmtId="0" fontId="30" fillId="6" borderId="33" xfId="8" applyAlignment="1">
      <alignment horizontal="center" vertical="center"/>
      <protection locked="0"/>
    </xf>
    <xf numFmtId="2" fontId="30" fillId="6" borderId="33" xfId="8" applyNumberFormat="1" applyAlignment="1">
      <alignment horizontal="center" vertical="center"/>
      <protection locked="0"/>
    </xf>
    <xf numFmtId="166" fontId="30" fillId="6" borderId="33" xfId="8" applyNumberFormat="1" applyAlignment="1">
      <alignment horizontal="center" vertical="center" wrapText="1"/>
      <protection locked="0"/>
    </xf>
    <xf numFmtId="0" fontId="30" fillId="6" borderId="33" xfId="8" applyAlignment="1">
      <alignment horizontal="center" vertical="center" wrapText="1"/>
      <protection locked="0"/>
    </xf>
    <xf numFmtId="170" fontId="30" fillId="6" borderId="33" xfId="8" applyNumberFormat="1" applyAlignment="1">
      <alignment horizontal="center" vertical="center" wrapText="1"/>
      <protection locked="0"/>
    </xf>
    <xf numFmtId="166" fontId="30" fillId="6" borderId="33" xfId="8" applyNumberFormat="1" applyAlignment="1">
      <alignment horizontal="center" vertical="center"/>
      <protection locked="0"/>
    </xf>
    <xf numFmtId="169" fontId="30" fillId="6" borderId="33" xfId="8" applyNumberFormat="1" applyAlignment="1">
      <alignment horizontal="center" vertical="center"/>
      <protection locked="0"/>
    </xf>
    <xf numFmtId="1" fontId="30" fillId="6" borderId="33" xfId="8" applyNumberFormat="1" applyAlignment="1">
      <alignment horizontal="center" vertical="center"/>
      <protection locked="0"/>
    </xf>
    <xf numFmtId="0" fontId="30" fillId="6" borderId="27" xfId="8" applyBorder="1" applyAlignment="1">
      <alignment horizontal="right" vertical="center"/>
      <protection locked="0"/>
    </xf>
    <xf numFmtId="0" fontId="1" fillId="5" borderId="59" xfId="0" applyFont="1" applyFill="1" applyBorder="1" applyAlignment="1">
      <alignment horizontal="center" vertical="center"/>
    </xf>
    <xf numFmtId="0" fontId="1" fillId="5" borderId="28" xfId="0" applyFont="1" applyFill="1" applyBorder="1" applyAlignment="1">
      <alignment horizontal="center" vertical="center" wrapText="1"/>
    </xf>
    <xf numFmtId="167" fontId="1" fillId="5" borderId="31" xfId="1" applyNumberFormat="1" applyFont="1" applyFill="1" applyBorder="1" applyAlignment="1">
      <alignment horizontal="center" vertical="center"/>
    </xf>
    <xf numFmtId="0" fontId="26" fillId="5" borderId="28" xfId="0" applyFont="1" applyFill="1" applyBorder="1" applyAlignment="1">
      <alignment horizontal="center" vertical="center"/>
    </xf>
    <xf numFmtId="0" fontId="1" fillId="5" borderId="34" xfId="0" applyFont="1" applyFill="1" applyBorder="1" applyAlignment="1">
      <alignment horizontal="center" vertical="center"/>
    </xf>
    <xf numFmtId="0" fontId="27" fillId="19" borderId="35" xfId="0" applyFont="1" applyFill="1" applyBorder="1" applyAlignment="1">
      <alignment vertical="center"/>
    </xf>
    <xf numFmtId="0" fontId="27" fillId="19" borderId="11" xfId="0" applyFont="1" applyFill="1" applyBorder="1" applyAlignment="1">
      <alignment vertical="center"/>
    </xf>
    <xf numFmtId="0" fontId="1" fillId="0" borderId="27" xfId="4" applyFont="1" applyBorder="1" applyAlignment="1">
      <alignment horizontal="left" vertical="center"/>
    </xf>
    <xf numFmtId="0" fontId="1" fillId="0" borderId="27" xfId="4" applyFont="1" applyBorder="1" applyAlignment="1">
      <alignment horizontal="left" vertical="center" wrapText="1"/>
    </xf>
    <xf numFmtId="172" fontId="29" fillId="7" borderId="56" xfId="14" applyNumberFormat="1" applyAlignment="1">
      <alignment horizontal="right" vertical="center"/>
    </xf>
    <xf numFmtId="0" fontId="25" fillId="12" borderId="27" xfId="0" applyFont="1" applyFill="1" applyBorder="1" applyAlignment="1">
      <alignment vertical="center"/>
    </xf>
    <xf numFmtId="164" fontId="1" fillId="12" borderId="27" xfId="2" applyFont="1" applyFill="1" applyBorder="1" applyAlignment="1">
      <alignment vertical="center"/>
    </xf>
    <xf numFmtId="0" fontId="1" fillId="12" borderId="27" xfId="0" applyFont="1" applyFill="1" applyBorder="1" applyAlignment="1">
      <alignment vertical="center"/>
    </xf>
    <xf numFmtId="165" fontId="1" fillId="12" borderId="27" xfId="1" applyFont="1" applyFill="1" applyBorder="1" applyAlignment="1">
      <alignment vertical="center" wrapText="1"/>
    </xf>
    <xf numFmtId="165" fontId="1" fillId="12" borderId="27" xfId="1" applyFont="1" applyFill="1" applyBorder="1" applyAlignment="1">
      <alignment vertical="center"/>
    </xf>
    <xf numFmtId="166" fontId="29" fillId="7" borderId="56" xfId="14" applyNumberFormat="1" applyAlignment="1">
      <alignment horizontal="right" vertical="center"/>
    </xf>
    <xf numFmtId="0" fontId="7" fillId="0" borderId="40" xfId="0" applyFont="1" applyBorder="1" applyAlignment="1">
      <alignment horizontal="center" vertical="center"/>
    </xf>
    <xf numFmtId="0" fontId="1" fillId="0" borderId="0" xfId="0" applyFont="1" applyAlignment="1">
      <alignment vertical="top"/>
    </xf>
    <xf numFmtId="166" fontId="7" fillId="0" borderId="40" xfId="1" applyNumberFormat="1" applyFont="1" applyFill="1" applyBorder="1" applyAlignment="1">
      <alignment horizontal="center" vertical="center"/>
    </xf>
    <xf numFmtId="168" fontId="29" fillId="7" borderId="56" xfId="14" applyNumberFormat="1" applyAlignment="1" applyProtection="1">
      <alignment horizontal="center" vertical="center"/>
      <protection locked="0"/>
    </xf>
    <xf numFmtId="2" fontId="1" fillId="0" borderId="0" xfId="0" applyNumberFormat="1" applyFont="1"/>
    <xf numFmtId="165" fontId="29" fillId="7" borderId="27" xfId="14" applyNumberFormat="1" applyBorder="1" applyAlignment="1">
      <alignment horizontal="left" vertical="center"/>
    </xf>
    <xf numFmtId="165" fontId="29" fillId="7" borderId="27" xfId="14" applyNumberFormat="1" applyBorder="1" applyAlignment="1">
      <alignment vertical="center"/>
    </xf>
    <xf numFmtId="165" fontId="29" fillId="7" borderId="81" xfId="14" applyNumberFormat="1" applyBorder="1" applyAlignment="1">
      <alignment horizontal="left" vertical="center"/>
    </xf>
    <xf numFmtId="0" fontId="1" fillId="5" borderId="54" xfId="0" applyFont="1" applyFill="1" applyBorder="1" applyAlignment="1">
      <alignment vertical="center"/>
    </xf>
    <xf numFmtId="165" fontId="1" fillId="0" borderId="54" xfId="1" applyFont="1" applyFill="1" applyBorder="1" applyAlignment="1">
      <alignment vertical="center"/>
    </xf>
    <xf numFmtId="166" fontId="29" fillId="7" borderId="70" xfId="14" applyNumberFormat="1" applyBorder="1" applyAlignment="1">
      <alignment horizontal="right" vertical="center"/>
    </xf>
    <xf numFmtId="172" fontId="30" fillId="6" borderId="33" xfId="8" applyNumberFormat="1" applyAlignment="1">
      <alignment horizontal="left" vertical="center"/>
      <protection locked="0"/>
    </xf>
    <xf numFmtId="171" fontId="30" fillId="6" borderId="33" xfId="8" applyNumberFormat="1" applyAlignment="1">
      <alignment horizontal="left" vertical="center"/>
      <protection locked="0"/>
    </xf>
    <xf numFmtId="172" fontId="1" fillId="0" borderId="0" xfId="0" applyNumberFormat="1" applyFont="1"/>
    <xf numFmtId="171" fontId="30" fillId="0" borderId="0" xfId="8" applyNumberFormat="1" applyFill="1" applyBorder="1" applyAlignment="1">
      <alignment horizontal="left" vertical="center"/>
      <protection locked="0"/>
    </xf>
    <xf numFmtId="172" fontId="30" fillId="0" borderId="0" xfId="8" applyNumberFormat="1" applyFill="1" applyBorder="1" applyAlignment="1">
      <alignment horizontal="left" vertical="center"/>
      <protection locked="0"/>
    </xf>
    <xf numFmtId="2" fontId="0" fillId="0" borderId="27" xfId="0" applyNumberFormat="1" applyBorder="1" applyAlignment="1">
      <alignment horizontal="center" vertical="center"/>
    </xf>
    <xf numFmtId="2" fontId="0" fillId="0" borderId="27" xfId="0" applyNumberFormat="1" applyBorder="1" applyAlignment="1">
      <alignment horizontal="center" vertical="center" wrapText="1"/>
    </xf>
    <xf numFmtId="1" fontId="0" fillId="0" borderId="27" xfId="0" applyNumberFormat="1" applyBorder="1" applyAlignment="1">
      <alignment horizontal="center" vertical="center"/>
    </xf>
    <xf numFmtId="0" fontId="1" fillId="0" borderId="40" xfId="0" applyFont="1" applyBorder="1" applyAlignment="1">
      <alignment horizontal="center" vertical="center"/>
    </xf>
    <xf numFmtId="165" fontId="0" fillId="0" borderId="27" xfId="1" applyFont="1" applyBorder="1" applyAlignment="1">
      <alignment horizontal="center" vertical="center"/>
    </xf>
    <xf numFmtId="43" fontId="0" fillId="0" borderId="27" xfId="0" applyNumberFormat="1" applyBorder="1" applyAlignment="1">
      <alignment horizontal="center" vertical="center"/>
    </xf>
    <xf numFmtId="172" fontId="0" fillId="0" borderId="27" xfId="0" applyNumberFormat="1" applyBorder="1" applyAlignment="1">
      <alignment horizontal="center" vertical="center"/>
    </xf>
    <xf numFmtId="0" fontId="25" fillId="12" borderId="40" xfId="0" applyFont="1" applyFill="1" applyBorder="1" applyAlignment="1">
      <alignment horizontal="left" vertical="center"/>
    </xf>
    <xf numFmtId="0" fontId="25" fillId="12" borderId="40" xfId="0" applyFont="1" applyFill="1" applyBorder="1" applyAlignment="1">
      <alignment horizontal="center" vertical="center"/>
    </xf>
    <xf numFmtId="0" fontId="25" fillId="12" borderId="24" xfId="0" applyFont="1" applyFill="1" applyBorder="1" applyAlignment="1">
      <alignment horizontal="left" vertical="center"/>
    </xf>
    <xf numFmtId="0" fontId="25" fillId="12" borderId="24" xfId="0" applyFont="1" applyFill="1" applyBorder="1" applyAlignment="1">
      <alignment horizontal="center" vertical="center"/>
    </xf>
    <xf numFmtId="43" fontId="1" fillId="0" borderId="0" xfId="0" applyNumberFormat="1" applyFont="1"/>
    <xf numFmtId="168" fontId="30" fillId="6" borderId="27" xfId="8" applyNumberFormat="1" applyBorder="1" applyAlignment="1">
      <alignment vertical="center"/>
      <protection locked="0"/>
    </xf>
    <xf numFmtId="2" fontId="30" fillId="6" borderId="33" xfId="8" applyNumberFormat="1" applyAlignment="1">
      <alignment horizontal="center" vertical="center" wrapText="1"/>
      <protection locked="0"/>
    </xf>
    <xf numFmtId="0" fontId="0" fillId="22" borderId="27" xfId="0" applyFill="1" applyBorder="1" applyAlignment="1">
      <alignment horizontal="center" vertical="center"/>
    </xf>
    <xf numFmtId="169" fontId="30" fillId="6" borderId="27" xfId="8" applyNumberFormat="1" applyBorder="1" applyAlignment="1">
      <alignment vertical="center"/>
      <protection locked="0"/>
    </xf>
    <xf numFmtId="166" fontId="30" fillId="6" borderId="0" xfId="1" applyNumberFormat="1" applyFont="1" applyFill="1" applyBorder="1" applyAlignment="1" applyProtection="1">
      <alignment vertical="center"/>
      <protection locked="0"/>
    </xf>
    <xf numFmtId="0" fontId="30" fillId="6" borderId="27" xfId="8" applyBorder="1" applyAlignment="1">
      <alignment horizontal="center" vertical="center"/>
      <protection locked="0"/>
    </xf>
    <xf numFmtId="168" fontId="29" fillId="7" borderId="27" xfId="14" applyNumberFormat="1" applyBorder="1" applyAlignment="1" applyProtection="1">
      <alignment horizontal="center" vertical="center"/>
      <protection locked="0"/>
    </xf>
    <xf numFmtId="0" fontId="29" fillId="7" borderId="56" xfId="14" applyAlignment="1" applyProtection="1">
      <alignment horizontal="center" vertical="center"/>
      <protection locked="0"/>
    </xf>
    <xf numFmtId="1" fontId="29" fillId="7" borderId="56" xfId="14" applyNumberFormat="1" applyAlignment="1" applyProtection="1">
      <alignment horizontal="center" vertical="center"/>
      <protection locked="0"/>
    </xf>
    <xf numFmtId="166" fontId="30" fillId="6" borderId="72" xfId="8" applyNumberFormat="1" applyBorder="1" applyAlignment="1">
      <alignment horizontal="center" vertical="center" wrapText="1"/>
      <protection locked="0"/>
    </xf>
    <xf numFmtId="170" fontId="30" fillId="6" borderId="73" xfId="8" applyNumberFormat="1" applyBorder="1" applyAlignment="1">
      <alignment horizontal="center" vertical="center" wrapText="1"/>
      <protection locked="0"/>
    </xf>
    <xf numFmtId="166" fontId="29" fillId="7" borderId="27" xfId="14" applyNumberFormat="1" applyBorder="1" applyAlignment="1" applyProtection="1">
      <alignment horizontal="center" vertical="center" wrapText="1"/>
      <protection locked="0"/>
    </xf>
    <xf numFmtId="2" fontId="30" fillId="6" borderId="71" xfId="8" applyNumberFormat="1" applyBorder="1" applyAlignment="1">
      <alignment horizontal="center" vertical="center" wrapText="1"/>
      <protection locked="0"/>
    </xf>
    <xf numFmtId="168" fontId="30" fillId="6" borderId="33" xfId="8" applyNumberFormat="1" applyAlignment="1">
      <alignment horizontal="center" vertical="center"/>
      <protection locked="0"/>
    </xf>
    <xf numFmtId="168" fontId="29" fillId="7" borderId="56" xfId="14" applyNumberFormat="1" applyAlignment="1" applyProtection="1">
      <alignment vertical="center"/>
      <protection locked="0"/>
    </xf>
    <xf numFmtId="0" fontId="37" fillId="0" borderId="0" xfId="0" applyFont="1" applyAlignment="1">
      <alignment horizontal="left" vertical="center"/>
    </xf>
    <xf numFmtId="0" fontId="37" fillId="0" borderId="0" xfId="0" applyFont="1" applyAlignment="1">
      <alignment horizontal="center" vertical="center"/>
    </xf>
    <xf numFmtId="0" fontId="37" fillId="0" borderId="0" xfId="0" applyFont="1" applyAlignment="1">
      <alignment horizontal="center" vertical="top" wrapText="1"/>
    </xf>
    <xf numFmtId="168" fontId="30" fillId="6" borderId="33" xfId="8" applyNumberFormat="1" applyAlignment="1">
      <alignment vertical="center"/>
      <protection locked="0"/>
    </xf>
    <xf numFmtId="166" fontId="30" fillId="6" borderId="33" xfId="8" applyNumberFormat="1" applyAlignment="1">
      <alignment horizontal="right" vertical="center"/>
      <protection locked="0"/>
    </xf>
    <xf numFmtId="170" fontId="30" fillId="6" borderId="33" xfId="8" applyNumberFormat="1" applyAlignment="1">
      <alignment horizontal="center" vertical="center"/>
      <protection locked="0"/>
    </xf>
    <xf numFmtId="0" fontId="0" fillId="0" borderId="27" xfId="0" applyBorder="1" applyAlignment="1">
      <alignment horizontal="center" vertical="top" wrapText="1"/>
    </xf>
    <xf numFmtId="0" fontId="1" fillId="0" borderId="27" xfId="0" applyFont="1" applyBorder="1" applyAlignment="1">
      <alignment horizontal="center" vertical="top"/>
    </xf>
    <xf numFmtId="170" fontId="29" fillId="7" borderId="56" xfId="14" applyNumberFormat="1" applyAlignment="1" applyProtection="1">
      <alignment vertical="center"/>
      <protection locked="0"/>
    </xf>
    <xf numFmtId="171" fontId="29" fillId="7" borderId="56" xfId="14" applyNumberFormat="1" applyAlignment="1" applyProtection="1">
      <alignment vertical="center"/>
      <protection locked="0"/>
    </xf>
    <xf numFmtId="43" fontId="29" fillId="7" borderId="56" xfId="14" applyNumberFormat="1" applyAlignment="1" applyProtection="1">
      <alignment vertical="center"/>
      <protection locked="0"/>
    </xf>
    <xf numFmtId="172" fontId="29" fillId="7" borderId="27" xfId="14" applyNumberFormat="1" applyBorder="1" applyAlignment="1" applyProtection="1">
      <alignment horizontal="right" vertical="center"/>
      <protection locked="0"/>
    </xf>
    <xf numFmtId="0" fontId="29" fillId="7" borderId="27" xfId="14" applyBorder="1" applyAlignment="1" applyProtection="1">
      <alignment vertical="center"/>
      <protection locked="0"/>
    </xf>
    <xf numFmtId="166" fontId="29" fillId="7" borderId="27" xfId="1" applyNumberFormat="1" applyFont="1" applyFill="1" applyBorder="1" applyAlignment="1">
      <alignment horizontal="right" vertical="center"/>
    </xf>
    <xf numFmtId="172" fontId="29" fillId="7" borderId="27" xfId="14" applyNumberFormat="1" applyBorder="1" applyAlignment="1">
      <alignment horizontal="right" vertical="center"/>
    </xf>
    <xf numFmtId="0" fontId="29" fillId="7" borderId="27" xfId="14" applyBorder="1" applyAlignment="1" applyProtection="1">
      <alignment horizontal="right" vertical="center"/>
      <protection locked="0"/>
    </xf>
    <xf numFmtId="0" fontId="15" fillId="6" borderId="33" xfId="8" applyFont="1" applyAlignment="1">
      <alignment vertical="center"/>
      <protection locked="0"/>
    </xf>
    <xf numFmtId="0" fontId="6" fillId="0" borderId="84" xfId="4" applyFont="1" applyBorder="1" applyAlignment="1">
      <alignment horizontal="left" vertical="center"/>
    </xf>
    <xf numFmtId="0" fontId="6" fillId="0" borderId="85" xfId="4" applyFont="1" applyBorder="1" applyAlignment="1">
      <alignment horizontal="left" vertical="center"/>
    </xf>
    <xf numFmtId="0" fontId="8" fillId="0" borderId="86" xfId="4" applyFont="1" applyBorder="1" applyAlignment="1">
      <alignment vertical="center"/>
    </xf>
    <xf numFmtId="0" fontId="7" fillId="0" borderId="87" xfId="4" applyFont="1" applyBorder="1" applyAlignment="1">
      <alignment vertical="center"/>
    </xf>
    <xf numFmtId="0" fontId="7" fillId="0" borderId="89" xfId="4" applyFont="1" applyBorder="1" applyAlignment="1">
      <alignment vertical="center"/>
    </xf>
    <xf numFmtId="0" fontId="7" fillId="0" borderId="89" xfId="0" applyFont="1" applyBorder="1" applyAlignment="1">
      <alignment vertical="center" wrapText="1"/>
    </xf>
    <xf numFmtId="0" fontId="7" fillId="0" borderId="93" xfId="4" applyFont="1" applyBorder="1" applyAlignment="1">
      <alignment vertical="center"/>
    </xf>
    <xf numFmtId="0" fontId="39" fillId="0" borderId="18" xfId="7" applyFont="1" applyBorder="1" applyAlignment="1">
      <alignment horizontal="left" vertical="center" wrapText="1"/>
    </xf>
    <xf numFmtId="0" fontId="39" fillId="0" borderId="18" xfId="7" applyFont="1" applyBorder="1" applyAlignment="1">
      <alignment vertical="top" wrapText="1"/>
    </xf>
    <xf numFmtId="0" fontId="39" fillId="0" borderId="20" xfId="7" applyFont="1" applyBorder="1" applyAlignment="1">
      <alignment vertical="top" wrapText="1"/>
    </xf>
    <xf numFmtId="0" fontId="1" fillId="0" borderId="24" xfId="0" applyFont="1" applyBorder="1" applyAlignment="1">
      <alignment horizontal="left" vertical="center"/>
    </xf>
    <xf numFmtId="0" fontId="1" fillId="0" borderId="24" xfId="0" applyFont="1" applyBorder="1" applyAlignment="1">
      <alignment horizontal="center" vertical="top" wrapText="1"/>
    </xf>
    <xf numFmtId="0" fontId="7" fillId="0" borderId="27" xfId="0" applyFont="1" applyBorder="1" applyAlignment="1">
      <alignment horizontal="center" vertical="center" wrapText="1"/>
    </xf>
    <xf numFmtId="0" fontId="1" fillId="0" borderId="39" xfId="0" applyFont="1" applyBorder="1" applyAlignment="1">
      <alignment horizontal="left" vertical="center"/>
    </xf>
    <xf numFmtId="0" fontId="30" fillId="20" borderId="27" xfId="8" applyFill="1" applyBorder="1" applyAlignment="1">
      <alignment vertical="center"/>
      <protection locked="0"/>
    </xf>
    <xf numFmtId="0" fontId="7" fillId="23" borderId="40" xfId="0" applyFont="1" applyFill="1" applyBorder="1" applyAlignment="1">
      <alignment horizontal="left" vertical="center" wrapText="1"/>
    </xf>
    <xf numFmtId="166" fontId="29" fillId="7" borderId="40" xfId="14" applyNumberFormat="1" applyBorder="1" applyAlignment="1">
      <alignment vertical="center"/>
    </xf>
    <xf numFmtId="168" fontId="29" fillId="7" borderId="56" xfId="14" applyNumberFormat="1" applyAlignment="1">
      <alignment vertical="center"/>
    </xf>
    <xf numFmtId="0" fontId="7" fillId="0" borderId="40" xfId="0" applyFont="1" applyBorder="1" applyAlignment="1">
      <alignment horizontal="center" vertical="center" wrapText="1"/>
    </xf>
    <xf numFmtId="168" fontId="30" fillId="6" borderId="71" xfId="8" applyNumberFormat="1" applyBorder="1" applyAlignment="1">
      <alignment horizontal="center" vertical="center"/>
      <protection locked="0"/>
    </xf>
    <xf numFmtId="0" fontId="7" fillId="0" borderId="0" xfId="0" applyFont="1" applyAlignment="1">
      <alignment horizontal="center" vertical="center"/>
    </xf>
    <xf numFmtId="2" fontId="30" fillId="0" borderId="0" xfId="8" applyNumberFormat="1" applyFill="1" applyBorder="1" applyAlignment="1">
      <alignment horizontal="center" vertical="center"/>
      <protection locked="0"/>
    </xf>
    <xf numFmtId="170" fontId="30" fillId="0" borderId="0" xfId="8" applyNumberFormat="1" applyFill="1" applyBorder="1" applyAlignment="1">
      <alignment horizontal="center" vertical="center"/>
      <protection locked="0"/>
    </xf>
    <xf numFmtId="1" fontId="30" fillId="0" borderId="0" xfId="8" applyNumberFormat="1" applyFill="1" applyBorder="1" applyAlignment="1">
      <alignment horizontal="center" vertical="center"/>
      <protection locked="0"/>
    </xf>
    <xf numFmtId="0" fontId="0" fillId="0" borderId="0" xfId="0" applyAlignment="1">
      <alignment horizontal="center" vertical="top" wrapText="1"/>
    </xf>
    <xf numFmtId="0" fontId="1" fillId="0" borderId="0" xfId="0" applyFont="1" applyAlignment="1">
      <alignment horizontal="center" vertical="top"/>
    </xf>
    <xf numFmtId="1" fontId="30" fillId="6" borderId="27" xfId="8" applyNumberFormat="1" applyBorder="1" applyAlignment="1">
      <alignment horizontal="center" vertical="center"/>
      <protection locked="0"/>
    </xf>
    <xf numFmtId="2" fontId="30" fillId="6" borderId="27" xfId="8" applyNumberFormat="1" applyBorder="1" applyAlignment="1">
      <alignment horizontal="center" vertical="center"/>
      <protection locked="0"/>
    </xf>
    <xf numFmtId="170" fontId="30" fillId="6" borderId="27" xfId="8" applyNumberFormat="1" applyBorder="1" applyAlignment="1">
      <alignment horizontal="center" vertical="center"/>
      <protection locked="0"/>
    </xf>
    <xf numFmtId="165" fontId="1" fillId="22" borderId="40" xfId="1" applyFont="1" applyFill="1" applyBorder="1" applyAlignment="1">
      <alignment vertical="center"/>
    </xf>
    <xf numFmtId="166" fontId="29" fillId="7" borderId="96" xfId="1" applyNumberFormat="1" applyFont="1" applyFill="1" applyBorder="1" applyAlignment="1">
      <alignment vertical="center"/>
    </xf>
    <xf numFmtId="165" fontId="1" fillId="0" borderId="39" xfId="1" applyFont="1" applyFill="1" applyBorder="1" applyAlignment="1">
      <alignment vertical="center" wrapText="1"/>
    </xf>
    <xf numFmtId="0" fontId="41" fillId="7" borderId="66" xfId="14" applyFont="1" applyBorder="1" applyAlignment="1">
      <alignment horizontal="right" vertical="center"/>
    </xf>
    <xf numFmtId="0" fontId="41" fillId="7" borderId="27" xfId="14" applyFont="1" applyBorder="1" applyAlignment="1">
      <alignment horizontal="right" vertical="center"/>
    </xf>
    <xf numFmtId="0" fontId="24" fillId="0" borderId="27" xfId="0" applyFont="1" applyBorder="1" applyAlignment="1">
      <alignment horizontal="center" vertical="center" wrapText="1"/>
    </xf>
    <xf numFmtId="0" fontId="1" fillId="0" borderId="27" xfId="4" applyFont="1" applyBorder="1" applyAlignment="1">
      <alignment vertical="center"/>
    </xf>
    <xf numFmtId="0" fontId="8" fillId="12" borderId="27" xfId="0" applyFont="1" applyFill="1" applyBorder="1" applyAlignment="1">
      <alignment horizontal="left" vertical="center"/>
    </xf>
    <xf numFmtId="0" fontId="7" fillId="0" borderId="54" xfId="0" applyFont="1" applyBorder="1" applyAlignment="1">
      <alignment horizontal="center" vertical="center"/>
    </xf>
    <xf numFmtId="0" fontId="7" fillId="0" borderId="24" xfId="0" applyFont="1" applyBorder="1" applyAlignment="1">
      <alignment vertical="center"/>
    </xf>
    <xf numFmtId="0" fontId="17" fillId="0" borderId="24" xfId="0" applyFont="1" applyBorder="1" applyAlignment="1">
      <alignment vertical="center" wrapText="1"/>
    </xf>
    <xf numFmtId="0" fontId="7" fillId="0" borderId="27" xfId="0" applyFont="1" applyBorder="1" applyAlignment="1">
      <alignment horizontal="left" vertical="center"/>
    </xf>
    <xf numFmtId="0" fontId="3" fillId="0" borderId="27" xfId="4" applyBorder="1" applyAlignment="1">
      <alignment vertical="center" wrapText="1"/>
    </xf>
    <xf numFmtId="2" fontId="30" fillId="6" borderId="33" xfId="8" applyNumberFormat="1" applyAlignment="1">
      <alignment vertical="center"/>
      <protection locked="0"/>
    </xf>
    <xf numFmtId="0" fontId="7" fillId="0" borderId="27" xfId="0" applyFont="1" applyBorder="1" applyAlignment="1">
      <alignment vertical="center"/>
    </xf>
    <xf numFmtId="172" fontId="15" fillId="20" borderId="27" xfId="1" applyNumberFormat="1" applyFont="1" applyFill="1" applyBorder="1" applyAlignment="1" applyProtection="1">
      <alignment vertical="center"/>
      <protection locked="0"/>
    </xf>
    <xf numFmtId="170" fontId="19" fillId="7" borderId="56" xfId="14" applyNumberFormat="1" applyFont="1" applyAlignment="1" applyProtection="1">
      <alignment horizontal="right" vertical="center"/>
      <protection locked="0"/>
    </xf>
    <xf numFmtId="0" fontId="3" fillId="0" borderId="26" xfId="4" applyBorder="1" applyAlignment="1">
      <alignment vertical="center"/>
    </xf>
    <xf numFmtId="0" fontId="7" fillId="0" borderId="28" xfId="0" applyFont="1" applyBorder="1" applyAlignment="1">
      <alignment horizontal="center" vertical="top" wrapText="1"/>
    </xf>
    <xf numFmtId="1" fontId="30" fillId="6" borderId="33" xfId="8" applyNumberFormat="1" applyAlignment="1">
      <alignment vertical="center"/>
      <protection locked="0"/>
    </xf>
    <xf numFmtId="0" fontId="8" fillId="12" borderId="14" xfId="0" applyFont="1" applyFill="1" applyBorder="1" applyAlignment="1">
      <alignment horizontal="left" vertical="center"/>
    </xf>
    <xf numFmtId="0" fontId="8" fillId="12" borderId="22" xfId="0" applyFont="1" applyFill="1" applyBorder="1" applyAlignment="1">
      <alignment horizontal="left" vertical="center"/>
    </xf>
    <xf numFmtId="0" fontId="8" fillId="12" borderId="15" xfId="0" applyFont="1" applyFill="1" applyBorder="1" applyAlignment="1">
      <alignment horizontal="left" vertical="center"/>
    </xf>
    <xf numFmtId="0" fontId="3" fillId="0" borderId="27" xfId="4" applyBorder="1" applyAlignment="1">
      <alignment vertical="center"/>
    </xf>
    <xf numFmtId="0" fontId="7" fillId="0" borderId="27" xfId="0" applyFont="1" applyBorder="1" applyAlignment="1">
      <alignment horizontal="center" vertical="top" wrapText="1"/>
    </xf>
    <xf numFmtId="0" fontId="7" fillId="0" borderId="0" xfId="0" applyFont="1" applyAlignment="1">
      <alignment vertical="center"/>
    </xf>
    <xf numFmtId="0" fontId="7" fillId="0" borderId="74" xfId="0" applyFont="1" applyBorder="1" applyAlignment="1">
      <alignment horizontal="center" vertical="top" wrapText="1"/>
    </xf>
    <xf numFmtId="0" fontId="7" fillId="0" borderId="98" xfId="0" applyFont="1" applyBorder="1" applyAlignment="1">
      <alignment horizontal="center" vertical="center" wrapText="1"/>
    </xf>
    <xf numFmtId="168" fontId="29" fillId="7" borderId="56" xfId="14" applyNumberFormat="1" applyAlignment="1">
      <alignment horizontal="right" vertical="center"/>
    </xf>
    <xf numFmtId="0" fontId="27" fillId="19" borderId="22" xfId="0" applyFont="1" applyFill="1" applyBorder="1" applyAlignment="1">
      <alignment vertical="center"/>
    </xf>
    <xf numFmtId="0" fontId="30" fillId="6" borderId="27" xfId="8" applyNumberFormat="1" applyBorder="1" applyAlignment="1">
      <alignment vertical="center"/>
      <protection locked="0"/>
    </xf>
    <xf numFmtId="173" fontId="30" fillId="6" borderId="27" xfId="8" applyNumberFormat="1" applyBorder="1" applyAlignment="1">
      <alignment vertical="center"/>
      <protection locked="0"/>
    </xf>
    <xf numFmtId="2" fontId="30" fillId="6" borderId="27" xfId="8" applyNumberFormat="1" applyBorder="1" applyAlignment="1">
      <alignment vertical="center"/>
      <protection locked="0"/>
    </xf>
    <xf numFmtId="2" fontId="30" fillId="6" borderId="27" xfId="8" applyNumberFormat="1" applyBorder="1" applyAlignment="1">
      <alignment horizontal="right" vertical="center"/>
      <protection locked="0"/>
    </xf>
    <xf numFmtId="170" fontId="19" fillId="7" borderId="27" xfId="14" applyNumberFormat="1" applyFont="1" applyBorder="1" applyAlignment="1" applyProtection="1">
      <alignment horizontal="right" vertical="center"/>
      <protection locked="0"/>
    </xf>
    <xf numFmtId="170" fontId="30" fillId="6" borderId="27" xfId="8" applyNumberFormat="1" applyBorder="1" applyAlignment="1">
      <alignment vertical="center"/>
      <protection locked="0"/>
    </xf>
    <xf numFmtId="170" fontId="19" fillId="7" borderId="27" xfId="14" applyNumberFormat="1" applyFont="1" applyBorder="1" applyAlignment="1" applyProtection="1">
      <alignment vertical="center"/>
      <protection locked="0"/>
    </xf>
    <xf numFmtId="1" fontId="30" fillId="6" borderId="27" xfId="8" applyNumberFormat="1" applyBorder="1" applyAlignment="1">
      <alignment vertical="center"/>
      <protection locked="0"/>
    </xf>
    <xf numFmtId="0" fontId="15" fillId="20" borderId="27" xfId="3" applyNumberFormat="1" applyFont="1" applyFill="1" applyBorder="1" applyAlignment="1" applyProtection="1">
      <alignment vertical="center"/>
      <protection locked="0"/>
    </xf>
    <xf numFmtId="0" fontId="5" fillId="19" borderId="27" xfId="0" applyFont="1" applyFill="1" applyBorder="1" applyAlignment="1">
      <alignment vertical="center"/>
    </xf>
    <xf numFmtId="172" fontId="30" fillId="6" borderId="27" xfId="8" applyNumberFormat="1" applyBorder="1" applyAlignment="1">
      <alignment vertical="center"/>
      <protection locked="0"/>
    </xf>
    <xf numFmtId="0" fontId="3" fillId="0" borderId="27" xfId="4" applyBorder="1" applyAlignment="1">
      <alignment horizontal="left" vertical="center"/>
    </xf>
    <xf numFmtId="0" fontId="3" fillId="0" borderId="27" xfId="4" applyBorder="1" applyAlignment="1">
      <alignment horizontal="center" vertical="center"/>
    </xf>
    <xf numFmtId="0" fontId="7" fillId="0" borderId="40" xfId="0" applyFont="1" applyBorder="1" applyAlignment="1">
      <alignment horizontal="left" vertical="center"/>
    </xf>
    <xf numFmtId="0" fontId="25" fillId="0" borderId="27" xfId="0" applyFont="1" applyBorder="1" applyAlignment="1">
      <alignment horizontal="center" vertical="center"/>
    </xf>
    <xf numFmtId="0" fontId="3" fillId="0" borderId="52" xfId="4" applyBorder="1" applyAlignment="1">
      <alignment vertical="center"/>
    </xf>
    <xf numFmtId="2" fontId="19" fillId="7" borderId="56" xfId="14" applyNumberFormat="1" applyFont="1" applyAlignment="1" applyProtection="1">
      <alignment vertical="center"/>
      <protection locked="0"/>
    </xf>
    <xf numFmtId="0" fontId="7" fillId="0" borderId="36" xfId="0" applyFont="1" applyBorder="1" applyAlignment="1">
      <alignment vertical="center" wrapText="1"/>
    </xf>
    <xf numFmtId="0" fontId="3" fillId="0" borderId="16" xfId="4" applyBorder="1" applyAlignment="1">
      <alignment vertical="center"/>
    </xf>
    <xf numFmtId="168" fontId="30" fillId="6" borderId="40" xfId="8" applyNumberFormat="1" applyBorder="1" applyAlignment="1">
      <alignment vertical="center"/>
      <protection locked="0"/>
    </xf>
    <xf numFmtId="0" fontId="7" fillId="0" borderId="0" xfId="0" applyFont="1" applyAlignment="1">
      <alignment vertical="center" wrapText="1"/>
    </xf>
    <xf numFmtId="0" fontId="7" fillId="0" borderId="28" xfId="0" applyFont="1" applyBorder="1" applyAlignment="1">
      <alignment horizontal="center" vertical="center" wrapText="1"/>
    </xf>
    <xf numFmtId="0" fontId="7" fillId="0" borderId="40" xfId="0" applyFont="1" applyBorder="1" applyAlignment="1">
      <alignment vertical="center"/>
    </xf>
    <xf numFmtId="166" fontId="19" fillId="7" borderId="56" xfId="1" applyNumberFormat="1" applyFont="1" applyFill="1" applyBorder="1" applyAlignment="1" applyProtection="1">
      <alignment vertical="center"/>
      <protection locked="0"/>
    </xf>
    <xf numFmtId="166" fontId="22" fillId="7" borderId="56" xfId="1" applyNumberFormat="1" applyFont="1" applyFill="1" applyBorder="1" applyAlignment="1" applyProtection="1">
      <alignment vertical="center"/>
      <protection locked="0"/>
    </xf>
    <xf numFmtId="0" fontId="1" fillId="0" borderId="27" xfId="4" applyFont="1" applyBorder="1" applyAlignment="1">
      <alignment vertical="center" wrapText="1"/>
    </xf>
    <xf numFmtId="0" fontId="7" fillId="23" borderId="27" xfId="0" applyFont="1" applyFill="1" applyBorder="1" applyAlignment="1">
      <alignment vertical="center"/>
    </xf>
    <xf numFmtId="0" fontId="7" fillId="23" borderId="27" xfId="0" applyFont="1" applyFill="1" applyBorder="1" applyAlignment="1">
      <alignment vertical="center" wrapText="1"/>
    </xf>
    <xf numFmtId="0" fontId="7" fillId="0" borderId="27" xfId="0" applyFont="1" applyBorder="1" applyAlignment="1">
      <alignment vertical="center" wrapText="1"/>
    </xf>
    <xf numFmtId="0" fontId="7" fillId="0" borderId="36" xfId="0" applyFont="1" applyBorder="1" applyAlignment="1">
      <alignment vertical="center"/>
    </xf>
    <xf numFmtId="0" fontId="8" fillId="12" borderId="16" xfId="0" applyFont="1" applyFill="1" applyBorder="1" applyAlignment="1">
      <alignment horizontal="left" vertical="center"/>
    </xf>
    <xf numFmtId="0" fontId="8" fillId="12" borderId="0" xfId="0" applyFont="1" applyFill="1" applyAlignment="1">
      <alignment horizontal="left" vertical="center"/>
    </xf>
    <xf numFmtId="0" fontId="8" fillId="12" borderId="17" xfId="0" applyFont="1" applyFill="1" applyBorder="1" applyAlignment="1">
      <alignment horizontal="left" vertical="center"/>
    </xf>
    <xf numFmtId="0" fontId="1" fillId="0" borderId="52" xfId="4" applyFont="1" applyBorder="1" applyAlignment="1">
      <alignment vertical="center"/>
    </xf>
    <xf numFmtId="170" fontId="30" fillId="6" borderId="33" xfId="8" applyNumberFormat="1" applyAlignment="1">
      <alignment horizontal="right" vertical="center"/>
      <protection locked="0"/>
    </xf>
    <xf numFmtId="0" fontId="30" fillId="6" borderId="99" xfId="8" applyBorder="1" applyAlignment="1">
      <alignment horizontal="center" vertical="center"/>
      <protection locked="0"/>
    </xf>
    <xf numFmtId="0" fontId="30" fillId="6" borderId="36" xfId="8" applyBorder="1" applyAlignment="1">
      <alignment horizontal="center" vertical="center"/>
      <protection locked="0"/>
    </xf>
    <xf numFmtId="2" fontId="30" fillId="6" borderId="36" xfId="8" applyNumberFormat="1" applyBorder="1" applyAlignment="1">
      <alignment horizontal="center" vertical="center"/>
      <protection locked="0"/>
    </xf>
    <xf numFmtId="173" fontId="30" fillId="6" borderId="36" xfId="8" applyNumberFormat="1" applyBorder="1" applyAlignment="1">
      <alignment horizontal="center" vertical="center"/>
      <protection locked="0"/>
    </xf>
    <xf numFmtId="168" fontId="29" fillId="7" borderId="27" xfId="14" applyNumberFormat="1" applyBorder="1" applyAlignment="1" applyProtection="1">
      <alignment vertical="center"/>
      <protection locked="0"/>
    </xf>
    <xf numFmtId="2" fontId="19" fillId="7" borderId="36" xfId="14" applyNumberFormat="1" applyFont="1" applyBorder="1" applyAlignment="1" applyProtection="1">
      <alignment vertical="center"/>
      <protection locked="0"/>
    </xf>
    <xf numFmtId="0" fontId="7" fillId="0" borderId="27" xfId="0" applyFont="1" applyBorder="1" applyAlignment="1">
      <alignment horizontal="center" wrapText="1"/>
    </xf>
    <xf numFmtId="170" fontId="19" fillId="7" borderId="36" xfId="14" applyNumberFormat="1" applyFont="1" applyBorder="1" applyAlignment="1" applyProtection="1">
      <alignment vertical="center"/>
      <protection locked="0"/>
    </xf>
    <xf numFmtId="2" fontId="29" fillId="7" borderId="56" xfId="14" applyNumberFormat="1" applyAlignment="1" applyProtection="1">
      <alignment horizontal="right" vertical="center"/>
      <protection locked="0"/>
    </xf>
    <xf numFmtId="173" fontId="29" fillId="7" borderId="56" xfId="14" applyNumberFormat="1" applyAlignment="1" applyProtection="1">
      <alignment vertical="center"/>
      <protection locked="0"/>
    </xf>
    <xf numFmtId="0" fontId="32" fillId="0" borderId="27" xfId="0" applyFont="1" applyBorder="1" applyAlignment="1">
      <alignment vertical="center" wrapText="1"/>
    </xf>
    <xf numFmtId="0" fontId="1" fillId="0" borderId="26" xfId="4" applyFont="1" applyBorder="1" applyAlignment="1">
      <alignment vertical="center"/>
    </xf>
    <xf numFmtId="0" fontId="1" fillId="0" borderId="26" xfId="4" applyFont="1" applyBorder="1" applyAlignment="1">
      <alignment horizontal="left" vertical="center"/>
    </xf>
    <xf numFmtId="166" fontId="29" fillId="7" borderId="0" xfId="14" applyNumberFormat="1" applyBorder="1" applyAlignment="1">
      <alignment vertical="center"/>
    </xf>
    <xf numFmtId="2" fontId="29" fillId="7" borderId="27" xfId="14" applyNumberFormat="1" applyBorder="1" applyAlignment="1" applyProtection="1">
      <alignment vertical="center"/>
      <protection locked="0"/>
    </xf>
    <xf numFmtId="17" fontId="7" fillId="0" borderId="27" xfId="0" applyNumberFormat="1" applyFont="1" applyBorder="1" applyAlignment="1">
      <alignment horizontal="center" vertical="center" wrapText="1"/>
    </xf>
    <xf numFmtId="0" fontId="1" fillId="0" borderId="40" xfId="4" applyFont="1" applyBorder="1" applyAlignment="1">
      <alignment horizontal="left" vertical="center"/>
    </xf>
    <xf numFmtId="172" fontId="29" fillId="7" borderId="102" xfId="14" applyNumberFormat="1" applyBorder="1" applyAlignment="1">
      <alignment vertical="center"/>
    </xf>
    <xf numFmtId="165" fontId="29" fillId="7" borderId="102" xfId="14" applyNumberFormat="1" applyBorder="1" applyAlignment="1">
      <alignment vertical="center"/>
    </xf>
    <xf numFmtId="171" fontId="29" fillId="7" borderId="102" xfId="14" applyNumberFormat="1" applyBorder="1" applyAlignment="1">
      <alignment vertical="center"/>
    </xf>
    <xf numFmtId="0" fontId="1" fillId="0" borderId="26" xfId="4" applyFont="1" applyBorder="1" applyAlignment="1">
      <alignment vertical="center" wrapText="1"/>
    </xf>
    <xf numFmtId="0" fontId="1" fillId="0" borderId="26" xfId="4" applyFont="1" applyBorder="1" applyAlignment="1">
      <alignment horizontal="left" vertical="center" wrapText="1"/>
    </xf>
    <xf numFmtId="0" fontId="7" fillId="0" borderId="74" xfId="0" applyFont="1" applyBorder="1" applyAlignment="1">
      <alignment horizontal="center" vertical="center" wrapText="1"/>
    </xf>
    <xf numFmtId="170" fontId="15" fillId="20" borderId="27" xfId="3" applyNumberFormat="1" applyFont="1" applyFill="1" applyBorder="1" applyAlignment="1" applyProtection="1">
      <alignment vertical="center"/>
      <protection locked="0"/>
    </xf>
    <xf numFmtId="0" fontId="3" fillId="0" borderId="103" xfId="4" applyBorder="1" applyAlignment="1">
      <alignment vertical="center"/>
    </xf>
    <xf numFmtId="0" fontId="15" fillId="20" borderId="101" xfId="3" applyNumberFormat="1" applyFont="1" applyFill="1" applyBorder="1" applyAlignment="1" applyProtection="1">
      <alignment vertical="center"/>
      <protection locked="0"/>
    </xf>
    <xf numFmtId="2" fontId="19" fillId="7" borderId="56" xfId="14" applyNumberFormat="1" applyFont="1" applyAlignment="1" applyProtection="1">
      <alignment horizontal="right" vertical="center"/>
      <protection locked="0"/>
    </xf>
    <xf numFmtId="168" fontId="19" fillId="7" borderId="56" xfId="14" applyNumberFormat="1" applyFont="1" applyAlignment="1" applyProtection="1">
      <alignment horizontal="right" vertical="center"/>
      <protection locked="0"/>
    </xf>
    <xf numFmtId="171" fontId="29" fillId="7" borderId="100" xfId="14" applyNumberFormat="1" applyBorder="1" applyAlignment="1" applyProtection="1">
      <alignment vertical="center"/>
      <protection locked="0"/>
    </xf>
    <xf numFmtId="172" fontId="29" fillId="7" borderId="100" xfId="14" applyNumberFormat="1" applyBorder="1" applyAlignment="1" applyProtection="1">
      <alignment vertical="center"/>
      <protection locked="0"/>
    </xf>
    <xf numFmtId="173" fontId="30" fillId="6" borderId="27" xfId="8" applyNumberFormat="1" applyBorder="1" applyAlignment="1">
      <alignment horizontal="center" vertical="center"/>
      <protection locked="0"/>
    </xf>
    <xf numFmtId="172" fontId="30" fillId="6" borderId="71" xfId="8" applyNumberFormat="1" applyBorder="1" applyAlignment="1">
      <alignment horizontal="center" vertical="center"/>
      <protection locked="0"/>
    </xf>
    <xf numFmtId="166" fontId="30" fillId="6" borderId="71" xfId="8" applyNumberFormat="1" applyBorder="1" applyAlignment="1">
      <alignment horizontal="center" vertical="center"/>
      <protection locked="0"/>
    </xf>
    <xf numFmtId="170" fontId="29" fillId="7" borderId="70" xfId="14" applyNumberFormat="1" applyBorder="1" applyAlignment="1" applyProtection="1">
      <alignment vertical="center"/>
      <protection locked="0"/>
    </xf>
    <xf numFmtId="171" fontId="29" fillId="7" borderId="96" xfId="14" applyNumberFormat="1" applyBorder="1" applyAlignment="1" applyProtection="1">
      <alignment vertical="center"/>
      <protection locked="0"/>
    </xf>
    <xf numFmtId="172" fontId="29" fillId="7" borderId="27" xfId="14" applyNumberFormat="1" applyBorder="1" applyAlignment="1" applyProtection="1">
      <alignment vertical="center"/>
      <protection locked="0"/>
    </xf>
    <xf numFmtId="171" fontId="29" fillId="7" borderId="27" xfId="14" applyNumberFormat="1" applyBorder="1" applyAlignment="1" applyProtection="1">
      <alignment vertical="center"/>
      <protection locked="0"/>
    </xf>
    <xf numFmtId="165" fontId="1" fillId="0" borderId="0" xfId="1" applyFont="1"/>
    <xf numFmtId="0" fontId="5" fillId="19" borderId="40" xfId="0" applyFont="1" applyFill="1" applyBorder="1" applyAlignment="1">
      <alignment vertical="center"/>
    </xf>
    <xf numFmtId="173" fontId="30" fillId="6" borderId="24" xfId="8" applyNumberFormat="1" applyBorder="1" applyAlignment="1">
      <alignment vertical="center"/>
      <protection locked="0"/>
    </xf>
    <xf numFmtId="172" fontId="30" fillId="6" borderId="33" xfId="8" applyNumberFormat="1" applyAlignment="1">
      <alignment horizontal="center" vertical="center"/>
      <protection locked="0"/>
    </xf>
    <xf numFmtId="0" fontId="7" fillId="0" borderId="54" xfId="0" applyFont="1" applyBorder="1" applyAlignment="1">
      <alignment vertical="center"/>
    </xf>
    <xf numFmtId="170" fontId="15" fillId="20" borderId="33" xfId="3" applyNumberFormat="1" applyFont="1" applyFill="1" applyBorder="1" applyAlignment="1" applyProtection="1">
      <alignment vertical="center"/>
      <protection locked="0"/>
    </xf>
    <xf numFmtId="0" fontId="1" fillId="0" borderId="103" xfId="4" applyFont="1" applyBorder="1" applyAlignment="1">
      <alignment vertical="center"/>
    </xf>
    <xf numFmtId="0" fontId="7" fillId="0" borderId="54" xfId="0" applyFont="1" applyBorder="1" applyAlignment="1">
      <alignment horizontal="center" vertical="center" wrapText="1"/>
    </xf>
    <xf numFmtId="1" fontId="29" fillId="7" borderId="56" xfId="14" applyNumberFormat="1" applyAlignment="1" applyProtection="1">
      <alignment horizontal="right" vertical="center"/>
      <protection locked="0"/>
    </xf>
    <xf numFmtId="0" fontId="7" fillId="0" borderId="24" xfId="0" applyFont="1" applyBorder="1" applyAlignment="1">
      <alignment horizontal="left" vertical="center"/>
    </xf>
    <xf numFmtId="166" fontId="30" fillId="6" borderId="33" xfId="1" applyNumberFormat="1" applyFont="1" applyFill="1" applyBorder="1" applyAlignment="1" applyProtection="1">
      <alignment horizontal="right" vertical="center"/>
      <protection locked="0"/>
    </xf>
    <xf numFmtId="0" fontId="8" fillId="0" borderId="27" xfId="0" applyFont="1" applyBorder="1" applyAlignment="1">
      <alignment horizontal="left" vertical="center"/>
    </xf>
    <xf numFmtId="166" fontId="30" fillId="0" borderId="0" xfId="1" applyNumberFormat="1" applyFont="1" applyFill="1" applyBorder="1" applyAlignment="1" applyProtection="1">
      <alignment horizontal="right" vertical="center"/>
      <protection locked="0"/>
    </xf>
    <xf numFmtId="169" fontId="30" fillId="0" borderId="0" xfId="8" applyNumberFormat="1" applyFill="1" applyBorder="1" applyAlignment="1">
      <alignment horizontal="right" vertical="center"/>
      <protection locked="0"/>
    </xf>
    <xf numFmtId="166" fontId="29" fillId="0" borderId="0" xfId="14" applyNumberFormat="1" applyFill="1" applyBorder="1" applyAlignment="1" applyProtection="1">
      <alignment vertical="center"/>
      <protection locked="0"/>
    </xf>
    <xf numFmtId="0" fontId="1" fillId="0" borderId="94" xfId="4" applyFont="1" applyBorder="1" applyAlignment="1">
      <alignment vertical="center"/>
    </xf>
    <xf numFmtId="170" fontId="30" fillId="6" borderId="33" xfId="8" applyNumberFormat="1" applyAlignment="1">
      <alignment vertical="center"/>
      <protection locked="0"/>
    </xf>
    <xf numFmtId="0" fontId="11" fillId="0" borderId="24" xfId="0" applyFont="1" applyBorder="1" applyAlignment="1">
      <alignment vertical="center" wrapText="1"/>
    </xf>
    <xf numFmtId="0" fontId="7" fillId="0" borderId="24" xfId="0" applyFont="1" applyBorder="1" applyAlignment="1">
      <alignment horizontal="center" vertical="top" wrapText="1"/>
    </xf>
    <xf numFmtId="166" fontId="30" fillId="6" borderId="27" xfId="8" applyNumberFormat="1" applyBorder="1" applyAlignment="1">
      <alignment vertical="center"/>
      <protection locked="0"/>
    </xf>
    <xf numFmtId="0" fontId="11" fillId="0" borderId="27" xfId="0" applyFont="1" applyBorder="1" applyAlignment="1">
      <alignment vertical="center" wrapText="1"/>
    </xf>
    <xf numFmtId="2" fontId="30" fillId="6" borderId="33" xfId="8" applyNumberFormat="1" applyAlignment="1">
      <alignment horizontal="right" vertical="center"/>
      <protection locked="0"/>
    </xf>
    <xf numFmtId="168" fontId="30" fillId="6" borderId="33" xfId="8" applyNumberFormat="1" applyAlignment="1">
      <alignment horizontal="right" vertical="center"/>
      <protection locked="0"/>
    </xf>
    <xf numFmtId="0" fontId="1" fillId="0" borderId="37" xfId="4" applyFont="1" applyBorder="1" applyAlignment="1">
      <alignment vertical="center"/>
    </xf>
    <xf numFmtId="0" fontId="3" fillId="0" borderId="106" xfId="4" applyBorder="1" applyAlignment="1">
      <alignment vertical="center"/>
    </xf>
    <xf numFmtId="0" fontId="7" fillId="0" borderId="104" xfId="0" applyFont="1" applyBorder="1" applyAlignment="1">
      <alignment vertical="center"/>
    </xf>
    <xf numFmtId="0" fontId="8" fillId="0" borderId="24" xfId="0" applyFont="1" applyBorder="1" applyAlignment="1">
      <alignment horizontal="left" vertical="center"/>
    </xf>
    <xf numFmtId="170" fontId="29" fillId="7" borderId="56" xfId="14" applyNumberFormat="1" applyAlignment="1" applyProtection="1">
      <alignment horizontal="right" vertical="center"/>
      <protection locked="0"/>
    </xf>
    <xf numFmtId="0" fontId="1" fillId="0" borderId="106" xfId="4" applyFont="1" applyBorder="1" applyAlignment="1">
      <alignment vertical="center"/>
    </xf>
    <xf numFmtId="43" fontId="30" fillId="6" borderId="33" xfId="8" applyNumberFormat="1" applyAlignment="1">
      <alignment horizontal="left" vertical="center"/>
      <protection locked="0"/>
    </xf>
    <xf numFmtId="1" fontId="1" fillId="0" borderId="0" xfId="0" applyNumberFormat="1" applyFont="1"/>
    <xf numFmtId="0" fontId="30" fillId="0" borderId="0" xfId="8" applyFill="1" applyBorder="1" applyAlignment="1">
      <alignment horizontal="right" vertical="center"/>
      <protection locked="0"/>
    </xf>
    <xf numFmtId="1" fontId="30" fillId="0" borderId="0" xfId="8" applyNumberFormat="1" applyFill="1" applyBorder="1" applyAlignment="1">
      <alignment horizontal="right" vertical="center"/>
      <protection locked="0"/>
    </xf>
    <xf numFmtId="172" fontId="29" fillId="0" borderId="0" xfId="14" applyNumberFormat="1" applyFill="1" applyBorder="1" applyAlignment="1">
      <alignment horizontal="left" vertical="center"/>
    </xf>
    <xf numFmtId="172" fontId="30" fillId="6" borderId="71" xfId="8" applyNumberFormat="1" applyBorder="1" applyAlignment="1">
      <alignment vertical="center"/>
      <protection locked="0"/>
    </xf>
    <xf numFmtId="0" fontId="1" fillId="0" borderId="40" xfId="0" applyFont="1" applyBorder="1"/>
    <xf numFmtId="0" fontId="27" fillId="19" borderId="10" xfId="0" applyFont="1" applyFill="1" applyBorder="1" applyAlignment="1">
      <alignment vertical="center"/>
    </xf>
    <xf numFmtId="1" fontId="1" fillId="0" borderId="0" xfId="0" applyNumberFormat="1" applyFont="1" applyAlignment="1">
      <alignment vertical="center"/>
    </xf>
    <xf numFmtId="166" fontId="7" fillId="5" borderId="27" xfId="1" applyNumberFormat="1" applyFont="1" applyFill="1" applyBorder="1" applyAlignment="1">
      <alignment horizontal="center" vertical="center"/>
    </xf>
    <xf numFmtId="0" fontId="5" fillId="2" borderId="32" xfId="0" applyFont="1" applyFill="1" applyBorder="1"/>
    <xf numFmtId="0" fontId="6" fillId="15" borderId="76" xfId="0" applyFont="1" applyFill="1" applyBorder="1" applyAlignment="1">
      <alignment horizontal="center" vertical="center"/>
    </xf>
    <xf numFmtId="0" fontId="6" fillId="15" borderId="108" xfId="0" applyFont="1" applyFill="1" applyBorder="1" applyAlignment="1">
      <alignment horizontal="center" vertical="center"/>
    </xf>
    <xf numFmtId="0" fontId="6" fillId="15" borderId="34" xfId="0" applyFont="1" applyFill="1" applyBorder="1" applyAlignment="1">
      <alignment horizontal="center"/>
    </xf>
    <xf numFmtId="0" fontId="7" fillId="0" borderId="26" xfId="0" applyFont="1" applyBorder="1"/>
    <xf numFmtId="166" fontId="7" fillId="0" borderId="109" xfId="1" applyNumberFormat="1" applyFont="1" applyBorder="1"/>
    <xf numFmtId="0" fontId="7" fillId="0" borderId="52" xfId="0" applyFont="1" applyBorder="1"/>
    <xf numFmtId="166" fontId="7" fillId="0" borderId="110" xfId="1" applyNumberFormat="1" applyFont="1" applyBorder="1"/>
    <xf numFmtId="0" fontId="7" fillId="0" borderId="29" xfId="0" applyFont="1" applyBorder="1"/>
    <xf numFmtId="166" fontId="7" fillId="5" borderId="30" xfId="1" applyNumberFormat="1" applyFont="1" applyFill="1" applyBorder="1" applyAlignment="1">
      <alignment horizontal="center" vertical="center"/>
    </xf>
    <xf numFmtId="166" fontId="7" fillId="5" borderId="111" xfId="1" applyNumberFormat="1" applyFont="1" applyFill="1" applyBorder="1"/>
    <xf numFmtId="1" fontId="7" fillId="5" borderId="27" xfId="1" applyNumberFormat="1" applyFont="1" applyFill="1" applyBorder="1"/>
    <xf numFmtId="0" fontId="6" fillId="15" borderId="76" xfId="0" applyFont="1" applyFill="1" applyBorder="1" applyAlignment="1">
      <alignment horizontal="left"/>
    </xf>
    <xf numFmtId="0" fontId="6" fillId="15" borderId="108" xfId="0" applyFont="1" applyFill="1" applyBorder="1" applyAlignment="1">
      <alignment horizontal="center"/>
    </xf>
    <xf numFmtId="0" fontId="7" fillId="0" borderId="28" xfId="0" applyFont="1" applyBorder="1"/>
    <xf numFmtId="1" fontId="7" fillId="5" borderId="30" xfId="1" applyNumberFormat="1" applyFont="1" applyFill="1" applyBorder="1"/>
    <xf numFmtId="166" fontId="7" fillId="5" borderId="31" xfId="1" applyNumberFormat="1" applyFont="1" applyFill="1" applyBorder="1"/>
    <xf numFmtId="0" fontId="7" fillId="0" borderId="109" xfId="0" applyFont="1" applyBorder="1"/>
    <xf numFmtId="0" fontId="7" fillId="0" borderId="110" xfId="0" applyFont="1" applyBorder="1"/>
    <xf numFmtId="174" fontId="1" fillId="0" borderId="27" xfId="1" applyNumberFormat="1" applyFont="1" applyFill="1" applyBorder="1" applyAlignment="1">
      <alignment vertical="center"/>
    </xf>
    <xf numFmtId="174" fontId="0" fillId="0" borderId="27" xfId="1" applyNumberFormat="1" applyFont="1" applyFill="1" applyBorder="1" applyAlignment="1">
      <alignment horizontal="center" vertical="center"/>
    </xf>
    <xf numFmtId="168" fontId="29" fillId="7" borderId="70" xfId="14" applyNumberFormat="1" applyBorder="1" applyAlignment="1">
      <alignment vertical="center"/>
    </xf>
    <xf numFmtId="167" fontId="1" fillId="5" borderId="74" xfId="1" applyNumberFormat="1" applyFont="1" applyFill="1" applyBorder="1" applyAlignment="1">
      <alignment horizontal="center" vertical="center"/>
    </xf>
    <xf numFmtId="168" fontId="29" fillId="7" borderId="27" xfId="14" applyNumberFormat="1" applyBorder="1" applyAlignment="1">
      <alignment vertical="center"/>
    </xf>
    <xf numFmtId="0" fontId="1" fillId="5" borderId="30" xfId="0" applyFont="1" applyFill="1" applyBorder="1" applyAlignment="1">
      <alignment vertical="center" wrapText="1"/>
    </xf>
    <xf numFmtId="167" fontId="1" fillId="5" borderId="31" xfId="1" quotePrefix="1" applyNumberFormat="1" applyFont="1" applyFill="1" applyBorder="1" applyAlignment="1">
      <alignment horizontal="center" vertical="center"/>
    </xf>
    <xf numFmtId="167" fontId="1" fillId="5" borderId="28" xfId="1" applyNumberFormat="1" applyFont="1" applyFill="1" applyBorder="1" applyAlignment="1">
      <alignment horizontal="center" vertical="center"/>
    </xf>
    <xf numFmtId="1" fontId="30" fillId="6" borderId="30" xfId="8" applyNumberFormat="1" applyBorder="1" applyAlignment="1">
      <alignment vertical="center"/>
      <protection locked="0"/>
    </xf>
    <xf numFmtId="9" fontId="1" fillId="5" borderId="40" xfId="3" applyFont="1" applyFill="1" applyBorder="1" applyAlignment="1">
      <alignment vertical="center"/>
    </xf>
    <xf numFmtId="0" fontId="26" fillId="5" borderId="74" xfId="0" applyFont="1" applyFill="1" applyBorder="1" applyAlignment="1">
      <alignment horizontal="center" vertical="center"/>
    </xf>
    <xf numFmtId="168" fontId="1" fillId="0" borderId="0" xfId="0" applyNumberFormat="1" applyFont="1"/>
    <xf numFmtId="0" fontId="32" fillId="0" borderId="0" xfId="8" applyFont="1" applyFill="1" applyBorder="1" applyAlignment="1">
      <alignment horizontal="right" vertical="center"/>
      <protection locked="0"/>
    </xf>
    <xf numFmtId="0" fontId="1" fillId="0" borderId="0" xfId="0" applyFont="1" applyAlignment="1">
      <alignment horizontal="right" vertical="center" wrapText="1"/>
    </xf>
    <xf numFmtId="0" fontId="30" fillId="6" borderId="114" xfId="8" applyBorder="1" applyAlignment="1">
      <alignment vertical="center"/>
      <protection locked="0"/>
    </xf>
    <xf numFmtId="166" fontId="30" fillId="6" borderId="72" xfId="8" applyNumberFormat="1" applyBorder="1" applyAlignment="1">
      <alignment vertical="center"/>
      <protection locked="0"/>
    </xf>
    <xf numFmtId="166" fontId="19" fillId="7" borderId="102" xfId="1" applyNumberFormat="1" applyFont="1" applyFill="1" applyBorder="1" applyAlignment="1" applyProtection="1">
      <alignment vertical="center"/>
      <protection locked="0"/>
    </xf>
    <xf numFmtId="0" fontId="30" fillId="6" borderId="99" xfId="8" applyBorder="1" applyAlignment="1">
      <alignment vertical="center"/>
      <protection locked="0"/>
    </xf>
    <xf numFmtId="0" fontId="7" fillId="0" borderId="40" xfId="0" applyFont="1" applyBorder="1" applyAlignment="1">
      <alignment horizontal="center" vertical="top" wrapText="1"/>
    </xf>
    <xf numFmtId="167" fontId="1" fillId="5" borderId="27" xfId="1" applyNumberFormat="1" applyFont="1" applyFill="1" applyBorder="1" applyAlignment="1">
      <alignment horizontal="center" vertical="center"/>
    </xf>
    <xf numFmtId="167" fontId="1" fillId="5" borderId="27" xfId="1" quotePrefix="1" applyNumberFormat="1" applyFont="1" applyFill="1" applyBorder="1" applyAlignment="1">
      <alignment horizontal="center" vertical="center"/>
    </xf>
    <xf numFmtId="166" fontId="7" fillId="0" borderId="0" xfId="1" applyNumberFormat="1" applyFont="1" applyBorder="1" applyAlignment="1">
      <alignment horizontal="center" vertical="center"/>
    </xf>
    <xf numFmtId="166" fontId="7" fillId="0" borderId="0" xfId="1" applyNumberFormat="1" applyFont="1" applyFill="1" applyBorder="1" applyAlignment="1">
      <alignment horizontal="center" vertical="center"/>
    </xf>
    <xf numFmtId="2" fontId="1" fillId="0" borderId="0" xfId="0" applyNumberFormat="1" applyFont="1" applyAlignment="1">
      <alignment vertical="center"/>
    </xf>
    <xf numFmtId="1" fontId="30" fillId="0" borderId="0" xfId="8" applyNumberFormat="1" applyFill="1" applyBorder="1" applyAlignment="1">
      <alignment vertical="center"/>
      <protection locked="0"/>
    </xf>
    <xf numFmtId="167" fontId="1" fillId="0" borderId="0" xfId="1" quotePrefix="1" applyNumberFormat="1" applyFont="1" applyFill="1" applyBorder="1" applyAlignment="1">
      <alignment horizontal="center" vertical="center"/>
    </xf>
    <xf numFmtId="2" fontId="29" fillId="7" borderId="56" xfId="14" applyNumberFormat="1"/>
    <xf numFmtId="2" fontId="29" fillId="7" borderId="102" xfId="14" applyNumberFormat="1" applyBorder="1"/>
    <xf numFmtId="170" fontId="29" fillId="7" borderId="56" xfId="14" applyNumberFormat="1"/>
    <xf numFmtId="170" fontId="29" fillId="7" borderId="102" xfId="14" applyNumberFormat="1" applyBorder="1"/>
    <xf numFmtId="0" fontId="12" fillId="0" borderId="27" xfId="6" applyBorder="1" applyAlignment="1">
      <alignment horizontal="center" vertical="center" wrapText="1"/>
    </xf>
    <xf numFmtId="2" fontId="30" fillId="0" borderId="0" xfId="8" applyNumberFormat="1" applyFill="1" applyBorder="1" applyAlignment="1">
      <alignment vertical="center"/>
      <protection locked="0"/>
    </xf>
    <xf numFmtId="166" fontId="33" fillId="6" borderId="33" xfId="1" applyNumberFormat="1" applyFont="1" applyFill="1" applyBorder="1" applyAlignment="1" applyProtection="1">
      <alignment vertical="center"/>
      <protection locked="0"/>
    </xf>
    <xf numFmtId="166" fontId="29" fillId="7" borderId="102" xfId="14" applyNumberFormat="1" applyBorder="1" applyAlignment="1">
      <alignment vertical="center"/>
    </xf>
    <xf numFmtId="2" fontId="30" fillId="6" borderId="24" xfId="8" applyNumberFormat="1" applyBorder="1" applyAlignment="1">
      <alignment vertical="center"/>
      <protection locked="0"/>
    </xf>
    <xf numFmtId="2" fontId="29" fillId="7" borderId="70" xfId="14" applyNumberFormat="1" applyBorder="1" applyAlignment="1" applyProtection="1">
      <alignment vertical="center"/>
      <protection locked="0"/>
    </xf>
    <xf numFmtId="2" fontId="29" fillId="7" borderId="96" xfId="14" applyNumberFormat="1" applyBorder="1" applyAlignment="1" applyProtection="1">
      <alignment vertical="center"/>
      <protection locked="0"/>
    </xf>
    <xf numFmtId="1" fontId="29" fillId="7" borderId="27" xfId="14" applyNumberFormat="1" applyBorder="1" applyAlignment="1" applyProtection="1">
      <alignment vertical="center"/>
      <protection locked="0"/>
    </xf>
    <xf numFmtId="175" fontId="29" fillId="7" borderId="27" xfId="14" applyNumberFormat="1" applyBorder="1" applyAlignment="1" applyProtection="1">
      <alignment vertical="center"/>
      <protection locked="0"/>
    </xf>
    <xf numFmtId="0" fontId="12" fillId="0" borderId="40" xfId="6" applyBorder="1" applyAlignment="1">
      <alignment horizontal="center" vertical="center" wrapText="1"/>
    </xf>
    <xf numFmtId="168" fontId="1" fillId="0" borderId="0" xfId="0" applyNumberFormat="1" applyFont="1" applyAlignment="1">
      <alignment horizontal="right"/>
    </xf>
    <xf numFmtId="0" fontId="1" fillId="0" borderId="40" xfId="0" applyFont="1" applyBorder="1" applyAlignment="1">
      <alignment horizontal="left" vertical="center" wrapText="1"/>
    </xf>
    <xf numFmtId="168" fontId="29" fillId="7" borderId="40" xfId="10" applyNumberFormat="1" applyFont="1" applyBorder="1" applyAlignment="1">
      <alignment vertical="center"/>
    </xf>
    <xf numFmtId="0" fontId="1" fillId="5" borderId="42" xfId="0" applyFont="1" applyFill="1" applyBorder="1" applyAlignment="1">
      <alignment vertical="center" wrapText="1"/>
    </xf>
    <xf numFmtId="167" fontId="1" fillId="5" borderId="74" xfId="1" applyNumberFormat="1" applyFont="1" applyFill="1" applyBorder="1" applyAlignment="1">
      <alignment vertical="center"/>
    </xf>
    <xf numFmtId="169" fontId="30" fillId="6" borderId="33" xfId="8" applyNumberFormat="1" applyAlignment="1">
      <alignment horizontal="right" vertical="center"/>
      <protection locked="0"/>
    </xf>
    <xf numFmtId="0" fontId="27" fillId="0" borderId="0" xfId="0" applyFont="1" applyAlignment="1">
      <alignment vertical="center"/>
    </xf>
    <xf numFmtId="0" fontId="1" fillId="0" borderId="36" xfId="0" applyFont="1" applyBorder="1" applyAlignment="1">
      <alignment horizontal="center" vertical="center" wrapText="1"/>
    </xf>
    <xf numFmtId="0" fontId="1" fillId="0" borderId="0" xfId="0" applyFont="1" applyAlignment="1">
      <alignment horizontal="right"/>
    </xf>
    <xf numFmtId="172" fontId="30" fillId="6" borderId="33" xfId="8" applyNumberFormat="1" applyAlignment="1">
      <alignment horizontal="right" vertical="center"/>
      <protection locked="0"/>
    </xf>
    <xf numFmtId="0" fontId="27" fillId="0" borderId="0" xfId="0" applyFont="1" applyAlignment="1">
      <alignment horizontal="center"/>
    </xf>
    <xf numFmtId="0" fontId="6" fillId="15" borderId="77" xfId="0" applyFont="1" applyFill="1" applyBorder="1" applyAlignment="1">
      <alignment horizontal="center" vertical="center"/>
    </xf>
    <xf numFmtId="0" fontId="6" fillId="15" borderId="77" xfId="0" applyFont="1" applyFill="1" applyBorder="1" applyAlignment="1">
      <alignment horizontal="left"/>
    </xf>
    <xf numFmtId="166" fontId="7" fillId="0" borderId="36" xfId="1" applyNumberFormat="1" applyFont="1" applyBorder="1"/>
    <xf numFmtId="166" fontId="7" fillId="0" borderId="36" xfId="1" applyNumberFormat="1" applyFont="1" applyFill="1" applyBorder="1"/>
    <xf numFmtId="3" fontId="1" fillId="25" borderId="27" xfId="13" applyNumberFormat="1" applyFont="1" applyFill="1" applyBorder="1" applyAlignment="1">
      <alignment horizontal="right" vertical="center"/>
    </xf>
    <xf numFmtId="9" fontId="1" fillId="0" borderId="27" xfId="0" applyNumberFormat="1" applyFont="1" applyBorder="1" applyAlignment="1">
      <alignment horizontal="center" vertical="center" wrapText="1"/>
    </xf>
    <xf numFmtId="9" fontId="0" fillId="0" borderId="27" xfId="0" applyNumberFormat="1" applyBorder="1" applyAlignment="1">
      <alignment horizontal="center" vertical="center" wrapText="1"/>
    </xf>
    <xf numFmtId="2" fontId="1" fillId="0" borderId="0" xfId="0" applyNumberFormat="1" applyFont="1" applyAlignment="1">
      <alignment horizontal="right" vertical="center"/>
    </xf>
    <xf numFmtId="1" fontId="30" fillId="6" borderId="113" xfId="8" applyNumberFormat="1" applyBorder="1" applyAlignment="1">
      <alignment vertical="center"/>
      <protection locked="0"/>
    </xf>
    <xf numFmtId="166" fontId="22" fillId="7" borderId="27" xfId="1" applyNumberFormat="1" applyFont="1" applyFill="1" applyBorder="1" applyAlignment="1" applyProtection="1">
      <alignment vertical="center"/>
      <protection locked="0"/>
    </xf>
    <xf numFmtId="166" fontId="33" fillId="6" borderId="27" xfId="1" applyNumberFormat="1" applyFont="1" applyFill="1" applyBorder="1" applyAlignment="1" applyProtection="1">
      <alignment vertical="center"/>
      <protection locked="0"/>
    </xf>
    <xf numFmtId="168" fontId="30" fillId="6" borderId="27" xfId="8" applyNumberFormat="1" applyBorder="1" applyAlignment="1">
      <alignment horizontal="center" vertical="center"/>
      <protection locked="0"/>
    </xf>
    <xf numFmtId="172" fontId="30" fillId="6" borderId="27" xfId="8" applyNumberFormat="1" applyBorder="1" applyAlignment="1">
      <alignment horizontal="center" vertical="center"/>
      <protection locked="0"/>
    </xf>
    <xf numFmtId="166" fontId="30" fillId="6" borderId="27" xfId="8" applyNumberFormat="1" applyBorder="1" applyAlignment="1">
      <alignment horizontal="center" vertical="center"/>
      <protection locked="0"/>
    </xf>
    <xf numFmtId="0" fontId="25" fillId="5" borderId="27" xfId="0" applyFont="1" applyFill="1" applyBorder="1" applyAlignment="1">
      <alignment vertical="center"/>
    </xf>
    <xf numFmtId="0" fontId="1" fillId="5" borderId="27" xfId="0" applyFont="1" applyFill="1" applyBorder="1" applyAlignment="1">
      <alignment horizontal="center" vertical="center"/>
    </xf>
    <xf numFmtId="0" fontId="26" fillId="5" borderId="27" xfId="0" applyFont="1" applyFill="1" applyBorder="1" applyAlignment="1">
      <alignment horizontal="center" vertical="center"/>
    </xf>
    <xf numFmtId="0" fontId="25" fillId="19" borderId="27" xfId="0" applyFont="1" applyFill="1" applyBorder="1"/>
    <xf numFmtId="0" fontId="27" fillId="2" borderId="32" xfId="0" applyFont="1" applyFill="1" applyBorder="1"/>
    <xf numFmtId="0" fontId="27" fillId="2" borderId="76" xfId="0" applyFont="1" applyFill="1" applyBorder="1"/>
    <xf numFmtId="0" fontId="27" fillId="2" borderId="76" xfId="0" applyFont="1" applyFill="1" applyBorder="1" applyAlignment="1">
      <alignment horizontal="center"/>
    </xf>
    <xf numFmtId="0" fontId="27" fillId="2" borderId="34" xfId="0" applyFont="1" applyFill="1" applyBorder="1"/>
    <xf numFmtId="0" fontId="27" fillId="19" borderId="26" xfId="0" applyFont="1" applyFill="1" applyBorder="1"/>
    <xf numFmtId="0" fontId="25" fillId="19" borderId="28" xfId="0" applyFont="1" applyFill="1" applyBorder="1"/>
    <xf numFmtId="176" fontId="1" fillId="0" borderId="0" xfId="0" applyNumberFormat="1" applyFont="1"/>
    <xf numFmtId="0" fontId="11" fillId="5" borderId="10" xfId="4" applyFont="1" applyFill="1" applyBorder="1" applyAlignment="1">
      <alignment horizontal="left" vertical="center" wrapText="1"/>
    </xf>
    <xf numFmtId="0" fontId="11" fillId="5" borderId="11" xfId="4" applyFont="1" applyFill="1" applyBorder="1" applyAlignment="1">
      <alignment horizontal="left" vertical="center" wrapText="1"/>
    </xf>
    <xf numFmtId="0" fontId="8" fillId="0" borderId="10" xfId="4" applyFont="1" applyBorder="1" applyAlignment="1">
      <alignment horizontal="left" vertical="center"/>
    </xf>
    <xf numFmtId="0" fontId="8" fillId="0" borderId="11" xfId="4" applyFont="1" applyBorder="1" applyAlignment="1">
      <alignment horizontal="left" vertical="center"/>
    </xf>
    <xf numFmtId="0" fontId="7" fillId="5" borderId="14" xfId="4" applyFont="1" applyFill="1" applyBorder="1" applyAlignment="1">
      <alignment vertical="center" wrapText="1"/>
    </xf>
    <xf numFmtId="0" fontId="7" fillId="5" borderId="15" xfId="4" applyFont="1" applyFill="1" applyBorder="1" applyAlignment="1">
      <alignment vertical="center" wrapText="1"/>
    </xf>
    <xf numFmtId="0" fontId="7" fillId="5" borderId="10" xfId="4" applyFont="1" applyFill="1" applyBorder="1" applyAlignment="1">
      <alignment horizontal="left" vertical="center" wrapText="1"/>
    </xf>
    <xf numFmtId="0" fontId="7" fillId="5" borderId="11" xfId="4" applyFont="1" applyFill="1" applyBorder="1" applyAlignment="1">
      <alignment horizontal="left" vertical="center" wrapText="1"/>
    </xf>
    <xf numFmtId="0" fontId="7" fillId="0" borderId="12" xfId="4" applyFont="1" applyBorder="1" applyAlignment="1">
      <alignment horizontal="left" vertical="center" wrapText="1"/>
    </xf>
    <xf numFmtId="0" fontId="7" fillId="0" borderId="13" xfId="4" applyFont="1" applyBorder="1" applyAlignment="1">
      <alignment horizontal="left" vertical="center" wrapText="1"/>
    </xf>
    <xf numFmtId="0" fontId="11" fillId="5" borderId="14" xfId="4" applyFont="1" applyFill="1" applyBorder="1" applyAlignment="1">
      <alignment horizontal="left" vertical="center"/>
    </xf>
    <xf numFmtId="0" fontId="11" fillId="5" borderId="15" xfId="4" applyFont="1" applyFill="1" applyBorder="1" applyAlignment="1">
      <alignment horizontal="left" vertical="center"/>
    </xf>
    <xf numFmtId="0" fontId="11" fillId="5" borderId="16" xfId="4" applyFont="1" applyFill="1" applyBorder="1" applyAlignment="1">
      <alignment horizontal="left" vertical="center" wrapText="1"/>
    </xf>
    <xf numFmtId="0" fontId="11" fillId="5" borderId="17" xfId="4" applyFont="1" applyFill="1" applyBorder="1" applyAlignment="1">
      <alignment horizontal="left" vertical="center" wrapText="1"/>
    </xf>
    <xf numFmtId="0" fontId="5" fillId="4" borderId="8" xfId="4" applyFont="1" applyFill="1" applyBorder="1" applyAlignment="1">
      <alignment horizontal="left" vertical="center"/>
    </xf>
    <xf numFmtId="0" fontId="5" fillId="4" borderId="9" xfId="4" applyFont="1" applyFill="1" applyBorder="1" applyAlignment="1">
      <alignment horizontal="left" vertical="center"/>
    </xf>
    <xf numFmtId="0" fontId="5" fillId="2" borderId="1" xfId="4" applyFont="1" applyFill="1" applyBorder="1" applyAlignment="1">
      <alignment horizontal="left" vertical="center"/>
    </xf>
    <xf numFmtId="0" fontId="5" fillId="2" borderId="2" xfId="4" applyFont="1" applyFill="1" applyBorder="1" applyAlignment="1">
      <alignment horizontal="left" vertical="center"/>
    </xf>
    <xf numFmtId="0" fontId="8" fillId="0" borderId="88" xfId="4" applyFont="1" applyBorder="1" applyAlignment="1">
      <alignment horizontal="left" vertical="center" wrapText="1"/>
    </xf>
    <xf numFmtId="0" fontId="8" fillId="0" borderId="90" xfId="4" applyFont="1" applyBorder="1" applyAlignment="1">
      <alignment horizontal="left" vertical="center" wrapText="1"/>
    </xf>
    <xf numFmtId="0" fontId="8" fillId="0" borderId="91" xfId="4" applyFont="1" applyBorder="1" applyAlignment="1">
      <alignment horizontal="left" vertical="center" wrapText="1"/>
    </xf>
    <xf numFmtId="0" fontId="8" fillId="0" borderId="88" xfId="4" applyFont="1" applyBorder="1" applyAlignment="1">
      <alignment horizontal="left" vertical="center"/>
    </xf>
    <xf numFmtId="0" fontId="8" fillId="0" borderId="90" xfId="4" applyFont="1" applyBorder="1" applyAlignment="1">
      <alignment horizontal="left" vertical="center"/>
    </xf>
    <xf numFmtId="0" fontId="8" fillId="0" borderId="92" xfId="4" applyFont="1" applyBorder="1" applyAlignment="1">
      <alignment horizontal="left" vertical="center"/>
    </xf>
    <xf numFmtId="0" fontId="5" fillId="3" borderId="3" xfId="4" applyFont="1" applyFill="1" applyBorder="1" applyAlignment="1">
      <alignment horizontal="left" vertical="center"/>
    </xf>
    <xf numFmtId="0" fontId="5" fillId="3" borderId="4" xfId="4" applyFont="1" applyFill="1" applyBorder="1" applyAlignment="1">
      <alignment horizontal="left" vertical="center"/>
    </xf>
    <xf numFmtId="0" fontId="14" fillId="2" borderId="8" xfId="7" applyFont="1" applyFill="1" applyBorder="1" applyAlignment="1">
      <alignment vertical="center"/>
    </xf>
    <xf numFmtId="0" fontId="14" fillId="2" borderId="21" xfId="7" applyFont="1" applyFill="1" applyBorder="1" applyAlignment="1">
      <alignment vertical="center"/>
    </xf>
    <xf numFmtId="0" fontId="14" fillId="2" borderId="9" xfId="7" applyFont="1" applyFill="1" applyBorder="1" applyAlignment="1">
      <alignment vertical="center"/>
    </xf>
    <xf numFmtId="0" fontId="16" fillId="14" borderId="10" xfId="7" applyFont="1" applyFill="1" applyBorder="1" applyAlignment="1">
      <alignment vertical="center"/>
    </xf>
    <xf numFmtId="0" fontId="16" fillId="14" borderId="35" xfId="7" applyFont="1" applyFill="1" applyBorder="1" applyAlignment="1">
      <alignment vertical="center"/>
    </xf>
    <xf numFmtId="0" fontId="16" fillId="14" borderId="11" xfId="7" applyFont="1" applyFill="1" applyBorder="1" applyAlignment="1">
      <alignment vertical="center"/>
    </xf>
    <xf numFmtId="0" fontId="1" fillId="0" borderId="42" xfId="0" applyFont="1" applyBorder="1" applyAlignment="1">
      <alignment horizontal="left" vertical="center" wrapText="1"/>
    </xf>
    <xf numFmtId="0" fontId="1" fillId="0" borderId="50"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center" vertical="center" wrapText="1"/>
    </xf>
    <xf numFmtId="0" fontId="25" fillId="0" borderId="54" xfId="0" applyFont="1" applyBorder="1" applyAlignment="1">
      <alignment horizontal="center" vertical="center"/>
    </xf>
    <xf numFmtId="0" fontId="25" fillId="0" borderId="24" xfId="0" applyFont="1" applyBorder="1" applyAlignment="1">
      <alignment horizontal="center" vertical="center"/>
    </xf>
    <xf numFmtId="0" fontId="1" fillId="0" borderId="27" xfId="4" applyFont="1" applyBorder="1" applyAlignment="1">
      <alignment horizontal="left" vertical="center"/>
    </xf>
    <xf numFmtId="0" fontId="1" fillId="0" borderId="42" xfId="0" applyFont="1" applyBorder="1" applyAlignment="1">
      <alignment horizontal="left" vertical="center"/>
    </xf>
    <xf numFmtId="0" fontId="1" fillId="0" borderId="50" xfId="0" applyFont="1" applyBorder="1" applyAlignment="1">
      <alignment horizontal="left" vertical="center"/>
    </xf>
    <xf numFmtId="0" fontId="1" fillId="0" borderId="39" xfId="0" applyFont="1" applyBorder="1" applyAlignment="1">
      <alignment horizontal="left" vertical="center"/>
    </xf>
    <xf numFmtId="0" fontId="1" fillId="0" borderId="54" xfId="0" applyFont="1" applyBorder="1" applyAlignment="1">
      <alignment horizontal="center" vertical="center"/>
    </xf>
    <xf numFmtId="0" fontId="1" fillId="0" borderId="24" xfId="0" applyFont="1" applyBorder="1" applyAlignment="1">
      <alignment horizontal="center" vertical="center"/>
    </xf>
    <xf numFmtId="0" fontId="1" fillId="0" borderId="24"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55" xfId="0" applyFont="1" applyBorder="1" applyAlignment="1">
      <alignment horizontal="left" vertical="center"/>
    </xf>
    <xf numFmtId="0" fontId="1" fillId="0" borderId="0" xfId="0" applyFont="1" applyAlignment="1">
      <alignment horizontal="left" vertical="center"/>
    </xf>
    <xf numFmtId="0" fontId="1" fillId="0" borderId="61" xfId="0" applyFont="1" applyBorder="1" applyAlignment="1">
      <alignment horizontal="left" vertical="center"/>
    </xf>
    <xf numFmtId="0" fontId="1" fillId="0" borderId="40" xfId="0" applyFont="1" applyBorder="1" applyAlignment="1">
      <alignment horizontal="left" vertical="center"/>
    </xf>
    <xf numFmtId="0" fontId="1" fillId="0" borderId="24" xfId="0" applyFont="1" applyBorder="1" applyAlignment="1">
      <alignment horizontal="left" vertical="center"/>
    </xf>
    <xf numFmtId="0" fontId="27" fillId="19" borderId="27" xfId="0" applyFont="1" applyFill="1" applyBorder="1" applyAlignment="1">
      <alignment horizontal="center" vertical="center"/>
    </xf>
    <xf numFmtId="0" fontId="1" fillId="0" borderId="27" xfId="0" applyFont="1" applyBorder="1" applyAlignment="1">
      <alignment horizontal="left" vertical="center"/>
    </xf>
    <xf numFmtId="0" fontId="1" fillId="0" borderId="27" xfId="0" applyFont="1" applyBorder="1" applyAlignment="1">
      <alignment horizontal="center" vertical="center" wrapText="1"/>
    </xf>
    <xf numFmtId="0" fontId="1" fillId="0" borderId="27" xfId="0" applyFont="1" applyBorder="1" applyAlignment="1">
      <alignment horizontal="left" vertical="center" wrapText="1"/>
    </xf>
    <xf numFmtId="0" fontId="32" fillId="0" borderId="40" xfId="0" applyFont="1" applyBorder="1" applyAlignment="1">
      <alignment horizontal="center" vertical="center" wrapText="1"/>
    </xf>
    <xf numFmtId="0" fontId="32" fillId="0" borderId="54" xfId="0" applyFont="1" applyBorder="1" applyAlignment="1">
      <alignment horizontal="center" vertical="center"/>
    </xf>
    <xf numFmtId="0" fontId="32" fillId="0" borderId="24" xfId="0" applyFont="1" applyBorder="1" applyAlignment="1">
      <alignment horizontal="center" vertical="center"/>
    </xf>
    <xf numFmtId="0" fontId="27" fillId="19" borderId="39" xfId="0" applyFont="1" applyFill="1" applyBorder="1" applyAlignment="1">
      <alignment horizontal="center" vertical="center"/>
    </xf>
    <xf numFmtId="0" fontId="27" fillId="19" borderId="61" xfId="0" applyFont="1" applyFill="1" applyBorder="1" applyAlignment="1">
      <alignment horizontal="center" vertical="center"/>
    </xf>
    <xf numFmtId="0" fontId="1" fillId="0" borderId="40" xfId="0" applyFont="1" applyBorder="1" applyAlignment="1">
      <alignment horizontal="center" vertical="top" wrapText="1"/>
    </xf>
    <xf numFmtId="0" fontId="1" fillId="0" borderId="54" xfId="0" applyFont="1" applyBorder="1" applyAlignment="1">
      <alignment horizontal="center" vertical="top" wrapText="1"/>
    </xf>
    <xf numFmtId="0" fontId="1" fillId="0" borderId="24" xfId="0" applyFont="1" applyBorder="1" applyAlignment="1">
      <alignment horizontal="center" vertical="top" wrapText="1"/>
    </xf>
    <xf numFmtId="0" fontId="1" fillId="0" borderId="79" xfId="0" applyFont="1" applyBorder="1" applyAlignment="1">
      <alignment horizontal="left" vertical="center"/>
    </xf>
    <xf numFmtId="0" fontId="1" fillId="0" borderId="82" xfId="0" applyFont="1" applyBorder="1" applyAlignment="1">
      <alignment horizontal="left" vertical="center"/>
    </xf>
    <xf numFmtId="0" fontId="1" fillId="0" borderId="83" xfId="0" applyFont="1" applyBorder="1" applyAlignment="1">
      <alignment horizontal="left" vertical="center"/>
    </xf>
    <xf numFmtId="0" fontId="27" fillId="24" borderId="61" xfId="0" applyFont="1" applyFill="1" applyBorder="1" applyAlignment="1">
      <alignment horizontal="center"/>
    </xf>
    <xf numFmtId="0" fontId="1" fillId="0" borderId="40" xfId="0" applyFont="1" applyBorder="1" applyAlignment="1">
      <alignment horizontal="left" vertical="center" wrapText="1"/>
    </xf>
    <xf numFmtId="0" fontId="1" fillId="0" borderId="24" xfId="0" applyFont="1" applyBorder="1" applyAlignment="1">
      <alignment horizontal="left" vertical="center" wrapText="1"/>
    </xf>
    <xf numFmtId="0" fontId="1" fillId="0" borderId="52" xfId="0" applyFont="1" applyBorder="1" applyAlignment="1">
      <alignment horizontal="left" vertical="center"/>
    </xf>
    <xf numFmtId="0" fontId="1" fillId="0" borderId="23" xfId="0" applyFont="1" applyBorder="1" applyAlignment="1">
      <alignment horizontal="left" vertical="center"/>
    </xf>
    <xf numFmtId="0" fontId="1" fillId="5" borderId="40" xfId="0" applyFont="1" applyFill="1" applyBorder="1" applyAlignment="1">
      <alignment horizontal="left" vertical="center"/>
    </xf>
    <xf numFmtId="0" fontId="1" fillId="5" borderId="24" xfId="0" applyFont="1" applyFill="1" applyBorder="1" applyAlignment="1">
      <alignment horizontal="left" vertical="center"/>
    </xf>
    <xf numFmtId="0" fontId="0" fillId="0" borderId="42" xfId="0" applyBorder="1" applyAlignment="1">
      <alignment horizontal="center" vertical="center" wrapText="1"/>
    </xf>
    <xf numFmtId="0" fontId="0" fillId="0" borderId="55" xfId="0" applyBorder="1" applyAlignment="1">
      <alignment horizontal="center" vertical="center" wrapText="1"/>
    </xf>
    <xf numFmtId="0" fontId="0" fillId="0" borderId="94" xfId="0" applyBorder="1" applyAlignment="1">
      <alignment horizontal="center" vertical="center" wrapText="1"/>
    </xf>
    <xf numFmtId="0" fontId="0" fillId="0" borderId="50" xfId="0" applyBorder="1" applyAlignment="1">
      <alignment horizontal="center" vertical="center" wrapText="1"/>
    </xf>
    <xf numFmtId="0" fontId="0" fillId="0" borderId="0" xfId="0" applyAlignment="1">
      <alignment horizontal="center" vertical="center" wrapText="1"/>
    </xf>
    <xf numFmtId="0" fontId="0" fillId="0" borderId="95" xfId="0" applyBorder="1" applyAlignment="1">
      <alignment horizontal="center" vertical="center" wrapText="1"/>
    </xf>
    <xf numFmtId="0" fontId="0" fillId="0" borderId="39" xfId="0" applyBorder="1" applyAlignment="1">
      <alignment horizontal="center" vertical="center" wrapText="1"/>
    </xf>
    <xf numFmtId="0" fontId="0" fillId="0" borderId="61" xfId="0" applyBorder="1" applyAlignment="1">
      <alignment horizontal="center" vertical="center" wrapText="1"/>
    </xf>
    <xf numFmtId="0" fontId="0" fillId="0" borderId="80" xfId="0" applyBorder="1" applyAlignment="1">
      <alignment horizontal="center" vertical="center" wrapText="1"/>
    </xf>
    <xf numFmtId="0" fontId="35" fillId="24" borderId="27" xfId="0" applyFont="1" applyFill="1" applyBorder="1" applyAlignment="1">
      <alignment horizontal="center"/>
    </xf>
    <xf numFmtId="0" fontId="1" fillId="0" borderId="55" xfId="0" applyFont="1" applyBorder="1" applyAlignment="1">
      <alignment horizontal="center" vertical="center" wrapText="1"/>
    </xf>
    <xf numFmtId="0" fontId="1" fillId="0" borderId="94" xfId="0" applyFont="1" applyBorder="1" applyAlignment="1">
      <alignment horizontal="center" vertical="center" wrapText="1"/>
    </xf>
    <xf numFmtId="0" fontId="1" fillId="0" borderId="0" xfId="0" applyFont="1" applyAlignment="1">
      <alignment horizontal="center" vertical="center" wrapText="1"/>
    </xf>
    <xf numFmtId="0" fontId="1" fillId="0" borderId="95"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80" xfId="0" applyFont="1" applyBorder="1" applyAlignment="1">
      <alignment horizontal="center" vertical="center" wrapText="1"/>
    </xf>
    <xf numFmtId="0" fontId="7" fillId="0" borderId="27" xfId="0" applyFont="1" applyBorder="1" applyAlignment="1">
      <alignment horizontal="center" vertical="center" wrapText="1"/>
    </xf>
    <xf numFmtId="0" fontId="27" fillId="24" borderId="36" xfId="0" applyFont="1" applyFill="1" applyBorder="1" applyAlignment="1">
      <alignment horizontal="center"/>
    </xf>
    <xf numFmtId="0" fontId="27" fillId="24" borderId="38" xfId="0" applyFont="1" applyFill="1" applyBorder="1" applyAlignment="1">
      <alignment horizontal="center"/>
    </xf>
    <xf numFmtId="0" fontId="27" fillId="24" borderId="37" xfId="0" applyFont="1" applyFill="1" applyBorder="1" applyAlignment="1">
      <alignment horizontal="center"/>
    </xf>
    <xf numFmtId="0" fontId="7" fillId="0" borderId="27" xfId="0" applyFont="1" applyBorder="1" applyAlignment="1">
      <alignment horizontal="left" vertical="center"/>
    </xf>
    <xf numFmtId="0" fontId="1" fillId="0" borderId="52" xfId="4" applyFont="1" applyBorder="1" applyAlignment="1">
      <alignment horizontal="left" vertical="center"/>
    </xf>
    <xf numFmtId="0" fontId="3" fillId="0" borderId="97" xfId="4" applyBorder="1" applyAlignment="1">
      <alignment horizontal="left" vertical="center"/>
    </xf>
    <xf numFmtId="0" fontId="3" fillId="0" borderId="23" xfId="4" applyBorder="1" applyAlignment="1">
      <alignment horizontal="left" vertical="center"/>
    </xf>
    <xf numFmtId="0" fontId="8" fillId="12" borderId="27" xfId="0" applyFont="1" applyFill="1" applyBorder="1" applyAlignment="1">
      <alignment horizontal="left" vertical="center"/>
    </xf>
    <xf numFmtId="0" fontId="7" fillId="0" borderId="40" xfId="0" applyFont="1" applyBorder="1" applyAlignment="1">
      <alignment horizontal="left" vertical="center"/>
    </xf>
    <xf numFmtId="0" fontId="7" fillId="0" borderId="54" xfId="0" applyFont="1" applyBorder="1" applyAlignment="1">
      <alignment horizontal="left" vertical="center"/>
    </xf>
    <xf numFmtId="0" fontId="7" fillId="0" borderId="24" xfId="0" applyFont="1" applyBorder="1" applyAlignment="1">
      <alignment horizontal="left" vertical="center"/>
    </xf>
    <xf numFmtId="0" fontId="7" fillId="0" borderId="27" xfId="0" applyFont="1" applyBorder="1" applyAlignment="1">
      <alignment horizontal="center" vertical="center"/>
    </xf>
    <xf numFmtId="0" fontId="3" fillId="0" borderId="40" xfId="4" applyBorder="1" applyAlignment="1">
      <alignment horizontal="left" vertical="center"/>
    </xf>
    <xf numFmtId="0" fontId="3" fillId="0" borderId="24" xfId="4" applyBorder="1" applyAlignment="1">
      <alignment horizontal="left" vertical="center"/>
    </xf>
    <xf numFmtId="0" fontId="1" fillId="0" borderId="54" xfId="0" applyFont="1" applyBorder="1" applyAlignment="1">
      <alignment horizontal="left" vertical="center"/>
    </xf>
    <xf numFmtId="0" fontId="7" fillId="0" borderId="79" xfId="0" applyFont="1" applyBorder="1" applyAlignment="1">
      <alignment horizontal="left" vertical="center" wrapText="1"/>
    </xf>
    <xf numFmtId="0" fontId="7" fillId="0" borderId="83" xfId="0" applyFont="1" applyBorder="1" applyAlignment="1">
      <alignment horizontal="left" vertical="center" wrapText="1"/>
    </xf>
    <xf numFmtId="0" fontId="1" fillId="0" borderId="103" xfId="4" applyFont="1" applyBorder="1" applyAlignment="1">
      <alignment horizontal="left" vertical="center"/>
    </xf>
    <xf numFmtId="0" fontId="1" fillId="0" borderId="16" xfId="4" applyFont="1" applyBorder="1" applyAlignment="1">
      <alignment horizontal="left" vertical="center"/>
    </xf>
    <xf numFmtId="0" fontId="1" fillId="0" borderId="112" xfId="4" applyFont="1" applyBorder="1" applyAlignment="1">
      <alignment horizontal="left" vertical="center"/>
    </xf>
    <xf numFmtId="0" fontId="11" fillId="0" borderId="27" xfId="6" applyFont="1" applyBorder="1" applyAlignment="1">
      <alignment horizontal="center" vertical="center"/>
    </xf>
    <xf numFmtId="0" fontId="1" fillId="0" borderId="55" xfId="4" applyFont="1" applyBorder="1" applyAlignment="1">
      <alignment horizontal="left" vertical="center"/>
    </xf>
    <xf numFmtId="0" fontId="1" fillId="0" borderId="61" xfId="4" applyFont="1" applyBorder="1" applyAlignment="1">
      <alignment horizontal="left" vertical="center"/>
    </xf>
    <xf numFmtId="0" fontId="7" fillId="0" borderId="104" xfId="0" applyFont="1" applyBorder="1" applyAlignment="1">
      <alignment horizontal="left" vertical="center"/>
    </xf>
    <xf numFmtId="0" fontId="7" fillId="0" borderId="105" xfId="0" applyFont="1" applyBorder="1" applyAlignment="1">
      <alignment horizontal="left" vertical="center"/>
    </xf>
    <xf numFmtId="0" fontId="3" fillId="0" borderId="106" xfId="4" applyBorder="1" applyAlignment="1">
      <alignment horizontal="left" vertical="center"/>
    </xf>
    <xf numFmtId="0" fontId="3" fillId="0" borderId="107" xfId="4" applyBorder="1" applyAlignment="1">
      <alignment horizontal="left" vertical="center"/>
    </xf>
    <xf numFmtId="0" fontId="3" fillId="0" borderId="27" xfId="4" applyBorder="1" applyAlignment="1">
      <alignment horizontal="left" vertical="center"/>
    </xf>
    <xf numFmtId="0" fontId="1" fillId="0" borderId="106" xfId="4" applyFont="1" applyBorder="1" applyAlignment="1">
      <alignment horizontal="left" vertical="center"/>
    </xf>
    <xf numFmtId="0" fontId="1" fillId="0" borderId="107" xfId="4" applyFont="1" applyBorder="1" applyAlignment="1">
      <alignment horizontal="left" vertical="center"/>
    </xf>
    <xf numFmtId="0" fontId="21" fillId="13" borderId="47" xfId="0" applyFont="1" applyFill="1" applyBorder="1" applyAlignment="1">
      <alignment vertical="center"/>
    </xf>
    <xf numFmtId="0" fontId="21" fillId="13" borderId="41" xfId="0" applyFont="1" applyFill="1" applyBorder="1" applyAlignment="1">
      <alignment vertical="center"/>
    </xf>
    <xf numFmtId="0" fontId="21" fillId="13" borderId="48" xfId="0" applyFont="1" applyFill="1" applyBorder="1" applyAlignment="1">
      <alignment vertical="center"/>
    </xf>
    <xf numFmtId="0" fontId="17" fillId="0" borderId="49" xfId="0" applyFont="1" applyBorder="1" applyAlignment="1">
      <alignment wrapText="1"/>
    </xf>
    <xf numFmtId="0" fontId="17" fillId="0" borderId="45" xfId="0" applyFont="1" applyBorder="1" applyAlignment="1">
      <alignment wrapText="1"/>
    </xf>
    <xf numFmtId="0" fontId="17" fillId="0" borderId="46" xfId="0" applyFont="1" applyBorder="1" applyAlignment="1">
      <alignment wrapText="1"/>
    </xf>
    <xf numFmtId="0" fontId="21" fillId="2" borderId="8" xfId="0" applyFont="1" applyFill="1" applyBorder="1" applyAlignment="1">
      <alignment horizontal="left"/>
    </xf>
    <xf numFmtId="0" fontId="21" fillId="2" borderId="21" xfId="0" applyFont="1" applyFill="1" applyBorder="1" applyAlignment="1">
      <alignment horizontal="left"/>
    </xf>
    <xf numFmtId="0" fontId="21" fillId="2" borderId="9" xfId="0" applyFont="1" applyFill="1" applyBorder="1" applyAlignment="1">
      <alignment horizontal="left"/>
    </xf>
    <xf numFmtId="0" fontId="17" fillId="0" borderId="8" xfId="15" applyFont="1" applyBorder="1" applyAlignment="1">
      <alignment horizontal="left" vertical="top" wrapText="1"/>
    </xf>
    <xf numFmtId="0" fontId="17" fillId="0" borderId="21" xfId="15" applyFont="1" applyBorder="1" applyAlignment="1">
      <alignment horizontal="left" vertical="top" wrapText="1"/>
    </xf>
    <xf numFmtId="0" fontId="17" fillId="0" borderId="9" xfId="15" applyFont="1" applyBorder="1" applyAlignment="1">
      <alignment horizontal="left" vertical="top" wrapText="1"/>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8" fillId="0" borderId="115" xfId="4" applyFont="1" applyBorder="1" applyAlignment="1">
      <alignment horizontal="left" vertical="center"/>
    </xf>
    <xf numFmtId="0" fontId="8" fillId="0" borderId="116" xfId="4" applyFont="1" applyBorder="1" applyAlignment="1">
      <alignment horizontal="left" vertical="center"/>
    </xf>
  </cellXfs>
  <cellStyles count="16">
    <cellStyle name="Calculation" xfId="14" builtinId="22" customBuiltin="1"/>
    <cellStyle name="Calculation 2" xfId="10" xr:uid="{8E863B60-1A48-9D45-A470-F21CB079892D}"/>
    <cellStyle name="Calculation 3" xfId="11" xr:uid="{D78A4127-699A-5742-9390-941D91F63793}"/>
    <cellStyle name="Comma" xfId="1" builtinId="3"/>
    <cellStyle name="Currency" xfId="2" builtinId="4"/>
    <cellStyle name="Hyperlink" xfId="6" builtinId="8"/>
    <cellStyle name="Hyperlink 2" xfId="5" xr:uid="{045F9F5B-82BC-754F-94F0-8E11F5ED50B8}"/>
    <cellStyle name="Input 2" xfId="8" xr:uid="{D475070C-3818-D343-B43C-578DA8D3AA36}"/>
    <cellStyle name="Normal" xfId="0" builtinId="0"/>
    <cellStyle name="Normal 2" xfId="4" xr:uid="{FFBAA0F3-962D-A243-A7AD-AE613C971AEA}"/>
    <cellStyle name="Normal 3" xfId="7" xr:uid="{96D814EF-1A3A-504A-BAF7-3FC949120B43}"/>
    <cellStyle name="Not in use" xfId="13" xr:uid="{DCD8A447-C143-A648-AFB1-CCBC050F9497}"/>
    <cellStyle name="Note 2" xfId="12" xr:uid="{EA112FCF-E78A-944F-9344-8529C16C0722}"/>
    <cellStyle name="Percent" xfId="3" builtinId="5"/>
    <cellStyle name="Results" xfId="9" xr:uid="{9534FFE5-32AB-FE4A-8D91-05F2C446D8EE}"/>
    <cellStyle name="Warning Text" xfId="15" builtinId="11"/>
  </cellStyles>
  <dxfs count="3">
    <dxf>
      <fill>
        <patternFill>
          <bgColor rgb="FFFFCC99"/>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Medium9"/>
  <colors>
    <mruColors>
      <color rgb="FFFFCC99"/>
      <color rgb="FFD3AF2D"/>
      <color rgb="FF5BB050"/>
      <color rgb="FF284E6A"/>
      <color rgb="FFF8B6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muhammadhaiderali.khan@unsw.edu.au" TargetMode="External"/><Relationship Id="rId1" Type="http://schemas.openxmlformats.org/officeDocument/2006/relationships/hyperlink" Target="mailto:r.daiyan@unsw.edu.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hyperlink" Target="https://doi.org/10.1007/s40831-024-00878-3"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engineeringtoolbox.com/fuels-higher-calorific-values-d_1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9CC8C-E39E-2B43-82D0-7DEB1BA70E48}">
  <sheetPr codeName="Sheet3"/>
  <dimension ref="A1:E31"/>
  <sheetViews>
    <sheetView tabSelected="1" topLeftCell="A28" workbookViewId="0">
      <selection activeCell="J20" sqref="J20"/>
    </sheetView>
  </sheetViews>
  <sheetFormatPr defaultColWidth="9" defaultRowHeight="19.899999999999999" customHeight="1" x14ac:dyDescent="0.25"/>
  <cols>
    <col min="1" max="1" width="26" style="2" customWidth="1"/>
    <col min="2" max="2" width="93.28515625" style="2" customWidth="1"/>
    <col min="3" max="3" width="9" style="2" customWidth="1"/>
    <col min="4" max="4" width="9" style="2"/>
    <col min="5" max="6" width="9" style="2" customWidth="1"/>
    <col min="7" max="16384" width="9" style="2"/>
  </cols>
  <sheetData>
    <row r="1" spans="1:5" ht="28.5" customHeight="1" thickBot="1" x14ac:dyDescent="0.3">
      <c r="A1" s="663" t="s">
        <v>1308</v>
      </c>
      <c r="B1" s="664"/>
      <c r="C1" s="1"/>
      <c r="D1" s="1"/>
      <c r="E1" s="1"/>
    </row>
    <row r="2" spans="1:5" ht="19.899999999999999" customHeight="1" thickBot="1" x14ac:dyDescent="0.3">
      <c r="A2" s="382"/>
      <c r="B2" s="383"/>
      <c r="C2" s="1"/>
      <c r="D2" s="1"/>
      <c r="E2" s="1"/>
    </row>
    <row r="3" spans="1:5" ht="19.899999999999999" customHeight="1" x14ac:dyDescent="0.25">
      <c r="A3" s="384" t="s">
        <v>0</v>
      </c>
      <c r="B3" s="385" t="s">
        <v>1308</v>
      </c>
    </row>
    <row r="4" spans="1:5" ht="19.899999999999999" customHeight="1" x14ac:dyDescent="0.25">
      <c r="A4" s="665" t="s">
        <v>1</v>
      </c>
      <c r="B4" s="386" t="s">
        <v>1309</v>
      </c>
    </row>
    <row r="5" spans="1:5" ht="19.899999999999999" customHeight="1" x14ac:dyDescent="0.25">
      <c r="A5" s="666"/>
      <c r="B5" s="386" t="s">
        <v>1310</v>
      </c>
    </row>
    <row r="6" spans="1:5" ht="19.899999999999999" customHeight="1" x14ac:dyDescent="0.25">
      <c r="A6" s="667"/>
      <c r="B6" s="386"/>
    </row>
    <row r="7" spans="1:5" ht="34.5" customHeight="1" x14ac:dyDescent="0.25">
      <c r="A7" s="665" t="s">
        <v>2</v>
      </c>
      <c r="B7" s="387" t="s">
        <v>640</v>
      </c>
    </row>
    <row r="8" spans="1:5" ht="19.899999999999999" customHeight="1" x14ac:dyDescent="0.25">
      <c r="A8" s="666"/>
      <c r="B8" s="386"/>
    </row>
    <row r="9" spans="1:5" ht="19.899999999999999" customHeight="1" x14ac:dyDescent="0.25">
      <c r="A9" s="667"/>
      <c r="B9" s="386"/>
    </row>
    <row r="10" spans="1:5" ht="19.899999999999999" customHeight="1" x14ac:dyDescent="0.25">
      <c r="A10" s="668" t="s">
        <v>3</v>
      </c>
      <c r="B10" s="386" t="s">
        <v>4</v>
      </c>
    </row>
    <row r="11" spans="1:5" ht="19.899999999999999" customHeight="1" x14ac:dyDescent="0.25">
      <c r="A11" s="669"/>
      <c r="B11" s="386" t="s">
        <v>5</v>
      </c>
    </row>
    <row r="12" spans="1:5" ht="19.899999999999999" customHeight="1" x14ac:dyDescent="0.25">
      <c r="A12" s="669"/>
      <c r="B12" s="386" t="s">
        <v>639</v>
      </c>
    </row>
    <row r="13" spans="1:5" ht="19.899999999999999" customHeight="1" thickBot="1" x14ac:dyDescent="0.3">
      <c r="A13" s="670"/>
      <c r="B13" s="388" t="s">
        <v>6</v>
      </c>
    </row>
    <row r="14" spans="1:5" ht="19.899999999999999" customHeight="1" thickBot="1" x14ac:dyDescent="0.3"/>
    <row r="15" spans="1:5" ht="19.899999999999999" customHeight="1" x14ac:dyDescent="0.25">
      <c r="A15" s="671" t="s">
        <v>7</v>
      </c>
      <c r="B15" s="672"/>
    </row>
    <row r="16" spans="1:5" ht="19.899999999999999" customHeight="1" x14ac:dyDescent="0.25">
      <c r="A16" s="4" t="s">
        <v>8</v>
      </c>
      <c r="B16" s="3" t="s">
        <v>1311</v>
      </c>
    </row>
    <row r="17" spans="1:2" ht="19.899999999999999" customHeight="1" x14ac:dyDescent="0.25">
      <c r="A17" s="4" t="s">
        <v>9</v>
      </c>
      <c r="B17" s="386" t="s">
        <v>639</v>
      </c>
    </row>
    <row r="18" spans="1:2" ht="19.899999999999999" customHeight="1" thickBot="1" x14ac:dyDescent="0.3">
      <c r="A18" s="781" t="s">
        <v>10</v>
      </c>
      <c r="B18" s="5" t="s">
        <v>1312</v>
      </c>
    </row>
    <row r="19" spans="1:2" ht="19.899999999999999" customHeight="1" thickBot="1" x14ac:dyDescent="0.3">
      <c r="A19" s="782"/>
      <c r="B19" s="5" t="s">
        <v>11</v>
      </c>
    </row>
    <row r="20" spans="1:2" ht="19.899999999999999" customHeight="1" thickBot="1" x14ac:dyDescent="0.3"/>
    <row r="21" spans="1:2" ht="19.899999999999999" customHeight="1" thickBot="1" x14ac:dyDescent="0.3">
      <c r="A21" s="661" t="s">
        <v>12</v>
      </c>
      <c r="B21" s="662"/>
    </row>
    <row r="22" spans="1:2" ht="19.899999999999999" customHeight="1" thickBot="1" x14ac:dyDescent="0.3">
      <c r="A22" s="649" t="s">
        <v>13</v>
      </c>
      <c r="B22" s="650"/>
    </row>
    <row r="23" spans="1:2" s="6" customFormat="1" ht="46.5" customHeight="1" thickBot="1" x14ac:dyDescent="0.3">
      <c r="A23" s="655" t="s">
        <v>592</v>
      </c>
      <c r="B23" s="656"/>
    </row>
    <row r="24" spans="1:2" ht="19.899999999999999" customHeight="1" thickBot="1" x14ac:dyDescent="0.3">
      <c r="A24" s="649" t="s">
        <v>14</v>
      </c>
      <c r="B24" s="650"/>
    </row>
    <row r="25" spans="1:2" ht="27" customHeight="1" x14ac:dyDescent="0.25">
      <c r="A25" s="657" t="s">
        <v>1285</v>
      </c>
      <c r="B25" s="658"/>
    </row>
    <row r="26" spans="1:2" ht="66.75" customHeight="1" x14ac:dyDescent="0.25">
      <c r="A26" s="659" t="s">
        <v>15</v>
      </c>
      <c r="B26" s="660"/>
    </row>
    <row r="27" spans="1:2" ht="39" customHeight="1" x14ac:dyDescent="0.25">
      <c r="A27" s="659" t="s">
        <v>16</v>
      </c>
      <c r="B27" s="660"/>
    </row>
    <row r="28" spans="1:2" ht="103.15" customHeight="1" thickBot="1" x14ac:dyDescent="0.3">
      <c r="A28" s="647" t="s">
        <v>17</v>
      </c>
      <c r="B28" s="648"/>
    </row>
    <row r="29" spans="1:2" ht="19.899999999999999" customHeight="1" thickBot="1" x14ac:dyDescent="0.3">
      <c r="A29" s="649" t="s">
        <v>18</v>
      </c>
      <c r="B29" s="650"/>
    </row>
    <row r="30" spans="1:2" s="7" customFormat="1" ht="50.25" customHeight="1" x14ac:dyDescent="0.25">
      <c r="A30" s="651" t="s">
        <v>638</v>
      </c>
      <c r="B30" s="652"/>
    </row>
    <row r="31" spans="1:2" ht="46.5" customHeight="1" thickBot="1" x14ac:dyDescent="0.3">
      <c r="A31" s="653" t="s">
        <v>1286</v>
      </c>
      <c r="B31" s="654"/>
    </row>
  </sheetData>
  <mergeCells count="17">
    <mergeCell ref="A21:B21"/>
    <mergeCell ref="A1:B1"/>
    <mergeCell ref="A4:A6"/>
    <mergeCell ref="A7:A9"/>
    <mergeCell ref="A10:A13"/>
    <mergeCell ref="A15:B15"/>
    <mergeCell ref="A18:A19"/>
    <mergeCell ref="A28:B28"/>
    <mergeCell ref="A29:B29"/>
    <mergeCell ref="A30:B30"/>
    <mergeCell ref="A31:B31"/>
    <mergeCell ref="A22:B22"/>
    <mergeCell ref="A23:B23"/>
    <mergeCell ref="A24:B24"/>
    <mergeCell ref="A25:B25"/>
    <mergeCell ref="A26:B26"/>
    <mergeCell ref="A27:B27"/>
  </mergeCells>
  <hyperlinks>
    <hyperlink ref="B19" r:id="rId1" xr:uid="{1238BEE9-4E5C-AA4D-8ECB-333AEC1650FC}"/>
    <hyperlink ref="B18" r:id="rId2" xr:uid="{55969444-8BBF-4988-B135-2443F3B6BF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F8B96-9027-F440-AA4B-105F4F7ED357}">
  <sheetPr codeName="Sheet4"/>
  <dimension ref="A1:D11"/>
  <sheetViews>
    <sheetView zoomScale="110" zoomScaleNormal="110" workbookViewId="0">
      <selection activeCell="A17" sqref="A17"/>
    </sheetView>
  </sheetViews>
  <sheetFormatPr defaultColWidth="8.42578125" defaultRowHeight="15" x14ac:dyDescent="0.2"/>
  <cols>
    <col min="1" max="1" width="121.7109375" style="9" customWidth="1"/>
    <col min="2" max="16384" width="8.42578125" style="9"/>
  </cols>
  <sheetData>
    <row r="1" spans="1:4" ht="30" customHeight="1" thickBot="1" x14ac:dyDescent="0.25">
      <c r="A1" s="8" t="s">
        <v>19</v>
      </c>
      <c r="B1" s="44"/>
    </row>
    <row r="2" spans="1:4" ht="15.75" thickBot="1" x14ac:dyDescent="0.25">
      <c r="A2" s="10"/>
      <c r="B2" s="44"/>
    </row>
    <row r="3" spans="1:4" ht="24.75" customHeight="1" thickBot="1" x14ac:dyDescent="0.25">
      <c r="A3" s="11" t="s">
        <v>20</v>
      </c>
      <c r="B3" s="44"/>
    </row>
    <row r="4" spans="1:4" ht="54.75" customHeight="1" thickBot="1" x14ac:dyDescent="0.25">
      <c r="A4" s="389" t="s">
        <v>641</v>
      </c>
      <c r="B4" s="44"/>
    </row>
    <row r="5" spans="1:4" ht="15.75" thickBot="1" x14ac:dyDescent="0.25">
      <c r="A5" s="10"/>
      <c r="B5" s="44"/>
    </row>
    <row r="6" spans="1:4" ht="23.25" customHeight="1" thickBot="1" x14ac:dyDescent="0.25">
      <c r="A6" s="12" t="s">
        <v>21</v>
      </c>
      <c r="B6" s="44"/>
    </row>
    <row r="7" spans="1:4" ht="57" customHeight="1" thickBot="1" x14ac:dyDescent="0.25">
      <c r="A7" s="390" t="s">
        <v>1287</v>
      </c>
      <c r="B7" s="44"/>
      <c r="D7" s="14"/>
    </row>
    <row r="8" spans="1:4" ht="15.75" thickBot="1" x14ac:dyDescent="0.25">
      <c r="A8" s="10"/>
      <c r="B8" s="44"/>
    </row>
    <row r="9" spans="1:4" ht="24.75" customHeight="1" thickBot="1" x14ac:dyDescent="0.25">
      <c r="A9" s="13" t="s">
        <v>22</v>
      </c>
      <c r="B9" s="44"/>
    </row>
    <row r="10" spans="1:4" ht="39" customHeight="1" thickBot="1" x14ac:dyDescent="0.25">
      <c r="A10" s="391" t="s">
        <v>642</v>
      </c>
      <c r="B10" s="44"/>
    </row>
    <row r="11" spans="1:4" x14ac:dyDescent="0.2">
      <c r="A11" s="44"/>
      <c r="B11" s="4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8D22B-71F1-CB48-8C30-E9729F1806C3}">
  <sheetPr codeName="Sheet1"/>
  <dimension ref="A1:C10"/>
  <sheetViews>
    <sheetView workbookViewId="0">
      <selection activeCell="B14" sqref="B14"/>
    </sheetView>
  </sheetViews>
  <sheetFormatPr defaultColWidth="9" defaultRowHeight="25.15" customHeight="1" x14ac:dyDescent="0.2"/>
  <cols>
    <col min="1" max="1" width="18.140625" style="9" customWidth="1"/>
    <col min="2" max="2" width="41" style="9" customWidth="1"/>
    <col min="3" max="3" width="101.28515625" style="9" customWidth="1"/>
    <col min="4" max="16384" width="9" style="9"/>
  </cols>
  <sheetData>
    <row r="1" spans="1:3" ht="25.15" customHeight="1" thickBot="1" x14ac:dyDescent="0.25">
      <c r="A1" s="673" t="s">
        <v>23</v>
      </c>
      <c r="B1" s="674"/>
      <c r="C1" s="675"/>
    </row>
    <row r="2" spans="1:3" ht="25.15" customHeight="1" x14ac:dyDescent="0.2">
      <c r="A2" s="15"/>
      <c r="B2" s="16"/>
      <c r="C2" s="17"/>
    </row>
    <row r="3" spans="1:3" s="38" customFormat="1" ht="25.15" customHeight="1" thickBot="1" x14ac:dyDescent="0.3">
      <c r="A3" s="676" t="s">
        <v>24</v>
      </c>
      <c r="B3" s="677"/>
      <c r="C3" s="678"/>
    </row>
    <row r="4" spans="1:3" s="38" customFormat="1" ht="25.15" customHeight="1" thickBot="1" x14ac:dyDescent="0.3">
      <c r="A4" s="21" t="s">
        <v>643</v>
      </c>
      <c r="B4" s="22"/>
      <c r="C4" s="23"/>
    </row>
    <row r="5" spans="1:3" s="38" customFormat="1" ht="25.15" customHeight="1" thickBot="1" x14ac:dyDescent="0.3">
      <c r="A5" s="24" t="s">
        <v>25</v>
      </c>
      <c r="B5" s="18" t="s">
        <v>26</v>
      </c>
      <c r="C5" s="25" t="s">
        <v>27</v>
      </c>
    </row>
    <row r="6" spans="1:3" s="38" customFormat="1" ht="25.15" customHeight="1" x14ac:dyDescent="0.25">
      <c r="A6" s="26" t="s">
        <v>28</v>
      </c>
      <c r="B6" s="381" t="s">
        <v>29</v>
      </c>
      <c r="C6" s="28" t="s">
        <v>30</v>
      </c>
    </row>
    <row r="7" spans="1:3" s="38" customFormat="1" ht="25.15" customHeight="1" x14ac:dyDescent="0.25">
      <c r="A7" s="19" t="s">
        <v>31</v>
      </c>
      <c r="B7" s="32" t="s">
        <v>29</v>
      </c>
      <c r="C7" s="20" t="s">
        <v>32</v>
      </c>
    </row>
    <row r="8" spans="1:3" s="38" customFormat="1" ht="25.15" customHeight="1" x14ac:dyDescent="0.25">
      <c r="A8" s="19" t="s">
        <v>33</v>
      </c>
      <c r="B8" s="29" t="s">
        <v>29</v>
      </c>
      <c r="C8" s="20" t="s">
        <v>34</v>
      </c>
    </row>
    <row r="9" spans="1:3" ht="25.15" customHeight="1" x14ac:dyDescent="0.2">
      <c r="A9" s="39" t="s">
        <v>35</v>
      </c>
      <c r="B9" s="42" t="s">
        <v>29</v>
      </c>
      <c r="C9" s="20" t="s">
        <v>36</v>
      </c>
    </row>
    <row r="10" spans="1:3" ht="25.15" customHeight="1" thickBot="1" x14ac:dyDescent="0.25">
      <c r="A10" s="40" t="s">
        <v>37</v>
      </c>
      <c r="B10" s="41" t="s">
        <v>29</v>
      </c>
      <c r="C10" s="43" t="s">
        <v>38</v>
      </c>
    </row>
  </sheetData>
  <mergeCells count="2">
    <mergeCell ref="A1:C1"/>
    <mergeCell ref="A3:C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3AE5-889F-4DC6-BCAC-9C3578F51DC5}">
  <sheetPr>
    <tabColor rgb="FFFFC000"/>
  </sheetPr>
  <dimension ref="A1:T181"/>
  <sheetViews>
    <sheetView topLeftCell="A156" zoomScale="60" zoomScaleNormal="60" workbookViewId="0">
      <selection activeCell="G74" sqref="G74"/>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7" width="27.140625" style="45" customWidth="1"/>
    <col min="8" max="8" width="17.140625" style="45" customWidth="1"/>
    <col min="9" max="9" width="11.5703125" style="45" customWidth="1"/>
    <col min="10" max="10" width="12.42578125" style="45" customWidth="1"/>
    <col min="11" max="11" width="28.42578125" style="45" customWidth="1"/>
    <col min="12" max="12" width="36.7109375" style="45" customWidth="1"/>
    <col min="13" max="13" width="41.85546875" style="45" customWidth="1"/>
    <col min="14" max="14" width="17.5703125" style="45" customWidth="1"/>
    <col min="15" max="15" width="17" style="45" customWidth="1"/>
    <col min="16" max="16" width="19" style="45" customWidth="1"/>
    <col min="17" max="19" width="37.5703125" style="45" customWidth="1"/>
    <col min="20" max="20" width="38.28515625" style="45" customWidth="1"/>
    <col min="21" max="16384" width="9.140625" style="45"/>
  </cols>
  <sheetData>
    <row r="1" spans="1:18" ht="17.25" thickTop="1" thickBot="1" x14ac:dyDescent="0.3">
      <c r="A1" s="74" t="s">
        <v>156</v>
      </c>
      <c r="B1" s="75"/>
      <c r="C1" s="75"/>
      <c r="D1" s="75"/>
      <c r="E1" s="75"/>
    </row>
    <row r="2" spans="1:18" ht="17.25" thickTop="1" thickBot="1" x14ac:dyDescent="0.3">
      <c r="A2" s="46"/>
      <c r="B2" s="46"/>
      <c r="C2" s="46"/>
      <c r="D2" s="46"/>
      <c r="E2" s="46"/>
    </row>
    <row r="3" spans="1:18" x14ac:dyDescent="0.25">
      <c r="A3" s="53" t="s">
        <v>152</v>
      </c>
      <c r="B3" s="54" t="s">
        <v>41</v>
      </c>
      <c r="C3" s="54" t="s">
        <v>40</v>
      </c>
      <c r="D3" s="55" t="s">
        <v>42</v>
      </c>
      <c r="E3" s="56" t="s">
        <v>43</v>
      </c>
    </row>
    <row r="4" spans="1:18" ht="16.5" thickBot="1" x14ac:dyDescent="0.3">
      <c r="A4" s="209" t="s">
        <v>44</v>
      </c>
      <c r="B4" s="210"/>
      <c r="C4" s="210"/>
      <c r="D4" s="210"/>
      <c r="E4" s="211"/>
    </row>
    <row r="5" spans="1:18" ht="33.75" customHeight="1" x14ac:dyDescent="0.25">
      <c r="A5" s="212" t="s">
        <v>644</v>
      </c>
      <c r="B5" s="27">
        <f>0.7</f>
        <v>0.7</v>
      </c>
      <c r="C5" s="214" t="s">
        <v>45</v>
      </c>
      <c r="D5" s="215"/>
      <c r="E5" s="310">
        <f>0.7</f>
        <v>0.7</v>
      </c>
      <c r="H5" s="266"/>
      <c r="I5" s="266"/>
      <c r="J5" s="266"/>
      <c r="K5" s="266"/>
      <c r="L5" s="266"/>
      <c r="M5" s="266"/>
      <c r="N5" s="266"/>
      <c r="O5" s="266"/>
      <c r="P5" s="266"/>
      <c r="Q5" s="266"/>
      <c r="R5" s="266"/>
    </row>
    <row r="6" spans="1:18" ht="30.75" customHeight="1" x14ac:dyDescent="0.25">
      <c r="A6" s="144" t="s">
        <v>46</v>
      </c>
      <c r="B6" s="216">
        <v>7</v>
      </c>
      <c r="C6" s="146" t="s">
        <v>47</v>
      </c>
      <c r="D6" s="147" t="s">
        <v>48</v>
      </c>
      <c r="E6" s="309">
        <v>7</v>
      </c>
    </row>
    <row r="7" spans="1:18" ht="30" customHeight="1" x14ac:dyDescent="0.25">
      <c r="A7" s="144" t="s">
        <v>49</v>
      </c>
      <c r="B7" s="27">
        <v>30</v>
      </c>
      <c r="C7" s="62" t="s">
        <v>50</v>
      </c>
      <c r="D7" s="147" t="s">
        <v>496</v>
      </c>
      <c r="E7" s="237">
        <v>30</v>
      </c>
      <c r="L7" s="582"/>
      <c r="R7" s="611"/>
    </row>
    <row r="8" spans="1:18" ht="33" customHeight="1" x14ac:dyDescent="0.25">
      <c r="A8" s="193" t="s">
        <v>52</v>
      </c>
      <c r="B8" s="573">
        <f>(($B$6/100)*(1+$B$6/100)^$B$7)/(((1+$B$6/100)^$B$7)-1)*100</f>
        <v>8.0586403511111193</v>
      </c>
      <c r="C8" s="179" t="s">
        <v>47</v>
      </c>
      <c r="D8" s="248" t="s">
        <v>53</v>
      </c>
      <c r="E8" s="574"/>
      <c r="H8" s="582"/>
    </row>
    <row r="9" spans="1:18" ht="33" customHeight="1" thickBot="1" x14ac:dyDescent="0.3">
      <c r="A9" s="150" t="s">
        <v>1210</v>
      </c>
      <c r="B9" s="430">
        <v>100</v>
      </c>
      <c r="C9" s="151" t="s">
        <v>1211</v>
      </c>
      <c r="D9" s="576" t="s">
        <v>1279</v>
      </c>
      <c r="E9" s="577" t="s">
        <v>1281</v>
      </c>
    </row>
    <row r="10" spans="1:18" ht="16.5" thickBot="1" x14ac:dyDescent="0.3">
      <c r="H10" s="582"/>
      <c r="I10" s="582"/>
      <c r="J10" s="582"/>
      <c r="K10" s="582"/>
      <c r="L10" s="582"/>
      <c r="M10" s="582"/>
      <c r="N10" s="582"/>
      <c r="O10" s="582"/>
      <c r="P10" s="582"/>
      <c r="Q10" s="582"/>
    </row>
    <row r="11" spans="1:18" ht="16.5" thickBot="1" x14ac:dyDescent="0.3">
      <c r="A11" s="172" t="s">
        <v>181</v>
      </c>
      <c r="B11" s="89"/>
      <c r="C11" s="89"/>
      <c r="D11" s="89"/>
      <c r="E11" s="90"/>
    </row>
    <row r="12" spans="1:18" ht="29.25" customHeight="1" x14ac:dyDescent="0.25">
      <c r="A12" s="685" t="s">
        <v>159</v>
      </c>
      <c r="B12" s="216">
        <v>5000000</v>
      </c>
      <c r="C12" s="92" t="s">
        <v>605</v>
      </c>
      <c r="D12" s="92" t="s">
        <v>160</v>
      </c>
      <c r="E12" s="93"/>
    </row>
    <row r="13" spans="1:18" ht="27" customHeight="1" x14ac:dyDescent="0.25">
      <c r="A13" s="685"/>
      <c r="B13" s="94">
        <f>(B12/365)</f>
        <v>13698.630136986301</v>
      </c>
      <c r="C13" s="92" t="s">
        <v>593</v>
      </c>
      <c r="D13" s="92" t="s">
        <v>163</v>
      </c>
      <c r="E13" s="52"/>
    </row>
    <row r="14" spans="1:18" ht="30" customHeight="1" x14ac:dyDescent="0.25">
      <c r="A14" s="492" t="s">
        <v>498</v>
      </c>
      <c r="B14" s="547">
        <v>90</v>
      </c>
      <c r="C14" s="101" t="s">
        <v>47</v>
      </c>
      <c r="D14" s="101" t="s">
        <v>497</v>
      </c>
      <c r="E14" s="548"/>
    </row>
    <row r="15" spans="1:18" ht="16.5" thickBot="1" x14ac:dyDescent="0.3">
      <c r="A15" s="549" t="s">
        <v>439</v>
      </c>
      <c r="B15" s="311"/>
      <c r="C15" s="311"/>
      <c r="D15" s="311"/>
      <c r="E15" s="312"/>
    </row>
    <row r="16" spans="1:18" x14ac:dyDescent="0.25">
      <c r="A16" s="103" t="s">
        <v>255</v>
      </c>
      <c r="B16" s="103"/>
      <c r="C16" s="103"/>
      <c r="D16" s="103"/>
      <c r="E16" s="103"/>
    </row>
    <row r="17" spans="1:18" ht="33.75" customHeight="1" x14ac:dyDescent="0.25">
      <c r="A17" s="686" t="s">
        <v>207</v>
      </c>
      <c r="B17" s="64">
        <v>0.6</v>
      </c>
      <c r="C17" s="112" t="s">
        <v>161</v>
      </c>
      <c r="D17" s="113"/>
      <c r="E17" s="682" t="s">
        <v>164</v>
      </c>
      <c r="L17" s="582"/>
      <c r="R17" s="611"/>
    </row>
    <row r="18" spans="1:18" ht="30.75" customHeight="1" x14ac:dyDescent="0.25">
      <c r="A18" s="687"/>
      <c r="B18" s="64">
        <v>1</v>
      </c>
      <c r="C18" s="112" t="s">
        <v>593</v>
      </c>
      <c r="D18" s="113"/>
      <c r="E18" s="683"/>
      <c r="H18" s="582"/>
    </row>
    <row r="19" spans="1:18" ht="30" customHeight="1" x14ac:dyDescent="0.25">
      <c r="A19" s="687"/>
      <c r="B19" s="114">
        <v>59955</v>
      </c>
      <c r="C19" s="112" t="s">
        <v>165</v>
      </c>
      <c r="D19" s="113"/>
      <c r="E19" s="683"/>
      <c r="H19" s="611"/>
      <c r="I19" s="611"/>
      <c r="J19" s="611"/>
      <c r="K19" s="611"/>
      <c r="L19" s="611"/>
      <c r="M19" s="611"/>
      <c r="N19" s="611"/>
      <c r="O19" s="611"/>
      <c r="P19" s="611"/>
      <c r="Q19" s="611"/>
    </row>
    <row r="20" spans="1:18" ht="30" customHeight="1" x14ac:dyDescent="0.25">
      <c r="A20" s="688"/>
      <c r="B20" s="115">
        <f>B19*((B13/B18)^B17)*B9/100</f>
        <v>18189957.788494285</v>
      </c>
      <c r="C20" s="112" t="s">
        <v>165</v>
      </c>
      <c r="D20" s="92" t="s">
        <v>1280</v>
      </c>
      <c r="E20" s="684"/>
    </row>
    <row r="21" spans="1:18" ht="30" customHeight="1" x14ac:dyDescent="0.25">
      <c r="A21" s="686" t="s">
        <v>212</v>
      </c>
      <c r="B21" s="64">
        <v>0.7</v>
      </c>
      <c r="C21" s="112" t="s">
        <v>161</v>
      </c>
      <c r="D21" s="113"/>
      <c r="E21" s="682" t="s">
        <v>164</v>
      </c>
    </row>
    <row r="22" spans="1:18" ht="30" customHeight="1" x14ac:dyDescent="0.25">
      <c r="A22" s="687"/>
      <c r="B22" s="64">
        <v>1</v>
      </c>
      <c r="C22" s="112" t="s">
        <v>593</v>
      </c>
      <c r="D22" s="113"/>
      <c r="E22" s="683"/>
    </row>
    <row r="23" spans="1:18" ht="30" customHeight="1" x14ac:dyDescent="0.25">
      <c r="A23" s="687"/>
      <c r="B23" s="114">
        <v>33308</v>
      </c>
      <c r="C23" s="112" t="s">
        <v>165</v>
      </c>
      <c r="D23" s="116"/>
      <c r="E23" s="683"/>
      <c r="H23" s="544"/>
    </row>
    <row r="24" spans="1:18" ht="30" customHeight="1" x14ac:dyDescent="0.25">
      <c r="A24" s="688"/>
      <c r="B24" s="115">
        <f>B23*((B13/B22)^B21)*B9/100</f>
        <v>26195250.380927186</v>
      </c>
      <c r="C24" s="112" t="s">
        <v>165</v>
      </c>
      <c r="D24" s="92" t="s">
        <v>1280</v>
      </c>
      <c r="E24" s="684"/>
      <c r="H24" s="544"/>
    </row>
    <row r="25" spans="1:18" ht="30" customHeight="1" x14ac:dyDescent="0.25">
      <c r="A25" s="679" t="s">
        <v>211</v>
      </c>
      <c r="B25" s="64">
        <v>0.7</v>
      </c>
      <c r="C25" s="112" t="s">
        <v>161</v>
      </c>
      <c r="D25" s="113"/>
      <c r="E25" s="682" t="s">
        <v>164</v>
      </c>
      <c r="G25" s="335"/>
      <c r="H25" s="545"/>
    </row>
    <row r="26" spans="1:18" ht="30" customHeight="1" x14ac:dyDescent="0.25">
      <c r="A26" s="680"/>
      <c r="B26" s="64">
        <v>1</v>
      </c>
      <c r="C26" s="112" t="s">
        <v>593</v>
      </c>
      <c r="D26" s="113"/>
      <c r="E26" s="683"/>
      <c r="H26" s="546"/>
    </row>
    <row r="27" spans="1:18" ht="30" customHeight="1" x14ac:dyDescent="0.25">
      <c r="A27" s="680"/>
      <c r="B27" s="114">
        <v>39970</v>
      </c>
      <c r="C27" s="112" t="s">
        <v>165</v>
      </c>
      <c r="D27" s="116"/>
      <c r="E27" s="683"/>
      <c r="G27" s="543"/>
    </row>
    <row r="28" spans="1:18" ht="30" customHeight="1" x14ac:dyDescent="0.25">
      <c r="A28" s="681"/>
      <c r="B28" s="115">
        <f>B27*((B13/B26)^B25)*B9/100</f>
        <v>31434615.03919958</v>
      </c>
      <c r="C28" s="112" t="s">
        <v>165</v>
      </c>
      <c r="D28" s="92" t="s">
        <v>1280</v>
      </c>
      <c r="E28" s="684"/>
    </row>
    <row r="29" spans="1:18" ht="30" customHeight="1" x14ac:dyDescent="0.25">
      <c r="A29" s="686" t="s">
        <v>213</v>
      </c>
      <c r="B29" s="64">
        <v>0.7</v>
      </c>
      <c r="C29" s="112" t="s">
        <v>161</v>
      </c>
      <c r="D29" s="113"/>
      <c r="E29" s="682" t="s">
        <v>164</v>
      </c>
    </row>
    <row r="30" spans="1:18" ht="30" customHeight="1" x14ac:dyDescent="0.25">
      <c r="A30" s="687"/>
      <c r="B30" s="64">
        <v>1</v>
      </c>
      <c r="C30" s="112" t="s">
        <v>593</v>
      </c>
      <c r="D30" s="113"/>
      <c r="E30" s="683"/>
    </row>
    <row r="31" spans="1:18" ht="30" customHeight="1" x14ac:dyDescent="0.25">
      <c r="A31" s="687"/>
      <c r="B31" s="114">
        <v>41524</v>
      </c>
      <c r="C31" s="112" t="s">
        <v>165</v>
      </c>
      <c r="D31" s="113"/>
      <c r="E31" s="683"/>
      <c r="G31" s="335"/>
    </row>
    <row r="32" spans="1:18" ht="27.75" customHeight="1" x14ac:dyDescent="0.25">
      <c r="A32" s="688"/>
      <c r="B32" s="115">
        <f>B31*((B13/B30)^B29)*B9/100</f>
        <v>32656766.447028354</v>
      </c>
      <c r="C32" s="112" t="s">
        <v>165</v>
      </c>
      <c r="D32" s="92" t="s">
        <v>1280</v>
      </c>
      <c r="E32" s="684"/>
    </row>
    <row r="33" spans="1:5" x14ac:dyDescent="0.25">
      <c r="A33" s="103" t="s">
        <v>179</v>
      </c>
      <c r="B33" s="103"/>
      <c r="C33" s="103"/>
      <c r="D33" s="103"/>
      <c r="E33" s="103"/>
    </row>
    <row r="34" spans="1:5" ht="30.75" customHeight="1" x14ac:dyDescent="0.25">
      <c r="A34" s="686" t="s">
        <v>180</v>
      </c>
      <c r="B34" s="64">
        <v>0.5</v>
      </c>
      <c r="C34" s="112" t="s">
        <v>161</v>
      </c>
      <c r="D34" s="113"/>
      <c r="E34" s="682" t="s">
        <v>164</v>
      </c>
    </row>
    <row r="35" spans="1:5" ht="29.25" customHeight="1" x14ac:dyDescent="0.25">
      <c r="A35" s="687"/>
      <c r="B35" s="64">
        <v>1</v>
      </c>
      <c r="C35" s="112" t="s">
        <v>593</v>
      </c>
      <c r="D35" s="113"/>
      <c r="E35" s="683"/>
    </row>
    <row r="36" spans="1:5" ht="29.25" customHeight="1" x14ac:dyDescent="0.25">
      <c r="A36" s="687"/>
      <c r="B36" s="523">
        <v>44411</v>
      </c>
      <c r="C36" s="112" t="s">
        <v>165</v>
      </c>
      <c r="D36" s="113"/>
      <c r="E36" s="683"/>
    </row>
    <row r="37" spans="1:5" ht="30.75" customHeight="1" x14ac:dyDescent="0.25">
      <c r="A37" s="688"/>
      <c r="B37" s="115">
        <f>B36*((B13/B35)^B34)*B9/100</f>
        <v>5197914.3881273549</v>
      </c>
      <c r="C37" s="112" t="s">
        <v>165</v>
      </c>
      <c r="D37" s="92" t="s">
        <v>1280</v>
      </c>
      <c r="E37" s="684"/>
    </row>
    <row r="38" spans="1:5" x14ac:dyDescent="0.25">
      <c r="A38" s="103" t="s">
        <v>88</v>
      </c>
      <c r="B38" s="103"/>
      <c r="C38" s="103"/>
      <c r="D38" s="103"/>
      <c r="E38" s="117"/>
    </row>
    <row r="39" spans="1:5" ht="30.75" customHeight="1" thickBot="1" x14ac:dyDescent="0.3">
      <c r="A39" s="92" t="s">
        <v>88</v>
      </c>
      <c r="B39" s="87">
        <v>0</v>
      </c>
      <c r="C39" s="92" t="s">
        <v>261</v>
      </c>
      <c r="D39" s="92" t="s">
        <v>259</v>
      </c>
      <c r="E39" s="92"/>
    </row>
    <row r="40" spans="1:5" ht="16.5" thickBot="1" x14ac:dyDescent="0.3">
      <c r="A40" s="88" t="s">
        <v>440</v>
      </c>
      <c r="B40" s="89"/>
      <c r="C40" s="89"/>
      <c r="D40" s="89"/>
      <c r="E40" s="90"/>
    </row>
    <row r="41" spans="1:5" x14ac:dyDescent="0.25">
      <c r="A41" s="103" t="s">
        <v>167</v>
      </c>
      <c r="B41" s="103"/>
      <c r="C41" s="103"/>
      <c r="D41" s="103"/>
      <c r="E41" s="103"/>
    </row>
    <row r="42" spans="1:5" ht="30.75" customHeight="1" x14ac:dyDescent="0.25">
      <c r="A42" s="104" t="s">
        <v>168</v>
      </c>
      <c r="B42" s="105">
        <v>2</v>
      </c>
      <c r="C42" s="104" t="s">
        <v>175</v>
      </c>
      <c r="D42" s="104" t="s">
        <v>169</v>
      </c>
      <c r="E42" s="106" t="s">
        <v>170</v>
      </c>
    </row>
    <row r="43" spans="1:5" ht="30.75" customHeight="1" x14ac:dyDescent="0.25">
      <c r="A43" s="101" t="s">
        <v>171</v>
      </c>
      <c r="B43" s="107">
        <f>SQRT(B13/100)</f>
        <v>11.704114719613056</v>
      </c>
      <c r="C43" s="101" t="s">
        <v>172</v>
      </c>
      <c r="D43" s="101" t="s">
        <v>178</v>
      </c>
      <c r="E43" s="108" t="s">
        <v>164</v>
      </c>
    </row>
    <row r="44" spans="1:5" ht="30.75" customHeight="1" x14ac:dyDescent="0.25">
      <c r="A44" s="686" t="s">
        <v>166</v>
      </c>
      <c r="B44" s="95">
        <v>1.8</v>
      </c>
      <c r="C44" s="101" t="s">
        <v>161</v>
      </c>
      <c r="D44" s="101"/>
      <c r="E44" s="682" t="s">
        <v>164</v>
      </c>
    </row>
    <row r="45" spans="1:5" ht="30.75" customHeight="1" x14ac:dyDescent="0.25">
      <c r="A45" s="687"/>
      <c r="B45" s="96">
        <v>1</v>
      </c>
      <c r="C45" s="101" t="s">
        <v>172</v>
      </c>
      <c r="D45" s="101" t="s">
        <v>195</v>
      </c>
      <c r="E45" s="689"/>
    </row>
    <row r="46" spans="1:5" ht="30.75" customHeight="1" x14ac:dyDescent="0.25">
      <c r="A46" s="687"/>
      <c r="B46" s="96">
        <v>44411</v>
      </c>
      <c r="C46" s="101" t="s">
        <v>165</v>
      </c>
      <c r="D46" s="101" t="s">
        <v>194</v>
      </c>
      <c r="E46" s="689"/>
    </row>
    <row r="47" spans="1:5" ht="30.75" customHeight="1" x14ac:dyDescent="0.25">
      <c r="A47" s="688"/>
      <c r="B47" s="102">
        <f>B46*((B43/B45)^B44)</f>
        <v>3719632.0245640734</v>
      </c>
      <c r="C47" s="101" t="s">
        <v>444</v>
      </c>
      <c r="D47" s="101"/>
      <c r="E47" s="690"/>
    </row>
    <row r="48" spans="1:5" x14ac:dyDescent="0.25">
      <c r="A48" s="103" t="s">
        <v>201</v>
      </c>
      <c r="B48" s="103"/>
      <c r="C48" s="103"/>
      <c r="D48" s="103"/>
      <c r="E48" s="103"/>
    </row>
    <row r="49" spans="1:20" ht="30.75" customHeight="1" x14ac:dyDescent="0.25">
      <c r="A49" s="92" t="s">
        <v>196</v>
      </c>
      <c r="B49" s="107">
        <f>0.145*(B13^0.4)</f>
        <v>6.546947497891626</v>
      </c>
      <c r="C49" s="92" t="s">
        <v>199</v>
      </c>
      <c r="D49" s="92"/>
      <c r="E49" s="682" t="s">
        <v>164</v>
      </c>
    </row>
    <row r="50" spans="1:20" ht="30.75" customHeight="1" x14ac:dyDescent="0.25">
      <c r="A50" s="92" t="s">
        <v>173</v>
      </c>
      <c r="B50" s="107">
        <f>ROUNDUP(0.011*(B13^0.8)/B49,0)</f>
        <v>4</v>
      </c>
      <c r="C50" s="92" t="s">
        <v>175</v>
      </c>
      <c r="D50" s="92"/>
      <c r="E50" s="691"/>
    </row>
    <row r="51" spans="1:20" ht="30.75" customHeight="1" x14ac:dyDescent="0.25">
      <c r="A51" s="686" t="s">
        <v>176</v>
      </c>
      <c r="B51" s="100">
        <v>0.8</v>
      </c>
      <c r="C51" s="92" t="s">
        <v>161</v>
      </c>
      <c r="D51" s="92"/>
      <c r="E51" s="682" t="s">
        <v>164</v>
      </c>
    </row>
    <row r="52" spans="1:20" ht="30.75" customHeight="1" x14ac:dyDescent="0.25">
      <c r="A52" s="687"/>
      <c r="B52" s="100">
        <v>1</v>
      </c>
      <c r="C52" s="92" t="s">
        <v>199</v>
      </c>
      <c r="D52" s="92" t="s">
        <v>205</v>
      </c>
      <c r="E52" s="692"/>
    </row>
    <row r="53" spans="1:20" ht="30.75" customHeight="1" x14ac:dyDescent="0.25">
      <c r="A53" s="687"/>
      <c r="B53" s="96">
        <v>1132479.0619765492</v>
      </c>
      <c r="C53" s="92" t="s">
        <v>165</v>
      </c>
      <c r="D53" s="92" t="s">
        <v>200</v>
      </c>
      <c r="E53" s="692"/>
    </row>
    <row r="54" spans="1:20" ht="30.75" customHeight="1" x14ac:dyDescent="0.25">
      <c r="A54" s="688"/>
      <c r="B54" s="109">
        <f>B53*((B49/B52)^B51)</f>
        <v>5091681.9499660898</v>
      </c>
      <c r="C54" s="92" t="s">
        <v>445</v>
      </c>
      <c r="D54" s="92"/>
      <c r="E54" s="691"/>
    </row>
    <row r="55" spans="1:20" x14ac:dyDescent="0.25">
      <c r="A55" s="103" t="s">
        <v>202</v>
      </c>
      <c r="B55" s="103"/>
      <c r="C55" s="103"/>
      <c r="D55" s="103"/>
      <c r="E55" s="103"/>
    </row>
    <row r="56" spans="1:20" ht="30.75" customHeight="1" x14ac:dyDescent="0.25">
      <c r="A56" s="92" t="s">
        <v>203</v>
      </c>
      <c r="B56" s="109">
        <f>9*(B49^1.1)</f>
        <v>71.102562611639883</v>
      </c>
      <c r="C56" s="92" t="s">
        <v>594</v>
      </c>
      <c r="D56" s="123" t="s">
        <v>480</v>
      </c>
      <c r="E56" s="682" t="s">
        <v>164</v>
      </c>
    </row>
    <row r="57" spans="1:20" ht="30.75" customHeight="1" x14ac:dyDescent="0.25">
      <c r="A57" s="92" t="s">
        <v>174</v>
      </c>
      <c r="B57" s="72">
        <f>ROUNDUP(0.25*(B13^0.8)/B56,0)</f>
        <v>8</v>
      </c>
      <c r="C57" s="92" t="s">
        <v>175</v>
      </c>
      <c r="D57" s="92" t="s">
        <v>479</v>
      </c>
      <c r="E57" s="690"/>
    </row>
    <row r="58" spans="1:20" ht="30.75" customHeight="1" x14ac:dyDescent="0.25">
      <c r="A58" s="693" t="s">
        <v>177</v>
      </c>
      <c r="B58" s="110">
        <v>0.9</v>
      </c>
      <c r="C58" s="92" t="s">
        <v>161</v>
      </c>
      <c r="D58" s="92"/>
      <c r="E58" s="682" t="s">
        <v>164</v>
      </c>
      <c r="G58" s="97"/>
      <c r="H58" s="289"/>
      <c r="I58" s="289"/>
      <c r="J58" s="289"/>
      <c r="K58" s="289"/>
      <c r="L58" s="289"/>
      <c r="M58" s="97"/>
      <c r="N58" s="97"/>
      <c r="O58" s="97"/>
      <c r="P58" s="97"/>
      <c r="Q58" s="97"/>
      <c r="R58" s="97"/>
      <c r="S58" s="97"/>
      <c r="T58" s="250"/>
    </row>
    <row r="59" spans="1:20" ht="30.75" customHeight="1" x14ac:dyDescent="0.25">
      <c r="A59" s="694"/>
      <c r="B59" s="111">
        <v>1</v>
      </c>
      <c r="C59" s="92" t="s">
        <v>594</v>
      </c>
      <c r="D59" s="92" t="s">
        <v>206</v>
      </c>
      <c r="E59" s="689"/>
      <c r="G59" s="97"/>
      <c r="H59" s="289"/>
      <c r="I59" s="289"/>
      <c r="J59" s="289"/>
      <c r="K59" s="289"/>
      <c r="L59" s="289"/>
      <c r="M59" s="97"/>
      <c r="N59" s="97"/>
      <c r="O59" s="97"/>
      <c r="P59" s="97"/>
      <c r="Q59" s="97"/>
      <c r="R59" s="97"/>
      <c r="S59" s="97"/>
      <c r="T59" s="250"/>
    </row>
    <row r="60" spans="1:20" ht="30.75" customHeight="1" x14ac:dyDescent="0.25">
      <c r="A60" s="694"/>
      <c r="B60" s="430">
        <v>45299.162479061975</v>
      </c>
      <c r="C60" s="92" t="s">
        <v>165</v>
      </c>
      <c r="D60" s="92"/>
      <c r="E60" s="689"/>
      <c r="G60" s="97"/>
      <c r="H60" s="290"/>
      <c r="I60" s="290"/>
      <c r="J60" s="290"/>
      <c r="K60" s="290"/>
      <c r="L60" s="290"/>
      <c r="M60" s="97"/>
      <c r="N60" s="97"/>
      <c r="O60" s="97"/>
      <c r="P60" s="97"/>
      <c r="Q60" s="97"/>
      <c r="R60" s="97"/>
      <c r="S60" s="97"/>
      <c r="T60" s="97"/>
    </row>
    <row r="61" spans="1:20" ht="30.75" customHeight="1" x14ac:dyDescent="0.25">
      <c r="A61" s="695"/>
      <c r="B61" s="109">
        <f>B60*((B56/B59)^B58)</f>
        <v>2102746.412333787</v>
      </c>
      <c r="C61" s="92" t="s">
        <v>446</v>
      </c>
      <c r="D61" s="92"/>
      <c r="E61" s="690"/>
      <c r="G61" s="97"/>
      <c r="H61" s="291"/>
      <c r="I61" s="291"/>
      <c r="J61" s="291"/>
      <c r="K61" s="291"/>
      <c r="L61" s="291"/>
      <c r="M61" s="97"/>
      <c r="N61" s="97"/>
      <c r="O61" s="97"/>
      <c r="P61" s="97"/>
      <c r="Q61" s="97"/>
      <c r="R61" s="97"/>
      <c r="S61" s="97"/>
      <c r="T61" s="97"/>
    </row>
    <row r="62" spans="1:20" x14ac:dyDescent="0.25">
      <c r="A62" s="103" t="s">
        <v>460</v>
      </c>
      <c r="B62" s="103"/>
      <c r="C62" s="103"/>
      <c r="D62" s="103"/>
      <c r="E62" s="103"/>
      <c r="G62" s="705" t="s">
        <v>487</v>
      </c>
      <c r="H62" s="706"/>
      <c r="I62" s="706"/>
      <c r="J62" s="706"/>
      <c r="K62" s="698" t="s">
        <v>427</v>
      </c>
      <c r="L62" s="698"/>
      <c r="M62" s="698"/>
      <c r="N62" s="617"/>
      <c r="O62" s="617"/>
      <c r="P62" s="617"/>
      <c r="Q62" s="617"/>
      <c r="R62" s="617"/>
      <c r="S62" s="617"/>
      <c r="T62" s="293"/>
    </row>
    <row r="63" spans="1:20" ht="30.75" customHeight="1" x14ac:dyDescent="0.25">
      <c r="A63" s="92" t="s">
        <v>447</v>
      </c>
      <c r="B63" s="64" t="s">
        <v>383</v>
      </c>
      <c r="C63" s="92"/>
      <c r="D63" s="92" t="s">
        <v>666</v>
      </c>
      <c r="E63" s="92"/>
      <c r="G63" s="218" t="s">
        <v>390</v>
      </c>
      <c r="H63" s="218" t="s">
        <v>383</v>
      </c>
      <c r="I63" s="124" t="s">
        <v>1222</v>
      </c>
      <c r="J63" s="618" t="s">
        <v>1223</v>
      </c>
      <c r="K63" s="218" t="s">
        <v>391</v>
      </c>
      <c r="L63" s="218" t="s">
        <v>483</v>
      </c>
      <c r="M63" s="218" t="s">
        <v>462</v>
      </c>
    </row>
    <row r="64" spans="1:20" ht="30.75" customHeight="1" x14ac:dyDescent="0.25">
      <c r="A64" s="92" t="s">
        <v>452</v>
      </c>
      <c r="B64" s="87">
        <v>25</v>
      </c>
      <c r="C64" s="92" t="s">
        <v>449</v>
      </c>
      <c r="D64" s="52"/>
      <c r="E64" s="124" t="s">
        <v>448</v>
      </c>
      <c r="G64" s="124" t="s">
        <v>488</v>
      </c>
      <c r="H64" s="355">
        <v>0</v>
      </c>
      <c r="I64" s="355">
        <v>95</v>
      </c>
      <c r="J64" s="355">
        <v>95</v>
      </c>
      <c r="K64" s="124" t="s">
        <v>490</v>
      </c>
      <c r="L64" s="124" t="s">
        <v>442</v>
      </c>
      <c r="M64" s="124" t="s">
        <v>442</v>
      </c>
    </row>
    <row r="65" spans="1:20" ht="30.75" customHeight="1" x14ac:dyDescent="0.25">
      <c r="A65" s="112" t="s">
        <v>450</v>
      </c>
      <c r="B65" s="305">
        <v>120</v>
      </c>
      <c r="C65" s="112" t="s">
        <v>451</v>
      </c>
      <c r="D65" s="52"/>
      <c r="E65" s="124" t="s">
        <v>565</v>
      </c>
      <c r="G65" s="124" t="s">
        <v>489</v>
      </c>
      <c r="H65" s="355">
        <v>0</v>
      </c>
      <c r="I65" s="357">
        <f>30+15*247</f>
        <v>3735</v>
      </c>
      <c r="J65" s="358">
        <f>30+247*0.15+5636+27*15</f>
        <v>6108.05</v>
      </c>
      <c r="K65" s="124" t="s">
        <v>490</v>
      </c>
      <c r="L65" s="124" t="s">
        <v>1224</v>
      </c>
      <c r="M65" s="124" t="s">
        <v>1225</v>
      </c>
    </row>
    <row r="66" spans="1:20" ht="30.75" customHeight="1" x14ac:dyDescent="0.25">
      <c r="A66" s="699" t="s">
        <v>453</v>
      </c>
      <c r="B66" s="305">
        <v>8</v>
      </c>
      <c r="C66" s="112" t="s">
        <v>595</v>
      </c>
      <c r="D66" s="52"/>
      <c r="E66" s="700" t="s">
        <v>596</v>
      </c>
      <c r="G66" s="296" t="s">
        <v>581</v>
      </c>
      <c r="H66" s="355">
        <v>40</v>
      </c>
      <c r="I66" s="355">
        <v>80</v>
      </c>
      <c r="J66" s="355">
        <v>44</v>
      </c>
      <c r="K66" s="296" t="s">
        <v>463</v>
      </c>
      <c r="L66" s="250" t="s">
        <v>1307</v>
      </c>
      <c r="M66" s="296" t="s">
        <v>582</v>
      </c>
    </row>
    <row r="67" spans="1:20" ht="30.75" customHeight="1" x14ac:dyDescent="0.25">
      <c r="A67" s="699"/>
      <c r="B67" s="376">
        <f>B66*B56</f>
        <v>568.82050089311906</v>
      </c>
      <c r="C67" s="112" t="s">
        <v>481</v>
      </c>
      <c r="D67" s="52"/>
      <c r="E67" s="700"/>
      <c r="G67" s="218" t="s">
        <v>407</v>
      </c>
      <c r="H67" s="363">
        <v>0.13800000000000001</v>
      </c>
      <c r="I67" s="325">
        <f>B106</f>
        <v>8.3000000000000004E-2</v>
      </c>
      <c r="J67" s="363">
        <v>0.186</v>
      </c>
      <c r="K67" s="93" t="s">
        <v>410</v>
      </c>
      <c r="L67" s="124" t="s">
        <v>484</v>
      </c>
      <c r="M67" s="93" t="s">
        <v>464</v>
      </c>
    </row>
    <row r="68" spans="1:20" ht="30.75" customHeight="1" x14ac:dyDescent="0.25">
      <c r="A68" s="92" t="s">
        <v>485</v>
      </c>
      <c r="B68" s="377">
        <f>HLOOKUP(B63,G63:J68,2,FALSE)</f>
        <v>0</v>
      </c>
      <c r="C68" s="92" t="s">
        <v>441</v>
      </c>
      <c r="D68" s="701" t="s">
        <v>482</v>
      </c>
      <c r="E68" s="52"/>
      <c r="G68" s="124" t="s">
        <v>408</v>
      </c>
      <c r="H68" s="297">
        <v>0.253</v>
      </c>
      <c r="I68" s="325">
        <f>B116</f>
        <v>0.63</v>
      </c>
      <c r="J68" s="363">
        <v>0</v>
      </c>
      <c r="K68" s="93" t="s">
        <v>412</v>
      </c>
      <c r="L68" s="124" t="s">
        <v>484</v>
      </c>
      <c r="M68" s="218" t="s">
        <v>411</v>
      </c>
    </row>
    <row r="69" spans="1:20" ht="31.5" customHeight="1" x14ac:dyDescent="0.25">
      <c r="A69" s="92" t="s">
        <v>492</v>
      </c>
      <c r="B69" s="377">
        <f>HLOOKUP(B63,G63:J68,3,FALSE)</f>
        <v>0</v>
      </c>
      <c r="C69" s="92" t="s">
        <v>441</v>
      </c>
      <c r="D69" s="701"/>
      <c r="E69" s="124"/>
      <c r="G69" s="250"/>
      <c r="H69" s="266"/>
      <c r="I69" s="266"/>
      <c r="J69" s="266"/>
      <c r="K69" s="266"/>
      <c r="L69" s="266"/>
      <c r="M69" s="365"/>
      <c r="N69" s="366"/>
      <c r="O69" s="366"/>
      <c r="P69" s="366"/>
      <c r="Q69" s="367"/>
      <c r="R69" s="367"/>
      <c r="S69" s="292"/>
      <c r="T69" s="266"/>
    </row>
    <row r="70" spans="1:20" ht="32.25" customHeight="1" x14ac:dyDescent="0.25">
      <c r="A70" s="92" t="s">
        <v>467</v>
      </c>
      <c r="B70" s="219">
        <f>B64*(B69-B68)</f>
        <v>0</v>
      </c>
      <c r="C70" s="112" t="s">
        <v>444</v>
      </c>
      <c r="D70" s="92" t="s">
        <v>493</v>
      </c>
      <c r="E70" s="92"/>
      <c r="G70" s="250"/>
      <c r="H70" s="266"/>
      <c r="I70" s="266"/>
      <c r="J70" s="266"/>
      <c r="K70" s="266"/>
      <c r="L70" s="266"/>
      <c r="M70" s="266"/>
      <c r="N70" s="266"/>
      <c r="O70" s="266"/>
      <c r="P70" s="266"/>
      <c r="Q70" s="292"/>
      <c r="R70" s="292"/>
      <c r="S70" s="292"/>
    </row>
    <row r="71" spans="1:20" ht="32.25" customHeight="1" x14ac:dyDescent="0.25">
      <c r="A71" s="92" t="s">
        <v>454</v>
      </c>
      <c r="B71" s="378">
        <f>B65*(B69-B68)</f>
        <v>0</v>
      </c>
      <c r="C71" s="112" t="s">
        <v>445</v>
      </c>
      <c r="D71" s="92" t="s">
        <v>493</v>
      </c>
      <c r="E71" s="92"/>
    </row>
    <row r="72" spans="1:20" ht="32.25" customHeight="1" x14ac:dyDescent="0.25">
      <c r="A72" s="92" t="s">
        <v>455</v>
      </c>
      <c r="B72" s="219">
        <f>B67*(B69-B68)</f>
        <v>0</v>
      </c>
      <c r="C72" s="112" t="s">
        <v>446</v>
      </c>
      <c r="D72" s="92" t="s">
        <v>493</v>
      </c>
      <c r="E72" s="92"/>
      <c r="G72" s="266"/>
      <c r="H72" s="266"/>
      <c r="I72" s="266"/>
      <c r="J72" s="266"/>
      <c r="K72" s="266"/>
      <c r="L72" s="266"/>
      <c r="M72" s="266"/>
      <c r="N72" s="266"/>
      <c r="O72" s="266"/>
      <c r="P72" s="266"/>
    </row>
    <row r="73" spans="1:20" ht="32.25" customHeight="1" x14ac:dyDescent="0.25">
      <c r="A73" s="123" t="s">
        <v>456</v>
      </c>
      <c r="B73" s="219">
        <f>(B47+B70)*B42*B9/100</f>
        <v>7439264.0491281478</v>
      </c>
      <c r="C73" s="92" t="s">
        <v>165</v>
      </c>
      <c r="D73" s="92" t="s">
        <v>1280</v>
      </c>
      <c r="E73" s="92"/>
      <c r="G73" s="266"/>
      <c r="H73" s="266"/>
      <c r="I73" s="266"/>
      <c r="J73" s="266"/>
      <c r="K73" s="266"/>
      <c r="L73" s="266"/>
      <c r="M73" s="266"/>
      <c r="N73" s="266"/>
      <c r="O73" s="266"/>
      <c r="P73" s="266"/>
    </row>
    <row r="74" spans="1:20" ht="32.25" customHeight="1" x14ac:dyDescent="0.25">
      <c r="A74" s="123" t="s">
        <v>457</v>
      </c>
      <c r="B74" s="378">
        <f>(B54+B71)*B50*B9/100</f>
        <v>20366727.799864359</v>
      </c>
      <c r="C74" s="92" t="s">
        <v>165</v>
      </c>
      <c r="D74" s="92" t="s">
        <v>1280</v>
      </c>
      <c r="E74" s="92"/>
      <c r="G74" s="266"/>
      <c r="H74" s="266"/>
      <c r="I74" s="266"/>
      <c r="J74" s="266"/>
      <c r="K74" s="266"/>
      <c r="L74" s="266"/>
      <c r="M74" s="266"/>
      <c r="N74" s="266"/>
      <c r="O74" s="266"/>
      <c r="P74" s="266"/>
    </row>
    <row r="75" spans="1:20" ht="32.25" customHeight="1" x14ac:dyDescent="0.25">
      <c r="A75" s="123" t="s">
        <v>458</v>
      </c>
      <c r="B75" s="379">
        <f>(B72+B61)*B57*B9/100</f>
        <v>16821971.298670296</v>
      </c>
      <c r="C75" s="92" t="s">
        <v>165</v>
      </c>
      <c r="D75" s="92" t="s">
        <v>1280</v>
      </c>
      <c r="E75" s="92"/>
      <c r="G75" s="266"/>
      <c r="H75" s="266"/>
      <c r="I75" s="266"/>
      <c r="J75" s="266"/>
      <c r="K75" s="266"/>
      <c r="L75" s="266"/>
      <c r="M75" s="266"/>
      <c r="N75" s="266"/>
      <c r="O75" s="266"/>
      <c r="P75" s="266"/>
    </row>
    <row r="76" spans="1:20" x14ac:dyDescent="0.25">
      <c r="A76" s="103" t="s">
        <v>461</v>
      </c>
      <c r="B76" s="103"/>
      <c r="C76" s="103"/>
      <c r="D76" s="103"/>
      <c r="E76" s="103"/>
      <c r="G76" s="266"/>
      <c r="H76" s="266"/>
      <c r="I76" s="266"/>
      <c r="J76" s="266"/>
      <c r="K76" s="266"/>
      <c r="L76" s="266"/>
      <c r="M76" s="266"/>
      <c r="N76" s="266"/>
      <c r="O76" s="266"/>
      <c r="P76" s="266"/>
    </row>
    <row r="77" spans="1:20" ht="32.25" customHeight="1" x14ac:dyDescent="0.25">
      <c r="A77" s="112" t="s">
        <v>443</v>
      </c>
      <c r="B77" s="380">
        <f>HLOOKUP(B63,G63:J68,4,FALSE)</f>
        <v>40</v>
      </c>
      <c r="C77" s="112" t="s">
        <v>47</v>
      </c>
      <c r="D77" s="92"/>
      <c r="E77" s="218" t="s">
        <v>486</v>
      </c>
      <c r="G77" s="266"/>
      <c r="H77" s="266"/>
      <c r="I77" s="266"/>
      <c r="J77" s="266"/>
      <c r="K77" s="266"/>
      <c r="L77" s="266"/>
      <c r="M77" s="266"/>
      <c r="N77" s="266"/>
      <c r="O77" s="266"/>
      <c r="P77" s="266"/>
    </row>
    <row r="78" spans="1:20" ht="30.75" customHeight="1" x14ac:dyDescent="0.25">
      <c r="A78" s="314" t="s">
        <v>499</v>
      </c>
      <c r="B78" s="305">
        <v>92</v>
      </c>
      <c r="C78" s="112" t="s">
        <v>47</v>
      </c>
      <c r="D78" s="92" t="s">
        <v>500</v>
      </c>
      <c r="E78" s="93" t="s">
        <v>459</v>
      </c>
      <c r="G78" s="266"/>
      <c r="H78" s="266"/>
      <c r="I78" s="266"/>
      <c r="J78" s="266"/>
      <c r="K78" s="266"/>
      <c r="L78" s="266"/>
      <c r="M78" s="266"/>
      <c r="N78" s="266"/>
      <c r="O78" s="266"/>
      <c r="P78" s="266"/>
    </row>
    <row r="79" spans="1:20" ht="32.25" customHeight="1" x14ac:dyDescent="0.25">
      <c r="A79" s="176" t="s">
        <v>465</v>
      </c>
      <c r="B79" s="94">
        <f>(B64*B42*(B78/100)*24*365)/(B77/100)</f>
        <v>1007400</v>
      </c>
      <c r="C79" s="92" t="s">
        <v>466</v>
      </c>
      <c r="D79" s="52"/>
      <c r="E79" s="52"/>
      <c r="G79" s="266"/>
      <c r="H79" s="266"/>
      <c r="I79" s="266"/>
      <c r="J79" s="266"/>
      <c r="K79" s="266"/>
      <c r="L79" s="266"/>
      <c r="M79" s="266"/>
      <c r="N79" s="266"/>
      <c r="O79" s="266"/>
      <c r="P79" s="266"/>
    </row>
    <row r="80" spans="1:20" ht="30.75" customHeight="1" x14ac:dyDescent="0.25">
      <c r="A80" s="92" t="s">
        <v>468</v>
      </c>
      <c r="B80" s="94">
        <f>(B65*B50*(B78/100)*24*365)/(B77/100)</f>
        <v>9671040</v>
      </c>
      <c r="C80" s="92" t="s">
        <v>466</v>
      </c>
      <c r="D80" s="52"/>
      <c r="E80" s="52"/>
      <c r="G80" s="266"/>
      <c r="H80" s="266"/>
      <c r="I80" s="266"/>
      <c r="J80" s="266"/>
      <c r="K80" s="266"/>
      <c r="L80" s="266"/>
      <c r="M80" s="266"/>
      <c r="N80" s="266"/>
      <c r="O80" s="266"/>
      <c r="P80" s="266"/>
    </row>
    <row r="81" spans="1:19" ht="30.75" customHeight="1" x14ac:dyDescent="0.25">
      <c r="A81" s="92" t="s">
        <v>469</v>
      </c>
      <c r="B81" s="94">
        <f>(B66*B57*B56*(B78/100)*24*365)/(B77/100)</f>
        <v>91684763.615956485</v>
      </c>
      <c r="C81" s="92" t="s">
        <v>466</v>
      </c>
      <c r="D81" s="52"/>
      <c r="E81" s="52"/>
      <c r="G81" s="266"/>
      <c r="H81" s="266"/>
      <c r="I81" s="266"/>
      <c r="J81" s="266"/>
      <c r="K81" s="266"/>
      <c r="L81" s="266"/>
      <c r="M81" s="266"/>
      <c r="N81" s="266"/>
      <c r="O81" s="266"/>
      <c r="P81" s="266"/>
    </row>
    <row r="82" spans="1:19" x14ac:dyDescent="0.25">
      <c r="A82" s="118" t="s">
        <v>234</v>
      </c>
      <c r="B82" s="119"/>
      <c r="C82" s="119"/>
      <c r="D82" s="119"/>
      <c r="E82" s="120"/>
      <c r="G82" s="266"/>
      <c r="H82" s="266"/>
      <c r="I82" s="266"/>
      <c r="J82" s="266"/>
      <c r="K82" s="266"/>
      <c r="L82" s="266"/>
      <c r="M82" s="266"/>
      <c r="N82" s="266"/>
      <c r="O82" s="266"/>
      <c r="P82" s="266"/>
    </row>
    <row r="83" spans="1:19" x14ac:dyDescent="0.25">
      <c r="A83" s="103" t="s">
        <v>231</v>
      </c>
      <c r="B83" s="103"/>
      <c r="C83" s="103"/>
      <c r="D83" s="103"/>
      <c r="E83" s="103"/>
      <c r="G83" s="266"/>
      <c r="H83" s="266"/>
      <c r="I83" s="266"/>
      <c r="J83" s="266"/>
      <c r="K83" s="266"/>
      <c r="L83" s="266"/>
      <c r="M83" s="266"/>
      <c r="N83" s="266"/>
      <c r="O83" s="266"/>
      <c r="P83" s="266"/>
    </row>
    <row r="84" spans="1:19" ht="33" customHeight="1" x14ac:dyDescent="0.25">
      <c r="A84" s="92" t="s">
        <v>226</v>
      </c>
      <c r="B84" s="94">
        <f>ROUND(0.034*(B13^0.8),0)</f>
        <v>69</v>
      </c>
      <c r="C84" s="121" t="s">
        <v>175</v>
      </c>
      <c r="D84" s="121"/>
      <c r="E84" s="702" t="s">
        <v>164</v>
      </c>
      <c r="Q84" s="47"/>
      <c r="R84" s="47"/>
      <c r="S84" s="47"/>
    </row>
    <row r="85" spans="1:19" ht="29.25" customHeight="1" x14ac:dyDescent="0.25">
      <c r="A85" s="92" t="s">
        <v>223</v>
      </c>
      <c r="B85" s="94">
        <f>ROUND(7.2*(B13^0.3),0)</f>
        <v>125</v>
      </c>
      <c r="C85" s="121" t="s">
        <v>175</v>
      </c>
      <c r="D85" s="121"/>
      <c r="E85" s="703"/>
      <c r="Q85" s="76"/>
      <c r="R85" s="76"/>
      <c r="S85" s="76"/>
    </row>
    <row r="86" spans="1:19" ht="33" customHeight="1" x14ac:dyDescent="0.25">
      <c r="A86" s="92" t="s">
        <v>224</v>
      </c>
      <c r="B86" s="94">
        <f>ROUND(0.254*(B84+B85),0)</f>
        <v>49</v>
      </c>
      <c r="C86" s="121" t="s">
        <v>175</v>
      </c>
      <c r="D86" s="121"/>
      <c r="E86" s="703"/>
    </row>
    <row r="87" spans="1:19" ht="31.5" customHeight="1" x14ac:dyDescent="0.25">
      <c r="A87" s="92" t="s">
        <v>225</v>
      </c>
      <c r="B87" s="94">
        <f>ROUND(0.11*(B84+B85+B86),0)</f>
        <v>27</v>
      </c>
      <c r="C87" s="121" t="s">
        <v>175</v>
      </c>
      <c r="D87" s="121"/>
      <c r="E87" s="704"/>
    </row>
    <row r="88" spans="1:19" x14ac:dyDescent="0.25">
      <c r="A88" s="103" t="s">
        <v>232</v>
      </c>
      <c r="B88" s="103"/>
      <c r="C88" s="103"/>
      <c r="D88" s="103"/>
      <c r="E88" s="103"/>
    </row>
    <row r="89" spans="1:19" ht="31.5" customHeight="1" x14ac:dyDescent="0.25">
      <c r="A89" s="121" t="s">
        <v>229</v>
      </c>
      <c r="B89" s="100">
        <v>0.5</v>
      </c>
      <c r="C89" s="121" t="s">
        <v>597</v>
      </c>
      <c r="D89" s="121" t="s">
        <v>238</v>
      </c>
      <c r="E89" s="122" t="s">
        <v>228</v>
      </c>
    </row>
    <row r="90" spans="1:19" x14ac:dyDescent="0.25">
      <c r="A90" s="103" t="s">
        <v>233</v>
      </c>
      <c r="B90" s="103"/>
      <c r="C90" s="103"/>
      <c r="D90" s="103"/>
      <c r="E90" s="103"/>
    </row>
    <row r="91" spans="1:19" ht="32.25" customHeight="1" x14ac:dyDescent="0.25">
      <c r="A91" s="268" t="s">
        <v>230</v>
      </c>
      <c r="B91" s="221">
        <v>25</v>
      </c>
      <c r="C91" s="101" t="s">
        <v>598</v>
      </c>
      <c r="D91" s="101"/>
      <c r="E91" s="99" t="s">
        <v>599</v>
      </c>
    </row>
    <row r="92" spans="1:19" x14ac:dyDescent="0.25">
      <c r="A92" s="118" t="s">
        <v>221</v>
      </c>
      <c r="B92" s="119"/>
      <c r="C92" s="119"/>
      <c r="D92" s="119"/>
      <c r="E92" s="120"/>
    </row>
    <row r="93" spans="1:19" x14ac:dyDescent="0.25">
      <c r="A93" s="103" t="s">
        <v>240</v>
      </c>
      <c r="B93" s="103"/>
      <c r="C93" s="103"/>
      <c r="D93" s="103"/>
      <c r="E93" s="117"/>
    </row>
    <row r="94" spans="1:19" ht="33.75" customHeight="1" x14ac:dyDescent="0.25">
      <c r="A94" s="112" t="s">
        <v>1020</v>
      </c>
      <c r="B94" s="523">
        <v>1920</v>
      </c>
      <c r="C94" s="112" t="s">
        <v>1021</v>
      </c>
      <c r="D94" s="112"/>
      <c r="E94" s="218" t="s">
        <v>1022</v>
      </c>
    </row>
    <row r="95" spans="1:19" ht="33.75" customHeight="1" x14ac:dyDescent="0.25">
      <c r="A95" s="112" t="s">
        <v>1024</v>
      </c>
      <c r="B95" s="616">
        <v>36</v>
      </c>
      <c r="C95" s="112" t="s">
        <v>1023</v>
      </c>
      <c r="D95" s="112"/>
      <c r="E95" s="93" t="s">
        <v>1025</v>
      </c>
    </row>
    <row r="96" spans="1:19" ht="31.5" customHeight="1" x14ac:dyDescent="0.25">
      <c r="A96" s="121" t="s">
        <v>245</v>
      </c>
      <c r="B96" s="125">
        <f>SUM(B84:B87)*B94*B95</f>
        <v>18662400</v>
      </c>
      <c r="C96" s="121" t="s">
        <v>261</v>
      </c>
      <c r="D96" s="121" t="s">
        <v>241</v>
      </c>
      <c r="E96" s="122"/>
      <c r="G96" s="335"/>
    </row>
    <row r="97" spans="1:5" x14ac:dyDescent="0.25">
      <c r="A97" s="103" t="s">
        <v>673</v>
      </c>
      <c r="B97" s="103"/>
      <c r="C97" s="103"/>
      <c r="D97" s="103"/>
      <c r="E97" s="117"/>
    </row>
    <row r="98" spans="1:5" ht="33.75" customHeight="1" x14ac:dyDescent="0.25">
      <c r="A98" s="121" t="s">
        <v>470</v>
      </c>
      <c r="B98" s="399">
        <f>HLOOKUP(B63,G63:J68,5,FALSE)</f>
        <v>0.13800000000000001</v>
      </c>
      <c r="C98" s="121" t="s">
        <v>262</v>
      </c>
      <c r="D98" s="92"/>
      <c r="E98" s="126" t="s">
        <v>486</v>
      </c>
    </row>
    <row r="99" spans="1:5" ht="33" customHeight="1" x14ac:dyDescent="0.25">
      <c r="A99" s="121" t="s">
        <v>472</v>
      </c>
      <c r="B99" s="127">
        <f>B98*B79</f>
        <v>139021.20000000001</v>
      </c>
      <c r="C99" s="121" t="s">
        <v>261</v>
      </c>
      <c r="D99" s="92" t="s">
        <v>243</v>
      </c>
      <c r="E99" s="122"/>
    </row>
    <row r="100" spans="1:5" ht="33" customHeight="1" x14ac:dyDescent="0.25">
      <c r="A100" s="121" t="s">
        <v>473</v>
      </c>
      <c r="B100" s="125">
        <f>B98*B80</f>
        <v>1334603.52</v>
      </c>
      <c r="C100" s="121" t="s">
        <v>261</v>
      </c>
      <c r="D100" s="92" t="s">
        <v>244</v>
      </c>
      <c r="E100" s="122"/>
    </row>
    <row r="101" spans="1:5" ht="33" customHeight="1" x14ac:dyDescent="0.25">
      <c r="A101" s="121" t="s">
        <v>474</v>
      </c>
      <c r="B101" s="125">
        <f>B98*B81</f>
        <v>12652497.379001996</v>
      </c>
      <c r="C101" s="121" t="s">
        <v>261</v>
      </c>
      <c r="D101" s="92"/>
      <c r="E101" s="122"/>
    </row>
    <row r="102" spans="1:5" x14ac:dyDescent="0.25">
      <c r="A102" s="103" t="s">
        <v>236</v>
      </c>
      <c r="B102" s="103"/>
      <c r="C102" s="103"/>
      <c r="D102" s="103"/>
      <c r="E102" s="117"/>
    </row>
    <row r="103" spans="1:5" ht="34.5" customHeight="1" x14ac:dyDescent="0.25">
      <c r="A103" s="121" t="s">
        <v>237</v>
      </c>
      <c r="B103" s="87">
        <v>2059.3000000000002</v>
      </c>
      <c r="C103" s="121" t="s">
        <v>601</v>
      </c>
      <c r="D103" s="92" t="s">
        <v>238</v>
      </c>
      <c r="E103" s="93" t="s">
        <v>602</v>
      </c>
    </row>
    <row r="104" spans="1:5" ht="30.75" customHeight="1" x14ac:dyDescent="0.25">
      <c r="A104" s="121" t="s">
        <v>246</v>
      </c>
      <c r="B104" s="127">
        <f>B89/1000*B12*B103</f>
        <v>5148250</v>
      </c>
      <c r="C104" s="121" t="s">
        <v>261</v>
      </c>
      <c r="D104" s="92" t="s">
        <v>247</v>
      </c>
      <c r="E104" s="124"/>
    </row>
    <row r="105" spans="1:5" x14ac:dyDescent="0.25">
      <c r="A105" s="103" t="s">
        <v>674</v>
      </c>
      <c r="B105" s="103"/>
      <c r="C105" s="103"/>
      <c r="D105" s="103"/>
      <c r="E105" s="117"/>
    </row>
    <row r="106" spans="1:5" ht="32.25" customHeight="1" x14ac:dyDescent="0.25">
      <c r="A106" s="92" t="s">
        <v>239</v>
      </c>
      <c r="B106" s="27">
        <v>8.3000000000000004E-2</v>
      </c>
      <c r="C106" s="92" t="s">
        <v>262</v>
      </c>
      <c r="D106" s="92"/>
      <c r="E106" s="124"/>
    </row>
    <row r="107" spans="1:5" ht="36" customHeight="1" x14ac:dyDescent="0.25">
      <c r="A107" s="123" t="s">
        <v>248</v>
      </c>
      <c r="B107" s="128">
        <f>B91*B12*B106*(B14/100)</f>
        <v>9337500</v>
      </c>
      <c r="C107" s="92" t="s">
        <v>261</v>
      </c>
      <c r="D107" s="92" t="s">
        <v>249</v>
      </c>
      <c r="E107" s="92"/>
    </row>
    <row r="108" spans="1:5" x14ac:dyDescent="0.25">
      <c r="A108" s="345" t="s">
        <v>235</v>
      </c>
      <c r="B108" s="345"/>
      <c r="C108" s="345"/>
      <c r="D108" s="345"/>
      <c r="E108" s="346"/>
    </row>
    <row r="109" spans="1:5" ht="27.75" customHeight="1" x14ac:dyDescent="0.25">
      <c r="A109" s="101" t="s">
        <v>162</v>
      </c>
      <c r="B109" s="94">
        <f>203705*(B13^0.3)</f>
        <v>3548173.3611034551</v>
      </c>
      <c r="C109" s="112" t="s">
        <v>261</v>
      </c>
      <c r="D109" s="92" t="s">
        <v>250</v>
      </c>
      <c r="E109" s="123" t="s">
        <v>227</v>
      </c>
    </row>
    <row r="110" spans="1:5" x14ac:dyDescent="0.25">
      <c r="A110" s="103" t="s">
        <v>89</v>
      </c>
      <c r="B110" s="347"/>
      <c r="C110" s="347"/>
      <c r="D110" s="347"/>
      <c r="E110" s="348"/>
    </row>
    <row r="111" spans="1:5" ht="31.5" customHeight="1" x14ac:dyDescent="0.25">
      <c r="A111" s="92" t="s">
        <v>89</v>
      </c>
      <c r="B111" s="87">
        <v>0</v>
      </c>
      <c r="C111" s="92" t="s">
        <v>261</v>
      </c>
      <c r="D111" s="92" t="s">
        <v>259</v>
      </c>
      <c r="E111" s="92"/>
    </row>
    <row r="112" spans="1:5" x14ac:dyDescent="0.25">
      <c r="A112" s="118" t="s">
        <v>366</v>
      </c>
      <c r="B112" s="119"/>
      <c r="C112" s="119"/>
      <c r="D112" s="119"/>
      <c r="E112" s="120"/>
    </row>
    <row r="113" spans="1:5" x14ac:dyDescent="0.25">
      <c r="A113" s="103" t="s">
        <v>645</v>
      </c>
      <c r="B113" s="103"/>
      <c r="C113" s="103"/>
      <c r="D113" s="103"/>
      <c r="E113" s="117"/>
    </row>
    <row r="114" spans="1:5" ht="39.75" customHeight="1" x14ac:dyDescent="0.25">
      <c r="A114" s="121" t="s">
        <v>646</v>
      </c>
      <c r="B114" s="27">
        <v>0</v>
      </c>
      <c r="C114" s="121" t="s">
        <v>647</v>
      </c>
      <c r="D114" s="121" t="s">
        <v>651</v>
      </c>
      <c r="E114" s="126" t="s">
        <v>648</v>
      </c>
    </row>
    <row r="115" spans="1:5" x14ac:dyDescent="0.25">
      <c r="A115" s="103" t="s">
        <v>378</v>
      </c>
      <c r="B115" s="103"/>
      <c r="C115" s="103"/>
      <c r="D115" s="103"/>
      <c r="E115" s="117"/>
    </row>
    <row r="116" spans="1:5" ht="34.5" customHeight="1" x14ac:dyDescent="0.25">
      <c r="A116" s="101" t="s">
        <v>377</v>
      </c>
      <c r="B116" s="368">
        <v>0.63</v>
      </c>
      <c r="C116" s="112" t="s">
        <v>415</v>
      </c>
      <c r="D116" s="267" t="s">
        <v>874</v>
      </c>
      <c r="E116" s="294" t="s">
        <v>420</v>
      </c>
    </row>
    <row r="117" spans="1:5" ht="33" customHeight="1" x14ac:dyDescent="0.25">
      <c r="A117" s="101" t="s">
        <v>667</v>
      </c>
      <c r="B117" s="282">
        <f>HLOOKUP(B63,G63:J68,6,FALSE)</f>
        <v>0.253</v>
      </c>
      <c r="C117" s="264" t="s">
        <v>475</v>
      </c>
      <c r="D117" s="101"/>
      <c r="E117" s="126" t="s">
        <v>471</v>
      </c>
    </row>
    <row r="118" spans="1:5" ht="33.75" customHeight="1" x14ac:dyDescent="0.25">
      <c r="A118" s="101" t="s">
        <v>380</v>
      </c>
      <c r="B118" s="87">
        <v>1.4</v>
      </c>
      <c r="C118" s="264" t="s">
        <v>386</v>
      </c>
      <c r="D118" s="101" t="s">
        <v>238</v>
      </c>
      <c r="E118" s="108" t="s">
        <v>603</v>
      </c>
    </row>
    <row r="119" spans="1:5" x14ac:dyDescent="0.25">
      <c r="A119" s="103" t="s">
        <v>382</v>
      </c>
      <c r="B119" s="103"/>
      <c r="C119" s="103"/>
      <c r="D119" s="103"/>
      <c r="E119" s="117"/>
    </row>
    <row r="120" spans="1:5" ht="37.5" customHeight="1" x14ac:dyDescent="0.25">
      <c r="A120" s="696" t="s">
        <v>381</v>
      </c>
      <c r="B120" s="227">
        <f>B91*B12*B116*(B14/100)</f>
        <v>70875000</v>
      </c>
      <c r="C120" s="112" t="s">
        <v>385</v>
      </c>
      <c r="D120" s="295"/>
      <c r="E120" s="124"/>
    </row>
    <row r="121" spans="1:5" ht="27.75" customHeight="1" x14ac:dyDescent="0.25">
      <c r="A121" s="697"/>
      <c r="B121" s="373">
        <f>B91*B116</f>
        <v>15.75</v>
      </c>
      <c r="C121" s="112" t="s">
        <v>604</v>
      </c>
      <c r="D121" s="92"/>
      <c r="E121" s="124"/>
    </row>
    <row r="122" spans="1:5" ht="30.75" customHeight="1" x14ac:dyDescent="0.25">
      <c r="A122" s="696" t="s">
        <v>476</v>
      </c>
      <c r="B122" s="281">
        <f>B79*B117</f>
        <v>254872.2</v>
      </c>
      <c r="C122" s="112" t="s">
        <v>385</v>
      </c>
      <c r="D122" s="92"/>
      <c r="E122" s="124"/>
    </row>
    <row r="123" spans="1:5" ht="30.75" customHeight="1" x14ac:dyDescent="0.25">
      <c r="A123" s="697"/>
      <c r="B123" s="281">
        <f>B122/(B12*B14/100)</f>
        <v>5.6638266666666666E-2</v>
      </c>
      <c r="C123" s="264" t="s">
        <v>604</v>
      </c>
      <c r="D123" s="101"/>
      <c r="E123" s="99"/>
    </row>
    <row r="124" spans="1:5" ht="30.75" customHeight="1" x14ac:dyDescent="0.25">
      <c r="A124" s="696" t="s">
        <v>477</v>
      </c>
      <c r="B124" s="281">
        <f>B80*B117</f>
        <v>2446773.12</v>
      </c>
      <c r="C124" s="112" t="s">
        <v>385</v>
      </c>
      <c r="D124" s="92"/>
      <c r="E124" s="124"/>
    </row>
    <row r="125" spans="1:5" ht="30.75" customHeight="1" x14ac:dyDescent="0.25">
      <c r="A125" s="697"/>
      <c r="B125" s="281">
        <f>B124/(B12*B14/100)</f>
        <v>0.54372735999999999</v>
      </c>
      <c r="C125" s="264" t="s">
        <v>604</v>
      </c>
      <c r="D125" s="101"/>
      <c r="E125" s="99"/>
    </row>
    <row r="126" spans="1:5" ht="30.75" customHeight="1" x14ac:dyDescent="0.25">
      <c r="A126" s="696" t="s">
        <v>478</v>
      </c>
      <c r="B126" s="281">
        <f>B81*B117</f>
        <v>23196245.194836993</v>
      </c>
      <c r="C126" s="112" t="s">
        <v>385</v>
      </c>
      <c r="D126" s="92"/>
      <c r="E126" s="124"/>
    </row>
    <row r="127" spans="1:5" ht="30.75" customHeight="1" x14ac:dyDescent="0.25">
      <c r="A127" s="697"/>
      <c r="B127" s="281">
        <f>B126/(B12*B14/100)</f>
        <v>5.1547211544082208</v>
      </c>
      <c r="C127" s="264" t="s">
        <v>604</v>
      </c>
      <c r="D127" s="101"/>
      <c r="E127" s="99"/>
    </row>
    <row r="128" spans="1:5" ht="30.75" customHeight="1" x14ac:dyDescent="0.25">
      <c r="A128" s="693" t="s">
        <v>380</v>
      </c>
      <c r="B128" s="125">
        <f>B89*B12*B14/100*B118</f>
        <v>3150000</v>
      </c>
      <c r="C128" s="112" t="s">
        <v>385</v>
      </c>
      <c r="D128" s="92"/>
      <c r="E128" s="124"/>
    </row>
    <row r="129" spans="1:5" ht="30.75" customHeight="1" x14ac:dyDescent="0.25">
      <c r="A129" s="694"/>
      <c r="B129" s="374">
        <f>B128/(B12*B14/100)</f>
        <v>0.7</v>
      </c>
      <c r="C129" s="264" t="s">
        <v>604</v>
      </c>
      <c r="D129" s="101"/>
      <c r="E129" s="99"/>
    </row>
    <row r="130" spans="1:5" ht="30.75" customHeight="1" x14ac:dyDescent="0.25">
      <c r="A130" s="112" t="s">
        <v>528</v>
      </c>
      <c r="B130" s="374">
        <f>B121</f>
        <v>15.75</v>
      </c>
      <c r="C130" s="112" t="s">
        <v>604</v>
      </c>
      <c r="D130" s="92"/>
      <c r="E130" s="124"/>
    </row>
    <row r="131" spans="1:5" ht="30.75" customHeight="1" x14ac:dyDescent="0.25">
      <c r="A131" s="112" t="s">
        <v>529</v>
      </c>
      <c r="B131" s="374">
        <f>B123+B125+B127+B129</f>
        <v>6.455086781074888</v>
      </c>
      <c r="C131" s="112" t="s">
        <v>604</v>
      </c>
      <c r="D131" s="92"/>
      <c r="E131" s="124"/>
    </row>
    <row r="132" spans="1:5" ht="30.75" customHeight="1" x14ac:dyDescent="0.25">
      <c r="A132" s="112" t="s">
        <v>530</v>
      </c>
      <c r="B132" s="375">
        <f>B130+B131</f>
        <v>22.20508678107489</v>
      </c>
      <c r="C132" s="112" t="s">
        <v>604</v>
      </c>
      <c r="D132" s="92"/>
      <c r="E132" s="124"/>
    </row>
    <row r="133" spans="1:5" x14ac:dyDescent="0.25">
      <c r="A133" s="118" t="s">
        <v>251</v>
      </c>
      <c r="B133" s="119"/>
      <c r="C133" s="119"/>
      <c r="D133" s="119"/>
      <c r="E133" s="120"/>
    </row>
    <row r="134" spans="1:5" x14ac:dyDescent="0.25">
      <c r="A134" s="103" t="s">
        <v>94</v>
      </c>
      <c r="B134" s="103"/>
      <c r="C134" s="103"/>
      <c r="D134" s="103"/>
      <c r="E134" s="117"/>
    </row>
    <row r="135" spans="1:5" ht="30" customHeight="1" x14ac:dyDescent="0.25">
      <c r="A135" s="92" t="s">
        <v>252</v>
      </c>
      <c r="B135" s="109">
        <f>B73*(B8/100)</f>
        <v>599503.53448874387</v>
      </c>
      <c r="C135" s="92" t="s">
        <v>261</v>
      </c>
      <c r="D135" s="92"/>
      <c r="E135" s="92"/>
    </row>
    <row r="136" spans="1:5" ht="33" customHeight="1" x14ac:dyDescent="0.25">
      <c r="A136" s="92" t="s">
        <v>253</v>
      </c>
      <c r="B136" s="109">
        <f>B74*(B8/100)</f>
        <v>1641281.3446808353</v>
      </c>
      <c r="C136" s="92" t="s">
        <v>261</v>
      </c>
      <c r="D136" s="92"/>
      <c r="E136" s="92"/>
    </row>
    <row r="137" spans="1:5" ht="29.25" customHeight="1" x14ac:dyDescent="0.25">
      <c r="A137" s="92" t="s">
        <v>254</v>
      </c>
      <c r="B137" s="109">
        <f>B75*(B8/100)</f>
        <v>1355622.1669269756</v>
      </c>
      <c r="C137" s="92" t="s">
        <v>261</v>
      </c>
      <c r="D137" s="92"/>
      <c r="E137" s="92"/>
    </row>
    <row r="138" spans="1:5" ht="30.75" customHeight="1" x14ac:dyDescent="0.25">
      <c r="A138" s="92" t="s">
        <v>256</v>
      </c>
      <c r="B138" s="94">
        <f>(B20+B24+B28+B32)*(B8/100)</f>
        <v>8741738.2254993934</v>
      </c>
      <c r="C138" s="92" t="s">
        <v>261</v>
      </c>
      <c r="D138" s="92"/>
      <c r="E138" s="92"/>
    </row>
    <row r="139" spans="1:5" ht="33.75" customHeight="1" x14ac:dyDescent="0.25">
      <c r="A139" s="92" t="s">
        <v>257</v>
      </c>
      <c r="B139" s="94">
        <f>B37*(B8/100)</f>
        <v>418881.2262978417</v>
      </c>
      <c r="C139" s="92" t="s">
        <v>261</v>
      </c>
      <c r="D139" s="92"/>
      <c r="E139" s="92"/>
    </row>
    <row r="140" spans="1:5" ht="33" customHeight="1" x14ac:dyDescent="0.25">
      <c r="A140" s="92" t="s">
        <v>260</v>
      </c>
      <c r="B140" s="94">
        <f>B39*(B8/100)</f>
        <v>0</v>
      </c>
      <c r="C140" s="92" t="s">
        <v>261</v>
      </c>
      <c r="D140" s="92"/>
      <c r="E140" s="92"/>
    </row>
    <row r="141" spans="1:5" x14ac:dyDescent="0.25">
      <c r="A141" s="103" t="s">
        <v>96</v>
      </c>
      <c r="B141" s="103"/>
      <c r="C141" s="103"/>
      <c r="D141" s="103"/>
      <c r="E141" s="117"/>
    </row>
    <row r="142" spans="1:5" ht="28.5" customHeight="1" x14ac:dyDescent="0.25">
      <c r="A142" s="92" t="s">
        <v>245</v>
      </c>
      <c r="B142" s="109">
        <f>B96</f>
        <v>18662400</v>
      </c>
      <c r="C142" s="92" t="s">
        <v>261</v>
      </c>
      <c r="D142" s="92"/>
      <c r="E142" s="92"/>
    </row>
    <row r="143" spans="1:5" ht="30" customHeight="1" x14ac:dyDescent="0.25">
      <c r="A143" s="92" t="s">
        <v>472</v>
      </c>
      <c r="B143" s="109">
        <f>B99</f>
        <v>139021.20000000001</v>
      </c>
      <c r="C143" s="92" t="s">
        <v>261</v>
      </c>
      <c r="D143" s="92"/>
      <c r="E143" s="92"/>
    </row>
    <row r="144" spans="1:5" ht="30" customHeight="1" x14ac:dyDescent="0.25">
      <c r="A144" s="92" t="s">
        <v>473</v>
      </c>
      <c r="B144" s="109">
        <f>B100</f>
        <v>1334603.52</v>
      </c>
      <c r="C144" s="92" t="s">
        <v>261</v>
      </c>
      <c r="D144" s="92"/>
      <c r="E144" s="92"/>
    </row>
    <row r="145" spans="1:7" ht="30" customHeight="1" x14ac:dyDescent="0.25">
      <c r="A145" s="92" t="s">
        <v>474</v>
      </c>
      <c r="B145" s="109">
        <f>B101</f>
        <v>12652497.379001996</v>
      </c>
      <c r="C145" s="92" t="s">
        <v>261</v>
      </c>
      <c r="D145" s="92"/>
      <c r="E145" s="92"/>
    </row>
    <row r="146" spans="1:7" ht="30" customHeight="1" x14ac:dyDescent="0.25">
      <c r="A146" s="92" t="s">
        <v>246</v>
      </c>
      <c r="B146" s="109">
        <f>B104</f>
        <v>5148250</v>
      </c>
      <c r="C146" s="92" t="s">
        <v>261</v>
      </c>
      <c r="D146" s="92"/>
      <c r="E146" s="92"/>
    </row>
    <row r="147" spans="1:7" ht="30" customHeight="1" x14ac:dyDescent="0.25">
      <c r="A147" s="123" t="s">
        <v>248</v>
      </c>
      <c r="B147" s="109">
        <f>B107</f>
        <v>9337500</v>
      </c>
      <c r="C147" s="92" t="s">
        <v>261</v>
      </c>
      <c r="D147" s="92"/>
      <c r="E147" s="92"/>
    </row>
    <row r="148" spans="1:7" ht="29.25" customHeight="1" x14ac:dyDescent="0.25">
      <c r="A148" s="92" t="s">
        <v>162</v>
      </c>
      <c r="B148" s="109">
        <f>B109</f>
        <v>3548173.3611034551</v>
      </c>
      <c r="C148" s="92" t="s">
        <v>261</v>
      </c>
      <c r="D148" s="92"/>
      <c r="E148" s="92"/>
    </row>
    <row r="149" spans="1:7" ht="33.75" customHeight="1" x14ac:dyDescent="0.25">
      <c r="A149" s="92" t="s">
        <v>89</v>
      </c>
      <c r="B149" s="109">
        <f>B111*(B8/100)</f>
        <v>0</v>
      </c>
      <c r="C149" s="92" t="s">
        <v>261</v>
      </c>
      <c r="D149" s="92"/>
      <c r="E149" s="92"/>
    </row>
    <row r="150" spans="1:7" ht="33.75" customHeight="1" x14ac:dyDescent="0.25">
      <c r="A150" s="92" t="s">
        <v>649</v>
      </c>
      <c r="B150" s="109">
        <f>B114*B131*B152/1000</f>
        <v>0</v>
      </c>
      <c r="C150" s="92" t="s">
        <v>261</v>
      </c>
      <c r="D150" s="92" t="s">
        <v>650</v>
      </c>
      <c r="E150" s="92"/>
    </row>
    <row r="151" spans="1:7" x14ac:dyDescent="0.25">
      <c r="A151" s="103" t="s">
        <v>387</v>
      </c>
      <c r="B151" s="103"/>
      <c r="C151" s="103"/>
      <c r="D151" s="103"/>
      <c r="E151" s="117"/>
    </row>
    <row r="152" spans="1:7" ht="30.75" customHeight="1" x14ac:dyDescent="0.25">
      <c r="A152" s="92" t="s">
        <v>501</v>
      </c>
      <c r="B152" s="109">
        <f>B12*(B14/100)</f>
        <v>4500000</v>
      </c>
      <c r="C152" s="92" t="s">
        <v>605</v>
      </c>
      <c r="D152" s="92" t="s">
        <v>660</v>
      </c>
      <c r="E152" s="92"/>
    </row>
    <row r="153" spans="1:7" x14ac:dyDescent="0.25">
      <c r="A153" s="103" t="s">
        <v>495</v>
      </c>
      <c r="B153" s="103"/>
      <c r="C153" s="103"/>
      <c r="D153" s="103"/>
      <c r="E153" s="117"/>
    </row>
    <row r="154" spans="1:7" ht="30.75" customHeight="1" x14ac:dyDescent="0.25">
      <c r="A154" s="268" t="s">
        <v>544</v>
      </c>
      <c r="B154" s="109">
        <f>B91*B12*(1/365)*(1/24)</f>
        <v>14269.406392694062</v>
      </c>
      <c r="C154" s="92" t="s">
        <v>491</v>
      </c>
      <c r="D154" s="92" t="s">
        <v>509</v>
      </c>
      <c r="E154" s="218"/>
    </row>
    <row r="155" spans="1:7" ht="36" customHeight="1" x14ac:dyDescent="0.25">
      <c r="A155" s="268" t="s">
        <v>505</v>
      </c>
      <c r="B155" s="315">
        <f>IF(B63="Diesel",(B79+B80+B81)/10.72,"not powered by diesel")</f>
        <v>9548806.3074586261</v>
      </c>
      <c r="C155" s="92" t="s">
        <v>502</v>
      </c>
      <c r="D155" s="92"/>
      <c r="E155" s="93" t="s">
        <v>504</v>
      </c>
    </row>
    <row r="156" spans="1:7" ht="30.75" customHeight="1" x14ac:dyDescent="0.25">
      <c r="A156" s="268" t="s">
        <v>508</v>
      </c>
      <c r="B156" s="315" t="str">
        <f>IF(B63="Battery",(B79+B80+B81)*(1/365)*(1/24),"not powered by battery")</f>
        <v>not powered by battery</v>
      </c>
      <c r="C156" s="92" t="s">
        <v>491</v>
      </c>
      <c r="D156" s="92"/>
      <c r="E156" s="92"/>
    </row>
    <row r="157" spans="1:7" ht="30.75" customHeight="1" x14ac:dyDescent="0.25">
      <c r="A157" s="268" t="s">
        <v>503</v>
      </c>
      <c r="B157" s="315" t="str">
        <f>IF(B63="Hydrogen",(B79+B80+B81)/33.3,"not powered by hydrogen")</f>
        <v>not powered by hydrogen</v>
      </c>
      <c r="C157" s="92" t="s">
        <v>507</v>
      </c>
      <c r="D157" s="92"/>
      <c r="E157" s="218" t="s">
        <v>506</v>
      </c>
    </row>
    <row r="158" spans="1:7" ht="30.75" customHeight="1" x14ac:dyDescent="0.25">
      <c r="A158" s="268" t="s">
        <v>606</v>
      </c>
      <c r="B158" s="245">
        <f>(SUM(B79:B81)/B152)+(SUM(B91:B91))</f>
        <v>47.747378581323659</v>
      </c>
      <c r="C158" s="97" t="s">
        <v>607</v>
      </c>
      <c r="D158" s="92"/>
      <c r="E158" s="218"/>
    </row>
    <row r="159" spans="1:7" x14ac:dyDescent="0.25">
      <c r="A159" s="103" t="s">
        <v>1165</v>
      </c>
      <c r="B159" s="103"/>
      <c r="C159" s="103"/>
      <c r="D159" s="103"/>
      <c r="E159" s="117"/>
    </row>
    <row r="160" spans="1:7" ht="33.75" customHeight="1" x14ac:dyDescent="0.25">
      <c r="A160" s="123" t="s">
        <v>1168</v>
      </c>
      <c r="B160" s="197">
        <f>B135/$B$152</f>
        <v>0.13322300766416531</v>
      </c>
      <c r="C160" s="92" t="s">
        <v>608</v>
      </c>
      <c r="D160" s="113"/>
      <c r="E160" s="455"/>
      <c r="G160" s="326"/>
    </row>
    <row r="161" spans="1:7" ht="31.5" x14ac:dyDescent="0.25">
      <c r="A161" s="123" t="s">
        <v>1169</v>
      </c>
      <c r="B161" s="197">
        <f t="shared" ref="B161:B165" si="0">B136/$B$152</f>
        <v>0.36472918770685225</v>
      </c>
      <c r="C161" s="92" t="s">
        <v>608</v>
      </c>
      <c r="D161" s="113"/>
      <c r="E161" s="455"/>
    </row>
    <row r="162" spans="1:7" ht="31.5" x14ac:dyDescent="0.25">
      <c r="A162" s="123" t="s">
        <v>1170</v>
      </c>
      <c r="B162" s="197">
        <f t="shared" si="0"/>
        <v>0.30124937042821681</v>
      </c>
      <c r="C162" s="92" t="s">
        <v>608</v>
      </c>
      <c r="D162" s="113"/>
      <c r="E162" s="455"/>
    </row>
    <row r="163" spans="1:7" ht="31.5" x14ac:dyDescent="0.25">
      <c r="A163" s="123" t="s">
        <v>1171</v>
      </c>
      <c r="B163" s="197">
        <f t="shared" si="0"/>
        <v>1.9426084945554207</v>
      </c>
      <c r="C163" s="92" t="s">
        <v>608</v>
      </c>
      <c r="D163" s="113"/>
      <c r="E163" s="455"/>
    </row>
    <row r="164" spans="1:7" ht="30" customHeight="1" x14ac:dyDescent="0.25">
      <c r="A164" s="123" t="s">
        <v>1174</v>
      </c>
      <c r="B164" s="197">
        <f t="shared" si="0"/>
        <v>9.3084716955075933E-2</v>
      </c>
      <c r="C164" s="92" t="s">
        <v>608</v>
      </c>
      <c r="D164" s="113"/>
      <c r="E164" s="455"/>
    </row>
    <row r="165" spans="1:7" ht="36" customHeight="1" x14ac:dyDescent="0.25">
      <c r="A165" s="123" t="s">
        <v>1175</v>
      </c>
      <c r="B165" s="197">
        <f t="shared" si="0"/>
        <v>0</v>
      </c>
      <c r="C165" s="92" t="s">
        <v>608</v>
      </c>
      <c r="D165" s="113"/>
      <c r="E165" s="455"/>
    </row>
    <row r="166" spans="1:7" ht="31.5" customHeight="1" x14ac:dyDescent="0.25">
      <c r="A166" s="123" t="s">
        <v>1176</v>
      </c>
      <c r="B166" s="197">
        <f>B142/$B$152</f>
        <v>4.1471999999999998</v>
      </c>
      <c r="C166" s="92" t="s">
        <v>608</v>
      </c>
      <c r="D166" s="113"/>
      <c r="E166" s="455"/>
    </row>
    <row r="167" spans="1:7" ht="31.5" x14ac:dyDescent="0.25">
      <c r="A167" s="123" t="s">
        <v>1177</v>
      </c>
      <c r="B167" s="197">
        <f t="shared" ref="B167:B173" si="1">B143/$B$152</f>
        <v>3.0893600000000004E-2</v>
      </c>
      <c r="C167" s="92" t="s">
        <v>608</v>
      </c>
      <c r="D167" s="113"/>
      <c r="E167" s="455"/>
    </row>
    <row r="168" spans="1:7" ht="31.5" x14ac:dyDescent="0.25">
      <c r="A168" s="123" t="s">
        <v>1178</v>
      </c>
      <c r="B168" s="197">
        <f t="shared" si="1"/>
        <v>0.29657855999999999</v>
      </c>
      <c r="C168" s="92" t="s">
        <v>608</v>
      </c>
      <c r="D168" s="113"/>
      <c r="E168" s="455"/>
      <c r="G168" s="349"/>
    </row>
    <row r="169" spans="1:7" ht="31.5" x14ac:dyDescent="0.25">
      <c r="A169" s="123" t="s">
        <v>1179</v>
      </c>
      <c r="B169" s="197">
        <f t="shared" si="1"/>
        <v>2.8116660842226655</v>
      </c>
      <c r="C169" s="92" t="s">
        <v>608</v>
      </c>
      <c r="D169" s="113"/>
      <c r="E169" s="455"/>
    </row>
    <row r="170" spans="1:7" ht="34.5" customHeight="1" x14ac:dyDescent="0.25">
      <c r="A170" s="123" t="s">
        <v>1180</v>
      </c>
      <c r="B170" s="197">
        <f t="shared" si="1"/>
        <v>1.1440555555555556</v>
      </c>
      <c r="C170" s="92" t="s">
        <v>608</v>
      </c>
      <c r="D170" s="113"/>
      <c r="E170" s="455"/>
    </row>
    <row r="171" spans="1:7" ht="31.5" x14ac:dyDescent="0.25">
      <c r="A171" s="123" t="s">
        <v>1181</v>
      </c>
      <c r="B171" s="197">
        <f t="shared" si="1"/>
        <v>2.0750000000000002</v>
      </c>
      <c r="C171" s="92" t="s">
        <v>608</v>
      </c>
      <c r="D171" s="113"/>
      <c r="E171" s="455"/>
      <c r="G171" s="619"/>
    </row>
    <row r="172" spans="1:7" ht="31.5" x14ac:dyDescent="0.25">
      <c r="A172" s="123" t="s">
        <v>1184</v>
      </c>
      <c r="B172" s="197">
        <f t="shared" si="1"/>
        <v>0.7884829691341011</v>
      </c>
      <c r="C172" s="92" t="s">
        <v>608</v>
      </c>
      <c r="D172" s="113"/>
      <c r="E172" s="455"/>
    </row>
    <row r="173" spans="1:7" ht="31.5" x14ac:dyDescent="0.25">
      <c r="A173" s="123" t="s">
        <v>856</v>
      </c>
      <c r="B173" s="197">
        <f t="shared" si="1"/>
        <v>0</v>
      </c>
      <c r="C173" s="92" t="s">
        <v>608</v>
      </c>
      <c r="D173" s="113"/>
      <c r="E173" s="455"/>
    </row>
    <row r="174" spans="1:7" ht="31.5" x14ac:dyDescent="0.25">
      <c r="A174" s="123" t="s">
        <v>857</v>
      </c>
      <c r="B174" s="197">
        <f>B150/$B$152</f>
        <v>0</v>
      </c>
      <c r="C174" s="92" t="s">
        <v>608</v>
      </c>
      <c r="D174" s="113"/>
      <c r="E174" s="455"/>
    </row>
    <row r="175" spans="1:7" ht="31.5" customHeight="1" x14ac:dyDescent="0.25">
      <c r="A175" s="92" t="s">
        <v>532</v>
      </c>
      <c r="B175" s="130">
        <f>SUM(B160:B174)</f>
        <v>14.128771546222055</v>
      </c>
      <c r="C175" s="92" t="s">
        <v>608</v>
      </c>
      <c r="D175" s="113"/>
      <c r="E175" s="455"/>
    </row>
    <row r="176" spans="1:7" ht="30.75" customHeight="1" x14ac:dyDescent="0.25">
      <c r="A176" s="92" t="s">
        <v>533</v>
      </c>
      <c r="B176" s="130">
        <f>B175/$B$5</f>
        <v>20.183959351745795</v>
      </c>
      <c r="C176" s="92" t="s">
        <v>609</v>
      </c>
      <c r="D176" s="113"/>
      <c r="E176" s="455"/>
    </row>
    <row r="181" spans="2:2" x14ac:dyDescent="0.25">
      <c r="B181" s="646"/>
    </row>
  </sheetData>
  <mergeCells count="30">
    <mergeCell ref="K62:M62"/>
    <mergeCell ref="A66:A67"/>
    <mergeCell ref="E66:E67"/>
    <mergeCell ref="D68:D69"/>
    <mergeCell ref="E84:E87"/>
    <mergeCell ref="G62:J62"/>
    <mergeCell ref="A126:A127"/>
    <mergeCell ref="A128:A129"/>
    <mergeCell ref="A120:A121"/>
    <mergeCell ref="A122:A123"/>
    <mergeCell ref="A124:A125"/>
    <mergeCell ref="E49:E50"/>
    <mergeCell ref="A51:A54"/>
    <mergeCell ref="E51:E54"/>
    <mergeCell ref="E56:E57"/>
    <mergeCell ref="A58:A61"/>
    <mergeCell ref="E58:E61"/>
    <mergeCell ref="A34:A37"/>
    <mergeCell ref="E34:E37"/>
    <mergeCell ref="A44:A47"/>
    <mergeCell ref="E44:E47"/>
    <mergeCell ref="A29:A32"/>
    <mergeCell ref="E29:E32"/>
    <mergeCell ref="A25:A28"/>
    <mergeCell ref="E25:E28"/>
    <mergeCell ref="A12:A13"/>
    <mergeCell ref="A17:A20"/>
    <mergeCell ref="E17:E20"/>
    <mergeCell ref="A21:A24"/>
    <mergeCell ref="E21:E24"/>
  </mergeCells>
  <phoneticPr fontId="38" type="noConversion"/>
  <dataValidations count="2">
    <dataValidation type="list" allowBlank="1" showInputMessage="1" showErrorMessage="1" sqref="G171" xr:uid="{68BAA7C8-7AA7-4913-AFBA-D90FCF0F0198}">
      <formula1>$H$5:$R$5</formula1>
    </dataValidation>
    <dataValidation type="list" allowBlank="1" showInputMessage="1" showErrorMessage="1" sqref="B63" xr:uid="{6F0BDF1C-16E7-4DD3-911F-BC9588173AE6}">
      <formula1>$H$63:$J$63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06485-EB6E-40A0-BF70-1D0DDD9DC4E4}">
  <sheetPr>
    <tabColor rgb="FFFFC000"/>
  </sheetPr>
  <dimension ref="A1:T212"/>
  <sheetViews>
    <sheetView topLeftCell="A200" zoomScale="60" zoomScaleNormal="60" workbookViewId="0">
      <selection activeCell="H80" sqref="H80"/>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7" width="27.140625" style="45" customWidth="1"/>
    <col min="8" max="9" width="17.140625" style="45" customWidth="1"/>
    <col min="10" max="10" width="14.5703125" style="45" customWidth="1"/>
    <col min="11" max="11" width="22.5703125" style="45" customWidth="1"/>
    <col min="12" max="12" width="25.5703125" style="45" customWidth="1"/>
    <col min="13" max="13" width="30.140625" style="45" customWidth="1"/>
    <col min="14" max="14" width="17.5703125" style="45" customWidth="1"/>
    <col min="15" max="15" width="17" style="45" customWidth="1"/>
    <col min="16" max="16" width="19" style="45" customWidth="1"/>
    <col min="17" max="18" width="37.5703125" style="45" customWidth="1"/>
    <col min="19" max="19" width="38.28515625" style="45" customWidth="1"/>
    <col min="20" max="16384" width="9.140625" style="45"/>
  </cols>
  <sheetData>
    <row r="1" spans="1:17" ht="17.25" thickTop="1" thickBot="1" x14ac:dyDescent="0.3">
      <c r="A1" s="74" t="s">
        <v>156</v>
      </c>
      <c r="B1" s="75"/>
      <c r="C1" s="75"/>
      <c r="D1" s="75"/>
      <c r="E1" s="75"/>
    </row>
    <row r="2" spans="1:17" ht="17.25" thickTop="1" thickBot="1" x14ac:dyDescent="0.3">
      <c r="A2" s="46"/>
      <c r="B2" s="46"/>
      <c r="C2" s="46"/>
      <c r="D2" s="46"/>
      <c r="E2" s="46"/>
    </row>
    <row r="3" spans="1:17" x14ac:dyDescent="0.25">
      <c r="A3" s="53" t="s">
        <v>152</v>
      </c>
      <c r="B3" s="54" t="s">
        <v>41</v>
      </c>
      <c r="C3" s="54" t="s">
        <v>40</v>
      </c>
      <c r="D3" s="55" t="s">
        <v>42</v>
      </c>
      <c r="E3" s="56" t="s">
        <v>43</v>
      </c>
    </row>
    <row r="4" spans="1:17" ht="16.5" thickBot="1" x14ac:dyDescent="0.3">
      <c r="A4" s="209" t="s">
        <v>44</v>
      </c>
      <c r="B4" s="210"/>
      <c r="C4" s="210"/>
      <c r="D4" s="210"/>
      <c r="E4" s="211"/>
    </row>
    <row r="5" spans="1:17" ht="33.75" customHeight="1" x14ac:dyDescent="0.25">
      <c r="A5" s="212" t="s">
        <v>644</v>
      </c>
      <c r="B5" s="213">
        <f>0.7</f>
        <v>0.7</v>
      </c>
      <c r="C5" s="214" t="s">
        <v>45</v>
      </c>
      <c r="D5" s="215"/>
      <c r="E5" s="310">
        <f>0.7</f>
        <v>0.7</v>
      </c>
      <c r="H5" s="266"/>
      <c r="I5" s="266"/>
      <c r="J5" s="266"/>
      <c r="K5" s="266"/>
      <c r="L5" s="266"/>
      <c r="M5" s="266"/>
      <c r="N5" s="266"/>
      <c r="O5" s="266"/>
      <c r="P5" s="266"/>
      <c r="Q5" s="266"/>
    </row>
    <row r="6" spans="1:17" ht="30.75" customHeight="1" x14ac:dyDescent="0.25">
      <c r="A6" s="144" t="s">
        <v>46</v>
      </c>
      <c r="B6" s="216">
        <v>7</v>
      </c>
      <c r="C6" s="146" t="s">
        <v>47</v>
      </c>
      <c r="D6" s="147" t="s">
        <v>48</v>
      </c>
      <c r="E6" s="309">
        <v>7</v>
      </c>
    </row>
    <row r="7" spans="1:17" ht="30" customHeight="1" x14ac:dyDescent="0.25">
      <c r="A7" s="193" t="s">
        <v>49</v>
      </c>
      <c r="B7" s="221">
        <v>30</v>
      </c>
      <c r="C7" s="179" t="s">
        <v>50</v>
      </c>
      <c r="D7" s="248" t="s">
        <v>496</v>
      </c>
      <c r="E7" s="238">
        <v>30</v>
      </c>
      <c r="H7" s="611"/>
      <c r="I7" s="611"/>
      <c r="J7" s="611"/>
      <c r="K7" s="611"/>
      <c r="L7" s="611"/>
      <c r="M7" s="611"/>
      <c r="N7" s="611"/>
      <c r="O7" s="611"/>
      <c r="P7" s="611"/>
      <c r="Q7" s="611"/>
    </row>
    <row r="8" spans="1:17" ht="33" customHeight="1" x14ac:dyDescent="0.25">
      <c r="A8" s="144" t="s">
        <v>52</v>
      </c>
      <c r="B8" s="575">
        <f>(($B$6/100)*(1+$B$6/100)^$B$7)/(((1+$B$6/100)^$B$7)-1)*100</f>
        <v>8.0586403511111193</v>
      </c>
      <c r="C8" s="62" t="s">
        <v>47</v>
      </c>
      <c r="D8" s="62" t="s">
        <v>53</v>
      </c>
      <c r="E8" s="578"/>
    </row>
    <row r="9" spans="1:17" ht="33" customHeight="1" thickBot="1" x14ac:dyDescent="0.3">
      <c r="A9" s="150" t="s">
        <v>1210</v>
      </c>
      <c r="B9" s="430">
        <v>100</v>
      </c>
      <c r="C9" s="151" t="s">
        <v>1211</v>
      </c>
      <c r="D9" s="576" t="s">
        <v>1279</v>
      </c>
      <c r="E9" s="577" t="s">
        <v>1281</v>
      </c>
    </row>
    <row r="10" spans="1:17" ht="16.5" thickBot="1" x14ac:dyDescent="0.3">
      <c r="H10" s="582"/>
      <c r="I10" s="582"/>
      <c r="J10" s="582"/>
      <c r="K10" s="582"/>
      <c r="L10" s="582"/>
      <c r="M10" s="582"/>
      <c r="N10" s="582"/>
      <c r="O10" s="582"/>
      <c r="P10" s="582"/>
      <c r="Q10" s="582"/>
    </row>
    <row r="11" spans="1:17" ht="16.5" thickBot="1" x14ac:dyDescent="0.3">
      <c r="A11" s="172" t="s">
        <v>181</v>
      </c>
      <c r="B11" s="89"/>
      <c r="C11" s="89"/>
      <c r="D11" s="89"/>
      <c r="E11" s="90"/>
    </row>
    <row r="12" spans="1:17" ht="29.25" customHeight="1" x14ac:dyDescent="0.25">
      <c r="A12" s="685" t="s">
        <v>159</v>
      </c>
      <c r="B12" s="216">
        <v>5000000</v>
      </c>
      <c r="C12" s="92" t="s">
        <v>605</v>
      </c>
      <c r="D12" s="92" t="s">
        <v>160</v>
      </c>
      <c r="E12" s="93"/>
    </row>
    <row r="13" spans="1:17" ht="27" customHeight="1" x14ac:dyDescent="0.25">
      <c r="A13" s="685"/>
      <c r="B13" s="94">
        <f>(B12/365)</f>
        <v>13698.630136986301</v>
      </c>
      <c r="C13" s="92" t="s">
        <v>593</v>
      </c>
      <c r="D13" s="92" t="s">
        <v>163</v>
      </c>
      <c r="E13" s="52"/>
    </row>
    <row r="14" spans="1:17" ht="30" customHeight="1" thickBot="1" x14ac:dyDescent="0.3">
      <c r="A14" s="313" t="s">
        <v>498</v>
      </c>
      <c r="B14" s="96">
        <v>90</v>
      </c>
      <c r="C14" s="92" t="s">
        <v>47</v>
      </c>
      <c r="D14" s="92" t="s">
        <v>497</v>
      </c>
      <c r="E14" s="52"/>
    </row>
    <row r="15" spans="1:17" ht="16.5" thickBot="1" x14ac:dyDescent="0.3">
      <c r="A15" s="88" t="s">
        <v>439</v>
      </c>
      <c r="B15" s="89"/>
      <c r="C15" s="311"/>
      <c r="D15" s="311"/>
      <c r="E15" s="312"/>
    </row>
    <row r="16" spans="1:17" x14ac:dyDescent="0.25">
      <c r="A16" s="103" t="s">
        <v>255</v>
      </c>
      <c r="B16" s="103"/>
      <c r="C16" s="103"/>
      <c r="D16" s="103"/>
      <c r="E16" s="103"/>
    </row>
    <row r="17" spans="1:18" ht="33.75" customHeight="1" x14ac:dyDescent="0.25">
      <c r="A17" s="686" t="s">
        <v>207</v>
      </c>
      <c r="B17" s="64">
        <v>0.6</v>
      </c>
      <c r="C17" s="112" t="s">
        <v>161</v>
      </c>
      <c r="D17" s="113"/>
      <c r="E17" s="682" t="s">
        <v>164</v>
      </c>
      <c r="L17" s="582"/>
      <c r="R17" s="611"/>
    </row>
    <row r="18" spans="1:18" ht="30.75" customHeight="1" x14ac:dyDescent="0.25">
      <c r="A18" s="687"/>
      <c r="B18" s="64">
        <v>1</v>
      </c>
      <c r="C18" s="112" t="s">
        <v>593</v>
      </c>
      <c r="D18" s="113"/>
      <c r="E18" s="683"/>
      <c r="H18" s="582"/>
    </row>
    <row r="19" spans="1:18" ht="30" customHeight="1" x14ac:dyDescent="0.25">
      <c r="A19" s="687"/>
      <c r="B19" s="114">
        <v>59955</v>
      </c>
      <c r="C19" s="112" t="s">
        <v>165</v>
      </c>
      <c r="D19" s="113"/>
      <c r="E19" s="683"/>
      <c r="H19" s="611"/>
      <c r="I19" s="611"/>
      <c r="J19" s="611"/>
      <c r="K19" s="611"/>
      <c r="L19" s="611"/>
      <c r="M19" s="611"/>
      <c r="N19" s="611"/>
      <c r="O19" s="611"/>
      <c r="P19" s="611"/>
      <c r="Q19" s="611"/>
    </row>
    <row r="20" spans="1:18" ht="30" customHeight="1" x14ac:dyDescent="0.25">
      <c r="A20" s="688"/>
      <c r="B20" s="115">
        <f>B19*((B13/B18)^B17)*B9/100</f>
        <v>18189957.788494285</v>
      </c>
      <c r="C20" s="112" t="s">
        <v>165</v>
      </c>
      <c r="D20" s="92" t="s">
        <v>1280</v>
      </c>
      <c r="E20" s="684"/>
    </row>
    <row r="21" spans="1:18" ht="30" customHeight="1" x14ac:dyDescent="0.25">
      <c r="A21" s="686" t="s">
        <v>212</v>
      </c>
      <c r="B21" s="64">
        <v>0.7</v>
      </c>
      <c r="C21" s="112" t="s">
        <v>161</v>
      </c>
      <c r="D21" s="113"/>
      <c r="E21" s="682" t="s">
        <v>164</v>
      </c>
    </row>
    <row r="22" spans="1:18" ht="30" customHeight="1" x14ac:dyDescent="0.25">
      <c r="A22" s="687"/>
      <c r="B22" s="64">
        <v>1</v>
      </c>
      <c r="C22" s="112" t="s">
        <v>593</v>
      </c>
      <c r="D22" s="113"/>
      <c r="E22" s="683"/>
    </row>
    <row r="23" spans="1:18" ht="30" customHeight="1" x14ac:dyDescent="0.25">
      <c r="A23" s="687"/>
      <c r="B23" s="114">
        <v>33308</v>
      </c>
      <c r="C23" s="112" t="s">
        <v>165</v>
      </c>
      <c r="D23" s="116"/>
      <c r="E23" s="683"/>
    </row>
    <row r="24" spans="1:18" ht="30" customHeight="1" x14ac:dyDescent="0.25">
      <c r="A24" s="688"/>
      <c r="B24" s="115">
        <f>B23*((B13/B22)^B21)*B9/100</f>
        <v>26195250.380927186</v>
      </c>
      <c r="C24" s="112" t="s">
        <v>165</v>
      </c>
      <c r="D24" s="92" t="s">
        <v>1280</v>
      </c>
      <c r="E24" s="684"/>
      <c r="H24" s="544"/>
    </row>
    <row r="25" spans="1:18" ht="30" customHeight="1" x14ac:dyDescent="0.25">
      <c r="A25" s="679" t="s">
        <v>211</v>
      </c>
      <c r="B25" s="64">
        <v>0.7</v>
      </c>
      <c r="C25" s="112" t="s">
        <v>161</v>
      </c>
      <c r="D25" s="113"/>
      <c r="E25" s="682" t="s">
        <v>164</v>
      </c>
      <c r="G25" s="335"/>
      <c r="H25" s="545"/>
    </row>
    <row r="26" spans="1:18" ht="30" customHeight="1" x14ac:dyDescent="0.25">
      <c r="A26" s="680"/>
      <c r="B26" s="64">
        <v>1</v>
      </c>
      <c r="C26" s="112" t="s">
        <v>593</v>
      </c>
      <c r="D26" s="113"/>
      <c r="E26" s="683"/>
      <c r="H26" s="546"/>
    </row>
    <row r="27" spans="1:18" ht="30" customHeight="1" x14ac:dyDescent="0.25">
      <c r="A27" s="680"/>
      <c r="B27" s="114">
        <v>39970</v>
      </c>
      <c r="C27" s="112" t="s">
        <v>165</v>
      </c>
      <c r="D27" s="116"/>
      <c r="E27" s="683"/>
      <c r="G27" s="543"/>
    </row>
    <row r="28" spans="1:18" ht="30" customHeight="1" x14ac:dyDescent="0.25">
      <c r="A28" s="681"/>
      <c r="B28" s="115">
        <f>B27*((B13/B26)^B25)*B9/100</f>
        <v>31434615.03919958</v>
      </c>
      <c r="C28" s="112" t="s">
        <v>165</v>
      </c>
      <c r="D28" s="92" t="s">
        <v>1280</v>
      </c>
      <c r="E28" s="684"/>
    </row>
    <row r="29" spans="1:18" ht="30" customHeight="1" x14ac:dyDescent="0.25">
      <c r="A29" s="686" t="s">
        <v>213</v>
      </c>
      <c r="B29" s="64">
        <v>0.7</v>
      </c>
      <c r="C29" s="112" t="s">
        <v>161</v>
      </c>
      <c r="D29" s="113"/>
      <c r="E29" s="682" t="s">
        <v>164</v>
      </c>
    </row>
    <row r="30" spans="1:18" ht="30" customHeight="1" x14ac:dyDescent="0.25">
      <c r="A30" s="687"/>
      <c r="B30" s="64">
        <v>1</v>
      </c>
      <c r="C30" s="112" t="s">
        <v>593</v>
      </c>
      <c r="D30" s="113"/>
      <c r="E30" s="683"/>
    </row>
    <row r="31" spans="1:18" ht="30" customHeight="1" x14ac:dyDescent="0.25">
      <c r="A31" s="687"/>
      <c r="B31" s="114">
        <v>41524</v>
      </c>
      <c r="C31" s="112" t="s">
        <v>165</v>
      </c>
      <c r="D31" s="113"/>
      <c r="E31" s="683"/>
      <c r="G31" s="335"/>
    </row>
    <row r="32" spans="1:18" ht="27.75" customHeight="1" x14ac:dyDescent="0.25">
      <c r="A32" s="688"/>
      <c r="B32" s="115">
        <f>B31*((B13/B30)^B29)*B9/100</f>
        <v>32656766.447028354</v>
      </c>
      <c r="C32" s="112" t="s">
        <v>165</v>
      </c>
      <c r="D32" s="92" t="s">
        <v>1280</v>
      </c>
      <c r="E32" s="684"/>
    </row>
    <row r="33" spans="1:16" ht="27.75" customHeight="1" x14ac:dyDescent="0.25">
      <c r="A33" s="710" t="s">
        <v>550</v>
      </c>
      <c r="B33" s="334">
        <v>0.6</v>
      </c>
      <c r="C33" s="112" t="s">
        <v>161</v>
      </c>
      <c r="D33" s="112"/>
      <c r="E33" s="707" t="s">
        <v>859</v>
      </c>
      <c r="G33" s="336"/>
    </row>
    <row r="34" spans="1:16" ht="27.75" customHeight="1" x14ac:dyDescent="0.25">
      <c r="A34" s="711"/>
      <c r="B34" s="333">
        <v>1</v>
      </c>
      <c r="C34" s="112" t="s">
        <v>593</v>
      </c>
      <c r="D34" s="113"/>
      <c r="E34" s="708"/>
      <c r="G34" s="337"/>
    </row>
    <row r="35" spans="1:16" ht="27.75" customHeight="1" x14ac:dyDescent="0.25">
      <c r="A35" s="711"/>
      <c r="B35" s="333">
        <v>45743</v>
      </c>
      <c r="C35" s="112" t="s">
        <v>165</v>
      </c>
      <c r="D35" s="113"/>
      <c r="E35" s="708"/>
      <c r="G35" s="337"/>
    </row>
    <row r="36" spans="1:16" ht="27.75" customHeight="1" x14ac:dyDescent="0.25">
      <c r="A36" s="712"/>
      <c r="B36" s="115">
        <f>B35*((B13/B34)^B33)*B9/100</f>
        <v>13878129.248921592</v>
      </c>
      <c r="C36" s="112" t="s">
        <v>165</v>
      </c>
      <c r="D36" s="92" t="s">
        <v>1280</v>
      </c>
      <c r="E36" s="709"/>
      <c r="G36" s="705" t="s">
        <v>665</v>
      </c>
      <c r="H36" s="706"/>
      <c r="I36" s="706"/>
      <c r="J36" s="706"/>
      <c r="K36" s="706" t="s">
        <v>427</v>
      </c>
      <c r="L36" s="706"/>
      <c r="M36" s="706"/>
      <c r="N36" s="617"/>
      <c r="O36" s="617"/>
      <c r="P36" s="617"/>
    </row>
    <row r="37" spans="1:16" ht="27.75" customHeight="1" x14ac:dyDescent="0.25">
      <c r="A37" s="710" t="s">
        <v>542</v>
      </c>
      <c r="B37" s="542">
        <v>0.65</v>
      </c>
      <c r="C37" s="112" t="s">
        <v>161</v>
      </c>
      <c r="D37" s="113"/>
      <c r="E37" s="707" t="s">
        <v>1164</v>
      </c>
      <c r="G37" s="218" t="s">
        <v>390</v>
      </c>
      <c r="H37" s="218" t="s">
        <v>658</v>
      </c>
      <c r="I37" s="124" t="s">
        <v>377</v>
      </c>
      <c r="J37" s="124" t="s">
        <v>659</v>
      </c>
      <c r="K37" s="124" t="s">
        <v>662</v>
      </c>
      <c r="L37" s="124" t="s">
        <v>663</v>
      </c>
      <c r="M37" s="618" t="s">
        <v>462</v>
      </c>
    </row>
    <row r="38" spans="1:16" ht="27.75" customHeight="1" x14ac:dyDescent="0.25">
      <c r="A38" s="711"/>
      <c r="B38" s="333">
        <v>7671</v>
      </c>
      <c r="C38" s="112" t="s">
        <v>593</v>
      </c>
      <c r="D38" s="113"/>
      <c r="E38" s="708"/>
      <c r="G38" s="124" t="s">
        <v>407</v>
      </c>
      <c r="H38" s="363">
        <v>0.03</v>
      </c>
      <c r="I38" s="325">
        <f>B118</f>
        <v>8.3000000000000004E-2</v>
      </c>
      <c r="J38" s="363">
        <v>0.186</v>
      </c>
      <c r="K38" s="124" t="s">
        <v>670</v>
      </c>
      <c r="L38" s="124" t="s">
        <v>484</v>
      </c>
      <c r="M38" s="93" t="s">
        <v>464</v>
      </c>
    </row>
    <row r="39" spans="1:16" ht="27.75" customHeight="1" x14ac:dyDescent="0.25">
      <c r="A39" s="711"/>
      <c r="B39" s="333">
        <v>360865773</v>
      </c>
      <c r="C39" s="112" t="s">
        <v>165</v>
      </c>
      <c r="D39" s="113"/>
      <c r="E39" s="708"/>
      <c r="G39" s="124" t="s">
        <v>408</v>
      </c>
      <c r="H39" s="363">
        <v>0.186</v>
      </c>
      <c r="I39" s="325">
        <f>B132</f>
        <v>0.63</v>
      </c>
      <c r="J39" s="363">
        <v>0</v>
      </c>
      <c r="K39" s="124" t="s">
        <v>664</v>
      </c>
      <c r="L39" s="124" t="s">
        <v>484</v>
      </c>
      <c r="M39" s="124" t="s">
        <v>411</v>
      </c>
    </row>
    <row r="40" spans="1:16" ht="27.75" customHeight="1" x14ac:dyDescent="0.25">
      <c r="A40" s="712"/>
      <c r="B40" s="115">
        <f>B39*((B13/B38)^B37)*B9/100</f>
        <v>526056080.30441588</v>
      </c>
      <c r="C40" s="112" t="s">
        <v>165</v>
      </c>
      <c r="D40" s="92" t="s">
        <v>1280</v>
      </c>
      <c r="E40" s="709"/>
    </row>
    <row r="41" spans="1:16" ht="27.75" customHeight="1" x14ac:dyDescent="0.25">
      <c r="A41" s="395" t="s">
        <v>657</v>
      </c>
      <c r="B41" s="620" t="s">
        <v>658</v>
      </c>
      <c r="C41" s="112"/>
      <c r="D41" s="113" t="s">
        <v>666</v>
      </c>
      <c r="E41" s="393"/>
    </row>
    <row r="42" spans="1:16" x14ac:dyDescent="0.25">
      <c r="A42" s="103" t="s">
        <v>179</v>
      </c>
      <c r="B42" s="103"/>
      <c r="C42" s="103"/>
      <c r="D42" s="103"/>
      <c r="E42" s="103"/>
    </row>
    <row r="43" spans="1:16" ht="30.75" customHeight="1" x14ac:dyDescent="0.25">
      <c r="A43" s="686" t="s">
        <v>180</v>
      </c>
      <c r="B43" s="64">
        <v>0.5</v>
      </c>
      <c r="C43" s="112" t="s">
        <v>161</v>
      </c>
      <c r="D43" s="113"/>
      <c r="E43" s="682" t="s">
        <v>164</v>
      </c>
    </row>
    <row r="44" spans="1:16" ht="29.25" customHeight="1" x14ac:dyDescent="0.25">
      <c r="A44" s="687"/>
      <c r="B44" s="64">
        <v>1</v>
      </c>
      <c r="C44" s="112" t="s">
        <v>593</v>
      </c>
      <c r="D44" s="113"/>
      <c r="E44" s="683"/>
    </row>
    <row r="45" spans="1:16" ht="29.25" customHeight="1" x14ac:dyDescent="0.25">
      <c r="A45" s="687"/>
      <c r="B45" s="523">
        <v>44411</v>
      </c>
      <c r="C45" s="112" t="s">
        <v>165</v>
      </c>
      <c r="D45" s="113"/>
      <c r="E45" s="683"/>
    </row>
    <row r="46" spans="1:16" ht="30.75" customHeight="1" x14ac:dyDescent="0.25">
      <c r="A46" s="688"/>
      <c r="B46" s="115">
        <f>B45*((B13/B44)^B43)*B9/100</f>
        <v>5197914.3881273549</v>
      </c>
      <c r="C46" s="112" t="s">
        <v>165</v>
      </c>
      <c r="D46" s="113"/>
      <c r="E46" s="684"/>
    </row>
    <row r="47" spans="1:16" x14ac:dyDescent="0.25">
      <c r="A47" s="103" t="s">
        <v>88</v>
      </c>
      <c r="B47" s="103"/>
      <c r="C47" s="103"/>
      <c r="D47" s="103"/>
      <c r="E47" s="117"/>
    </row>
    <row r="48" spans="1:16" ht="30.75" customHeight="1" thickBot="1" x14ac:dyDescent="0.3">
      <c r="A48" s="92" t="s">
        <v>88</v>
      </c>
      <c r="B48" s="87">
        <v>0</v>
      </c>
      <c r="C48" s="92" t="s">
        <v>261</v>
      </c>
      <c r="D48" s="92" t="s">
        <v>259</v>
      </c>
      <c r="E48" s="92"/>
    </row>
    <row r="49" spans="1:5" ht="16.5" thickBot="1" x14ac:dyDescent="0.3">
      <c r="A49" s="88" t="s">
        <v>440</v>
      </c>
      <c r="B49" s="89"/>
      <c r="C49" s="89"/>
      <c r="D49" s="89"/>
      <c r="E49" s="90"/>
    </row>
    <row r="50" spans="1:5" x14ac:dyDescent="0.25">
      <c r="A50" s="103" t="s">
        <v>167</v>
      </c>
      <c r="B50" s="103"/>
      <c r="C50" s="103"/>
      <c r="D50" s="103"/>
      <c r="E50" s="103"/>
    </row>
    <row r="51" spans="1:5" ht="30.75" customHeight="1" x14ac:dyDescent="0.25">
      <c r="A51" s="104" t="s">
        <v>168</v>
      </c>
      <c r="B51" s="105">
        <v>2</v>
      </c>
      <c r="C51" s="104" t="s">
        <v>175</v>
      </c>
      <c r="D51" s="104" t="s">
        <v>169</v>
      </c>
      <c r="E51" s="106" t="s">
        <v>170</v>
      </c>
    </row>
    <row r="52" spans="1:5" ht="30.75" customHeight="1" x14ac:dyDescent="0.25">
      <c r="A52" s="101" t="s">
        <v>171</v>
      </c>
      <c r="B52" s="107">
        <f>SQRT(B13/100)</f>
        <v>11.704114719613056</v>
      </c>
      <c r="C52" s="101" t="s">
        <v>172</v>
      </c>
      <c r="D52" s="101" t="s">
        <v>178</v>
      </c>
      <c r="E52" s="108" t="s">
        <v>164</v>
      </c>
    </row>
    <row r="53" spans="1:5" ht="30.75" customHeight="1" x14ac:dyDescent="0.25">
      <c r="A53" s="686" t="s">
        <v>166</v>
      </c>
      <c r="B53" s="95">
        <v>1.8</v>
      </c>
      <c r="C53" s="101" t="s">
        <v>161</v>
      </c>
      <c r="D53" s="101"/>
      <c r="E53" s="682" t="s">
        <v>164</v>
      </c>
    </row>
    <row r="54" spans="1:5" ht="30.75" customHeight="1" x14ac:dyDescent="0.25">
      <c r="A54" s="687"/>
      <c r="B54" s="96">
        <v>1</v>
      </c>
      <c r="C54" s="101" t="s">
        <v>172</v>
      </c>
      <c r="D54" s="101" t="s">
        <v>195</v>
      </c>
      <c r="E54" s="689"/>
    </row>
    <row r="55" spans="1:5" ht="30.75" customHeight="1" x14ac:dyDescent="0.25">
      <c r="A55" s="687"/>
      <c r="B55" s="96">
        <v>44411</v>
      </c>
      <c r="C55" s="101" t="s">
        <v>165</v>
      </c>
      <c r="D55" s="101" t="s">
        <v>194</v>
      </c>
      <c r="E55" s="689"/>
    </row>
    <row r="56" spans="1:5" ht="30.75" customHeight="1" x14ac:dyDescent="0.25">
      <c r="A56" s="688"/>
      <c r="B56" s="102">
        <f>B55*((B52/B54)^B53)</f>
        <v>3719632.0245640734</v>
      </c>
      <c r="C56" s="101" t="s">
        <v>444</v>
      </c>
      <c r="D56" s="101"/>
      <c r="E56" s="690"/>
    </row>
    <row r="57" spans="1:5" x14ac:dyDescent="0.25">
      <c r="A57" s="103" t="s">
        <v>201</v>
      </c>
      <c r="B57" s="103"/>
      <c r="C57" s="103"/>
      <c r="D57" s="103"/>
      <c r="E57" s="103"/>
    </row>
    <row r="58" spans="1:5" ht="30.75" customHeight="1" x14ac:dyDescent="0.25">
      <c r="A58" s="92" t="s">
        <v>196</v>
      </c>
      <c r="B58" s="107">
        <f>0.145*(B13^0.4)</f>
        <v>6.546947497891626</v>
      </c>
      <c r="C58" s="92" t="s">
        <v>199</v>
      </c>
      <c r="D58" s="92"/>
      <c r="E58" s="682" t="s">
        <v>164</v>
      </c>
    </row>
    <row r="59" spans="1:5" ht="30.75" customHeight="1" x14ac:dyDescent="0.25">
      <c r="A59" s="92" t="s">
        <v>173</v>
      </c>
      <c r="B59" s="107">
        <f>ROUNDUP(0.011*(B13^0.8)/B58,0)</f>
        <v>4</v>
      </c>
      <c r="C59" s="92" t="s">
        <v>175</v>
      </c>
      <c r="D59" s="92"/>
      <c r="E59" s="691"/>
    </row>
    <row r="60" spans="1:5" ht="30.75" customHeight="1" x14ac:dyDescent="0.25">
      <c r="A60" s="686" t="s">
        <v>176</v>
      </c>
      <c r="B60" s="100">
        <v>0.8</v>
      </c>
      <c r="C60" s="92" t="s">
        <v>161</v>
      </c>
      <c r="D60" s="92"/>
      <c r="E60" s="682" t="s">
        <v>164</v>
      </c>
    </row>
    <row r="61" spans="1:5" ht="30.75" customHeight="1" x14ac:dyDescent="0.25">
      <c r="A61" s="687"/>
      <c r="B61" s="100">
        <v>1</v>
      </c>
      <c r="C61" s="92" t="s">
        <v>199</v>
      </c>
      <c r="D61" s="92" t="s">
        <v>205</v>
      </c>
      <c r="E61" s="692"/>
    </row>
    <row r="62" spans="1:5" ht="30.75" customHeight="1" x14ac:dyDescent="0.25">
      <c r="A62" s="687"/>
      <c r="B62" s="96">
        <v>1132479.0619765492</v>
      </c>
      <c r="C62" s="92" t="s">
        <v>165</v>
      </c>
      <c r="D62" s="92" t="s">
        <v>200</v>
      </c>
      <c r="E62" s="692"/>
    </row>
    <row r="63" spans="1:5" ht="30.75" customHeight="1" x14ac:dyDescent="0.25">
      <c r="A63" s="688"/>
      <c r="B63" s="109">
        <f>B62*((B58/B61)^B60)</f>
        <v>5091681.9499660898</v>
      </c>
      <c r="C63" s="92" t="s">
        <v>445</v>
      </c>
      <c r="D63" s="92"/>
      <c r="E63" s="691"/>
    </row>
    <row r="64" spans="1:5" x14ac:dyDescent="0.25">
      <c r="A64" s="103" t="s">
        <v>202</v>
      </c>
      <c r="B64" s="103"/>
      <c r="C64" s="103"/>
      <c r="D64" s="103"/>
      <c r="E64" s="103"/>
    </row>
    <row r="65" spans="1:20" ht="30.75" customHeight="1" x14ac:dyDescent="0.25">
      <c r="A65" s="92" t="s">
        <v>203</v>
      </c>
      <c r="B65" s="109">
        <f>9*(B58^1.1)</f>
        <v>71.102562611639883</v>
      </c>
      <c r="C65" s="92" t="s">
        <v>594</v>
      </c>
      <c r="D65" s="123" t="s">
        <v>480</v>
      </c>
      <c r="E65" s="682" t="s">
        <v>164</v>
      </c>
    </row>
    <row r="66" spans="1:20" ht="30.75" customHeight="1" x14ac:dyDescent="0.25">
      <c r="A66" s="92" t="s">
        <v>174</v>
      </c>
      <c r="B66" s="72">
        <f>ROUNDUP(0.25*(B13^0.8)/B65,0)</f>
        <v>8</v>
      </c>
      <c r="C66" s="92" t="s">
        <v>175</v>
      </c>
      <c r="D66" s="92" t="s">
        <v>479</v>
      </c>
      <c r="E66" s="690"/>
    </row>
    <row r="67" spans="1:20" ht="30.75" customHeight="1" x14ac:dyDescent="0.25">
      <c r="A67" s="693" t="s">
        <v>177</v>
      </c>
      <c r="B67" s="110">
        <v>0.9</v>
      </c>
      <c r="C67" s="92" t="s">
        <v>161</v>
      </c>
      <c r="D67" s="92"/>
      <c r="E67" s="682" t="s">
        <v>164</v>
      </c>
      <c r="G67" s="97"/>
      <c r="H67" s="289"/>
      <c r="I67" s="289"/>
      <c r="J67" s="289"/>
      <c r="K67" s="289"/>
      <c r="L67" s="289"/>
      <c r="M67" s="97"/>
      <c r="N67" s="97"/>
      <c r="O67" s="97"/>
      <c r="P67" s="97"/>
      <c r="Q67" s="97"/>
      <c r="R67" s="97"/>
      <c r="S67" s="250"/>
    </row>
    <row r="68" spans="1:20" ht="30.75" customHeight="1" x14ac:dyDescent="0.25">
      <c r="A68" s="694"/>
      <c r="B68" s="111">
        <v>1</v>
      </c>
      <c r="C68" s="92" t="s">
        <v>594</v>
      </c>
      <c r="D68" s="92" t="s">
        <v>206</v>
      </c>
      <c r="E68" s="689"/>
      <c r="G68" s="97"/>
      <c r="H68" s="289"/>
      <c r="I68" s="289"/>
      <c r="J68" s="289"/>
      <c r="K68" s="289"/>
      <c r="L68" s="289"/>
      <c r="M68" s="97"/>
      <c r="N68" s="97"/>
      <c r="O68" s="97"/>
      <c r="P68" s="97"/>
      <c r="Q68" s="97"/>
      <c r="R68" s="97"/>
      <c r="S68" s="250"/>
    </row>
    <row r="69" spans="1:20" ht="30.75" customHeight="1" x14ac:dyDescent="0.25">
      <c r="A69" s="694"/>
      <c r="B69" s="430">
        <v>45299.162479061975</v>
      </c>
      <c r="C69" s="92" t="s">
        <v>165</v>
      </c>
      <c r="D69" s="92"/>
      <c r="E69" s="689"/>
      <c r="G69" s="97"/>
      <c r="H69" s="290"/>
      <c r="I69" s="290"/>
      <c r="J69" s="290"/>
      <c r="K69" s="290"/>
      <c r="L69" s="290"/>
      <c r="M69" s="97"/>
      <c r="N69" s="97"/>
      <c r="O69" s="97"/>
      <c r="P69" s="97"/>
      <c r="Q69" s="97"/>
      <c r="R69" s="97"/>
      <c r="S69" s="97"/>
    </row>
    <row r="70" spans="1:20" ht="30.75" customHeight="1" x14ac:dyDescent="0.25">
      <c r="A70" s="695"/>
      <c r="B70" s="109">
        <f>B69*((B65/B68)^B67)</f>
        <v>2102746.412333787</v>
      </c>
      <c r="C70" s="92" t="s">
        <v>446</v>
      </c>
      <c r="D70" s="92"/>
      <c r="E70" s="690"/>
      <c r="G70" s="97"/>
      <c r="H70" s="291"/>
      <c r="I70" s="291"/>
      <c r="J70" s="291"/>
      <c r="K70" s="291"/>
      <c r="L70" s="291"/>
      <c r="M70" s="97"/>
      <c r="N70" s="97"/>
      <c r="O70" s="97"/>
      <c r="P70" s="97"/>
      <c r="Q70" s="97"/>
      <c r="R70" s="97"/>
      <c r="S70" s="97"/>
    </row>
    <row r="71" spans="1:20" x14ac:dyDescent="0.25">
      <c r="A71" s="103" t="s">
        <v>460</v>
      </c>
      <c r="B71" s="103"/>
      <c r="C71" s="103"/>
      <c r="D71" s="103"/>
      <c r="E71" s="103"/>
      <c r="G71" s="705" t="s">
        <v>487</v>
      </c>
      <c r="H71" s="706"/>
      <c r="I71" s="706"/>
      <c r="J71" s="706"/>
      <c r="K71" s="698" t="s">
        <v>427</v>
      </c>
      <c r="L71" s="698"/>
      <c r="M71" s="698"/>
      <c r="N71" s="617"/>
      <c r="O71" s="617"/>
      <c r="P71" s="617"/>
      <c r="Q71" s="293"/>
      <c r="R71" s="293"/>
      <c r="S71" s="293"/>
      <c r="T71" s="293"/>
    </row>
    <row r="72" spans="1:20" ht="30.75" customHeight="1" x14ac:dyDescent="0.25">
      <c r="A72" s="92" t="s">
        <v>447</v>
      </c>
      <c r="B72" s="64" t="s">
        <v>383</v>
      </c>
      <c r="C72" s="92"/>
      <c r="D72" s="92" t="s">
        <v>666</v>
      </c>
      <c r="E72" s="92"/>
      <c r="G72" s="218" t="s">
        <v>390</v>
      </c>
      <c r="H72" s="218" t="s">
        <v>383</v>
      </c>
      <c r="I72" s="124" t="s">
        <v>1222</v>
      </c>
      <c r="J72" s="618" t="s">
        <v>1223</v>
      </c>
      <c r="K72" s="218" t="s">
        <v>391</v>
      </c>
      <c r="L72" s="218" t="s">
        <v>483</v>
      </c>
      <c r="M72" s="218" t="s">
        <v>462</v>
      </c>
    </row>
    <row r="73" spans="1:20" ht="30.75" customHeight="1" x14ac:dyDescent="0.25">
      <c r="A73" s="92" t="s">
        <v>452</v>
      </c>
      <c r="B73" s="87">
        <v>25</v>
      </c>
      <c r="C73" s="92" t="s">
        <v>449</v>
      </c>
      <c r="D73" s="52"/>
      <c r="E73" s="124" t="s">
        <v>448</v>
      </c>
      <c r="G73" s="124" t="s">
        <v>488</v>
      </c>
      <c r="H73" s="355">
        <v>0</v>
      </c>
      <c r="I73" s="355">
        <v>95</v>
      </c>
      <c r="J73" s="355">
        <v>95</v>
      </c>
      <c r="K73" s="124" t="s">
        <v>490</v>
      </c>
      <c r="L73" s="124" t="s">
        <v>442</v>
      </c>
      <c r="M73" s="124" t="s">
        <v>442</v>
      </c>
    </row>
    <row r="74" spans="1:20" ht="30.75" customHeight="1" x14ac:dyDescent="0.25">
      <c r="A74" s="112" t="s">
        <v>450</v>
      </c>
      <c r="B74" s="305">
        <v>120</v>
      </c>
      <c r="C74" s="112" t="s">
        <v>451</v>
      </c>
      <c r="D74" s="52"/>
      <c r="E74" s="124" t="s">
        <v>565</v>
      </c>
      <c r="G74" s="124" t="s">
        <v>489</v>
      </c>
      <c r="H74" s="355">
        <v>0</v>
      </c>
      <c r="I74" s="357">
        <f>30+15*247</f>
        <v>3735</v>
      </c>
      <c r="J74" s="358">
        <f>30+247*0.15+5636+27*15</f>
        <v>6108.05</v>
      </c>
      <c r="K74" s="124" t="s">
        <v>490</v>
      </c>
      <c r="L74" s="124" t="s">
        <v>1224</v>
      </c>
      <c r="M74" s="124" t="s">
        <v>1225</v>
      </c>
    </row>
    <row r="75" spans="1:20" ht="30.75" customHeight="1" x14ac:dyDescent="0.25">
      <c r="A75" s="699" t="s">
        <v>453</v>
      </c>
      <c r="B75" s="305">
        <v>8</v>
      </c>
      <c r="C75" s="112" t="s">
        <v>595</v>
      </c>
      <c r="D75" s="52"/>
      <c r="E75" s="700" t="s">
        <v>596</v>
      </c>
      <c r="G75" s="296" t="s">
        <v>581</v>
      </c>
      <c r="H75" s="355">
        <v>40</v>
      </c>
      <c r="I75" s="355">
        <v>80</v>
      </c>
      <c r="J75" s="355">
        <v>44</v>
      </c>
      <c r="K75" s="296" t="s">
        <v>463</v>
      </c>
      <c r="L75" s="250" t="s">
        <v>580</v>
      </c>
      <c r="M75" s="296" t="s">
        <v>582</v>
      </c>
    </row>
    <row r="76" spans="1:20" ht="30.75" customHeight="1" x14ac:dyDescent="0.25">
      <c r="A76" s="699"/>
      <c r="B76" s="376">
        <f>B75*B65</f>
        <v>568.82050089311906</v>
      </c>
      <c r="C76" s="112" t="s">
        <v>481</v>
      </c>
      <c r="D76" s="52"/>
      <c r="E76" s="700"/>
      <c r="G76" s="218" t="s">
        <v>407</v>
      </c>
      <c r="H76" s="363">
        <v>0.13800000000000001</v>
      </c>
      <c r="I76" s="325">
        <f>B118</f>
        <v>8.3000000000000004E-2</v>
      </c>
      <c r="J76" s="363">
        <v>0.186</v>
      </c>
      <c r="K76" s="93" t="s">
        <v>410</v>
      </c>
      <c r="L76" s="124" t="s">
        <v>484</v>
      </c>
      <c r="M76" s="93" t="s">
        <v>464</v>
      </c>
    </row>
    <row r="77" spans="1:20" ht="30.75" customHeight="1" x14ac:dyDescent="0.25">
      <c r="A77" s="92" t="s">
        <v>485</v>
      </c>
      <c r="B77" s="377">
        <f>HLOOKUP(B72,G72:J77,2,FALSE)</f>
        <v>0</v>
      </c>
      <c r="C77" s="92" t="s">
        <v>441</v>
      </c>
      <c r="D77" s="701" t="s">
        <v>482</v>
      </c>
      <c r="E77" s="52"/>
      <c r="G77" s="124" t="s">
        <v>408</v>
      </c>
      <c r="H77" s="297">
        <v>0.253</v>
      </c>
      <c r="I77" s="325">
        <f>B132</f>
        <v>0.63</v>
      </c>
      <c r="J77" s="363">
        <v>0</v>
      </c>
      <c r="K77" s="93" t="s">
        <v>412</v>
      </c>
      <c r="L77" s="124" t="s">
        <v>484</v>
      </c>
      <c r="M77" s="124" t="s">
        <v>411</v>
      </c>
    </row>
    <row r="78" spans="1:20" ht="31.5" customHeight="1" x14ac:dyDescent="0.25">
      <c r="A78" s="92" t="s">
        <v>492</v>
      </c>
      <c r="B78" s="377">
        <f>HLOOKUP(B72,G72:J77,3,FALSE)</f>
        <v>0</v>
      </c>
      <c r="C78" s="92" t="s">
        <v>441</v>
      </c>
      <c r="D78" s="701"/>
      <c r="E78" s="124"/>
      <c r="G78" s="250"/>
      <c r="H78" s="266"/>
      <c r="I78" s="266"/>
      <c r="J78" s="266"/>
      <c r="K78" s="266"/>
      <c r="L78" s="266"/>
      <c r="M78" s="365"/>
      <c r="N78" s="366"/>
      <c r="O78" s="366"/>
      <c r="P78" s="366"/>
      <c r="Q78" s="367"/>
      <c r="R78" s="292"/>
      <c r="S78" s="266"/>
    </row>
    <row r="79" spans="1:20" ht="32.25" customHeight="1" x14ac:dyDescent="0.25">
      <c r="A79" s="92" t="s">
        <v>467</v>
      </c>
      <c r="B79" s="219">
        <f>B73*(B78-B77)</f>
        <v>0</v>
      </c>
      <c r="C79" s="112" t="s">
        <v>444</v>
      </c>
      <c r="D79" s="92" t="s">
        <v>493</v>
      </c>
      <c r="E79" s="92"/>
      <c r="G79" s="250"/>
      <c r="H79" s="266"/>
      <c r="I79" s="266"/>
      <c r="J79" s="266"/>
      <c r="K79" s="266"/>
      <c r="L79" s="266"/>
      <c r="M79" s="266"/>
      <c r="N79" s="266"/>
      <c r="O79" s="266"/>
      <c r="P79" s="266"/>
      <c r="Q79" s="292"/>
      <c r="R79" s="292"/>
    </row>
    <row r="80" spans="1:20" ht="32.25" customHeight="1" x14ac:dyDescent="0.25">
      <c r="A80" s="92" t="s">
        <v>454</v>
      </c>
      <c r="B80" s="378">
        <f>B74*(B78-B77)</f>
        <v>0</v>
      </c>
      <c r="C80" s="112" t="s">
        <v>445</v>
      </c>
      <c r="D80" s="92" t="s">
        <v>493</v>
      </c>
      <c r="E80" s="92"/>
    </row>
    <row r="81" spans="1:18" ht="32.25" customHeight="1" x14ac:dyDescent="0.25">
      <c r="A81" s="92" t="s">
        <v>455</v>
      </c>
      <c r="B81" s="219">
        <f>B76*(B78-B77)</f>
        <v>0</v>
      </c>
      <c r="C81" s="112" t="s">
        <v>446</v>
      </c>
      <c r="D81" s="92" t="s">
        <v>493</v>
      </c>
      <c r="E81" s="92"/>
      <c r="G81" s="266"/>
      <c r="H81" s="266"/>
      <c r="I81" s="266"/>
      <c r="J81" s="266"/>
      <c r="K81" s="266"/>
      <c r="L81" s="266"/>
      <c r="M81" s="266"/>
      <c r="N81" s="266"/>
      <c r="O81" s="266"/>
      <c r="P81" s="266"/>
    </row>
    <row r="82" spans="1:18" ht="32.25" customHeight="1" x14ac:dyDescent="0.25">
      <c r="A82" s="123" t="s">
        <v>456</v>
      </c>
      <c r="B82" s="219">
        <f>(B56+B79)*B51*B9/100</f>
        <v>7439264.0491281478</v>
      </c>
      <c r="C82" s="92" t="s">
        <v>165</v>
      </c>
      <c r="D82" s="92" t="s">
        <v>1280</v>
      </c>
      <c r="E82" s="92"/>
      <c r="G82" s="266"/>
      <c r="H82" s="266"/>
      <c r="I82" s="266"/>
      <c r="J82" s="266"/>
      <c r="K82" s="266"/>
      <c r="L82" s="266"/>
      <c r="M82" s="266"/>
      <c r="N82" s="266"/>
      <c r="O82" s="266"/>
      <c r="P82" s="266"/>
    </row>
    <row r="83" spans="1:18" ht="32.25" customHeight="1" x14ac:dyDescent="0.25">
      <c r="A83" s="123" t="s">
        <v>457</v>
      </c>
      <c r="B83" s="378">
        <f>(B63+B80)*B59*B9/100</f>
        <v>20366727.799864359</v>
      </c>
      <c r="C83" s="92" t="s">
        <v>165</v>
      </c>
      <c r="D83" s="92" t="s">
        <v>1280</v>
      </c>
      <c r="E83" s="92"/>
      <c r="G83" s="266"/>
      <c r="H83" s="266"/>
      <c r="I83" s="266"/>
      <c r="J83" s="266"/>
      <c r="K83" s="266"/>
      <c r="L83" s="266"/>
      <c r="M83" s="266"/>
      <c r="N83" s="266"/>
      <c r="O83" s="266"/>
      <c r="P83" s="266"/>
    </row>
    <row r="84" spans="1:18" ht="32.25" customHeight="1" x14ac:dyDescent="0.25">
      <c r="A84" s="123" t="s">
        <v>458</v>
      </c>
      <c r="B84" s="379">
        <f>(B81+B70)*B66*B9/100</f>
        <v>16821971.298670296</v>
      </c>
      <c r="C84" s="92" t="s">
        <v>165</v>
      </c>
      <c r="D84" s="92" t="s">
        <v>1280</v>
      </c>
      <c r="E84" s="92"/>
      <c r="G84" s="266"/>
      <c r="H84" s="266"/>
      <c r="I84" s="266"/>
      <c r="J84" s="266"/>
      <c r="K84" s="266"/>
      <c r="L84" s="266"/>
      <c r="M84" s="266"/>
      <c r="N84" s="266"/>
      <c r="O84" s="266"/>
      <c r="P84" s="266"/>
    </row>
    <row r="85" spans="1:18" x14ac:dyDescent="0.25">
      <c r="A85" s="103" t="s">
        <v>461</v>
      </c>
      <c r="B85" s="103"/>
      <c r="C85" s="103"/>
      <c r="D85" s="103"/>
      <c r="E85" s="103"/>
      <c r="G85" s="266"/>
      <c r="H85" s="266"/>
      <c r="I85" s="266"/>
      <c r="J85" s="266"/>
      <c r="K85" s="266"/>
      <c r="L85" s="266"/>
      <c r="M85" s="266"/>
      <c r="N85" s="266"/>
      <c r="O85" s="266"/>
      <c r="P85" s="266"/>
    </row>
    <row r="86" spans="1:18" ht="32.25" customHeight="1" x14ac:dyDescent="0.25">
      <c r="A86" s="112" t="s">
        <v>443</v>
      </c>
      <c r="B86" s="380">
        <f>HLOOKUP(B72,G72:J77,4,FALSE)</f>
        <v>40</v>
      </c>
      <c r="C86" s="112" t="s">
        <v>47</v>
      </c>
      <c r="D86" s="92"/>
      <c r="E86" s="218" t="s">
        <v>486</v>
      </c>
      <c r="G86" s="266"/>
      <c r="H86" s="266"/>
      <c r="I86" s="266"/>
      <c r="J86" s="266"/>
      <c r="K86" s="266"/>
      <c r="L86" s="266"/>
      <c r="M86" s="266"/>
      <c r="N86" s="266"/>
      <c r="O86" s="266"/>
      <c r="P86" s="266"/>
    </row>
    <row r="87" spans="1:18" ht="30.75" customHeight="1" x14ac:dyDescent="0.25">
      <c r="A87" s="314" t="s">
        <v>499</v>
      </c>
      <c r="B87" s="305">
        <v>92</v>
      </c>
      <c r="C87" s="112" t="s">
        <v>47</v>
      </c>
      <c r="D87" s="92" t="s">
        <v>500</v>
      </c>
      <c r="E87" s="93" t="s">
        <v>459</v>
      </c>
      <c r="G87" s="266"/>
      <c r="H87" s="266"/>
      <c r="I87" s="266"/>
      <c r="J87" s="266"/>
      <c r="K87" s="266"/>
      <c r="L87" s="266"/>
      <c r="M87" s="266"/>
      <c r="N87" s="266"/>
      <c r="O87" s="266"/>
      <c r="P87" s="266"/>
    </row>
    <row r="88" spans="1:18" ht="32.25" customHeight="1" x14ac:dyDescent="0.25">
      <c r="A88" s="176" t="s">
        <v>465</v>
      </c>
      <c r="B88" s="94">
        <f>(B73*B51*(B87/100)*24*365)/(B86/100)</f>
        <v>1007400</v>
      </c>
      <c r="C88" s="92" t="s">
        <v>466</v>
      </c>
      <c r="D88" s="52"/>
      <c r="E88" s="52"/>
      <c r="G88" s="266"/>
      <c r="H88" s="266"/>
      <c r="I88" s="266"/>
      <c r="J88" s="266"/>
      <c r="K88" s="266"/>
      <c r="L88" s="266"/>
      <c r="M88" s="266"/>
      <c r="N88" s="266"/>
      <c r="O88" s="266"/>
      <c r="P88" s="266"/>
    </row>
    <row r="89" spans="1:18" ht="30.75" customHeight="1" x14ac:dyDescent="0.25">
      <c r="A89" s="92" t="s">
        <v>468</v>
      </c>
      <c r="B89" s="94">
        <f>(B74*B59*(B87/100)*24*365)/(B86/100)</f>
        <v>9671040</v>
      </c>
      <c r="C89" s="92" t="s">
        <v>466</v>
      </c>
      <c r="D89" s="52"/>
      <c r="E89" s="52"/>
      <c r="G89" s="266"/>
      <c r="H89" s="266"/>
      <c r="I89" s="266"/>
      <c r="J89" s="266"/>
      <c r="K89" s="266"/>
      <c r="L89" s="266"/>
      <c r="M89" s="266"/>
      <c r="N89" s="266"/>
      <c r="O89" s="266"/>
      <c r="P89" s="266"/>
    </row>
    <row r="90" spans="1:18" ht="30.75" customHeight="1" x14ac:dyDescent="0.25">
      <c r="A90" s="92" t="s">
        <v>469</v>
      </c>
      <c r="B90" s="94">
        <f>(B75*B66*B65*(B87/100)*24*365)/(B86/100)</f>
        <v>91684763.615956485</v>
      </c>
      <c r="C90" s="92" t="s">
        <v>466</v>
      </c>
      <c r="D90" s="52"/>
      <c r="E90" s="52"/>
      <c r="G90" s="266"/>
      <c r="H90" s="266"/>
      <c r="I90" s="266"/>
      <c r="J90" s="266"/>
      <c r="K90" s="266"/>
      <c r="L90" s="266"/>
      <c r="M90" s="266"/>
      <c r="N90" s="266"/>
      <c r="O90" s="266"/>
      <c r="P90" s="266"/>
    </row>
    <row r="91" spans="1:18" x14ac:dyDescent="0.25">
      <c r="A91" s="118" t="s">
        <v>234</v>
      </c>
      <c r="B91" s="119"/>
      <c r="C91" s="119"/>
      <c r="D91" s="119"/>
      <c r="E91" s="120"/>
      <c r="G91" s="266"/>
      <c r="H91" s="266"/>
      <c r="I91" s="266"/>
      <c r="J91" s="266"/>
      <c r="K91" s="266"/>
      <c r="L91" s="266"/>
      <c r="M91" s="266"/>
      <c r="N91" s="266"/>
      <c r="O91" s="266"/>
      <c r="P91" s="266"/>
    </row>
    <row r="92" spans="1:18" x14ac:dyDescent="0.25">
      <c r="A92" s="103" t="s">
        <v>231</v>
      </c>
      <c r="B92" s="103"/>
      <c r="C92" s="103"/>
      <c r="D92" s="103"/>
      <c r="E92" s="103"/>
      <c r="G92" s="266"/>
      <c r="H92" s="266"/>
      <c r="I92" s="266"/>
      <c r="J92" s="266"/>
      <c r="K92" s="266"/>
      <c r="L92" s="266"/>
      <c r="M92" s="266"/>
      <c r="N92" s="266"/>
      <c r="O92" s="266"/>
      <c r="P92" s="266"/>
    </row>
    <row r="93" spans="1:18" ht="33" customHeight="1" x14ac:dyDescent="0.25">
      <c r="A93" s="92" t="s">
        <v>226</v>
      </c>
      <c r="B93" s="94">
        <f>ROUND(0.034*(B13^0.8),0)</f>
        <v>69</v>
      </c>
      <c r="C93" s="121" t="s">
        <v>175</v>
      </c>
      <c r="D93" s="121"/>
      <c r="E93" s="702" t="s">
        <v>164</v>
      </c>
      <c r="Q93" s="47"/>
      <c r="R93" s="47"/>
    </row>
    <row r="94" spans="1:18" ht="29.25" customHeight="1" x14ac:dyDescent="0.25">
      <c r="A94" s="92" t="s">
        <v>223</v>
      </c>
      <c r="B94" s="94">
        <f>ROUND(7.2*(B13^0.3),0)</f>
        <v>125</v>
      </c>
      <c r="C94" s="121" t="s">
        <v>175</v>
      </c>
      <c r="D94" s="121"/>
      <c r="E94" s="703"/>
      <c r="Q94" s="76"/>
      <c r="R94" s="76"/>
    </row>
    <row r="95" spans="1:18" ht="33" customHeight="1" x14ac:dyDescent="0.25">
      <c r="A95" s="92" t="s">
        <v>224</v>
      </c>
      <c r="B95" s="94">
        <f>ROUND(0.254*(B93+B94),0)</f>
        <v>49</v>
      </c>
      <c r="C95" s="121" t="s">
        <v>175</v>
      </c>
      <c r="D95" s="121"/>
      <c r="E95" s="703"/>
    </row>
    <row r="96" spans="1:18" ht="31.5" customHeight="1" x14ac:dyDescent="0.25">
      <c r="A96" s="92" t="s">
        <v>225</v>
      </c>
      <c r="B96" s="94">
        <f>ROUND(0.11*(B93+B94+B95),0)</f>
        <v>27</v>
      </c>
      <c r="C96" s="121" t="s">
        <v>175</v>
      </c>
      <c r="D96" s="121"/>
      <c r="E96" s="704"/>
    </row>
    <row r="97" spans="1:7" x14ac:dyDescent="0.25">
      <c r="A97" s="103" t="s">
        <v>232</v>
      </c>
      <c r="B97" s="103"/>
      <c r="C97" s="103"/>
      <c r="D97" s="103"/>
      <c r="E97" s="103"/>
    </row>
    <row r="98" spans="1:7" ht="31.5" customHeight="1" x14ac:dyDescent="0.25">
      <c r="A98" s="121" t="s">
        <v>229</v>
      </c>
      <c r="B98" s="100">
        <v>0.5</v>
      </c>
      <c r="C98" s="121" t="s">
        <v>597</v>
      </c>
      <c r="D98" s="121" t="s">
        <v>238</v>
      </c>
      <c r="E98" s="122" t="s">
        <v>228</v>
      </c>
    </row>
    <row r="99" spans="1:7" x14ac:dyDescent="0.25">
      <c r="A99" s="103" t="s">
        <v>233</v>
      </c>
      <c r="B99" s="103"/>
      <c r="C99" s="103"/>
      <c r="D99" s="103"/>
      <c r="E99" s="103"/>
    </row>
    <row r="100" spans="1:7" ht="32.25" customHeight="1" x14ac:dyDescent="0.25">
      <c r="A100" s="268" t="s">
        <v>230</v>
      </c>
      <c r="B100" s="221">
        <v>25</v>
      </c>
      <c r="C100" s="101" t="s">
        <v>598</v>
      </c>
      <c r="D100" s="101"/>
      <c r="E100" s="99" t="s">
        <v>599</v>
      </c>
    </row>
    <row r="101" spans="1:7" ht="32.25" customHeight="1" x14ac:dyDescent="0.25">
      <c r="A101" s="123" t="s">
        <v>550</v>
      </c>
      <c r="B101" s="87">
        <v>0.85</v>
      </c>
      <c r="C101" s="92" t="s">
        <v>598</v>
      </c>
      <c r="D101" s="92"/>
      <c r="E101" s="124" t="s">
        <v>600</v>
      </c>
    </row>
    <row r="102" spans="1:7" ht="32.25" customHeight="1" x14ac:dyDescent="0.25">
      <c r="A102" s="123" t="s">
        <v>653</v>
      </c>
      <c r="B102" s="396">
        <v>30</v>
      </c>
      <c r="C102" s="92" t="s">
        <v>598</v>
      </c>
      <c r="D102" s="92"/>
      <c r="E102" s="124" t="s">
        <v>654</v>
      </c>
    </row>
    <row r="103" spans="1:7" ht="32.25" customHeight="1" x14ac:dyDescent="0.25">
      <c r="A103" s="123" t="s">
        <v>655</v>
      </c>
      <c r="B103" s="396">
        <v>250</v>
      </c>
      <c r="C103" s="92" t="s">
        <v>598</v>
      </c>
      <c r="D103" s="92"/>
      <c r="E103" s="124" t="s">
        <v>656</v>
      </c>
    </row>
    <row r="104" spans="1:7" x14ac:dyDescent="0.25">
      <c r="A104" s="118" t="s">
        <v>221</v>
      </c>
      <c r="B104" s="119"/>
      <c r="C104" s="119"/>
      <c r="D104" s="119"/>
      <c r="E104" s="120"/>
    </row>
    <row r="105" spans="1:7" x14ac:dyDescent="0.25">
      <c r="A105" s="103" t="s">
        <v>240</v>
      </c>
      <c r="B105" s="103"/>
      <c r="C105" s="103"/>
      <c r="D105" s="103"/>
      <c r="E105" s="117"/>
    </row>
    <row r="106" spans="1:7" ht="33.75" customHeight="1" x14ac:dyDescent="0.25">
      <c r="A106" s="112" t="s">
        <v>1020</v>
      </c>
      <c r="B106" s="523">
        <v>1920</v>
      </c>
      <c r="C106" s="112" t="s">
        <v>1021</v>
      </c>
      <c r="D106" s="112"/>
      <c r="E106" s="218" t="s">
        <v>1022</v>
      </c>
    </row>
    <row r="107" spans="1:7" ht="33.75" customHeight="1" x14ac:dyDescent="0.25">
      <c r="A107" s="112" t="s">
        <v>1024</v>
      </c>
      <c r="B107" s="616">
        <v>36</v>
      </c>
      <c r="C107" s="112" t="s">
        <v>1023</v>
      </c>
      <c r="D107" s="112"/>
      <c r="E107" s="93" t="s">
        <v>1025</v>
      </c>
    </row>
    <row r="108" spans="1:7" ht="31.5" customHeight="1" x14ac:dyDescent="0.25">
      <c r="A108" s="121" t="s">
        <v>245</v>
      </c>
      <c r="B108" s="125">
        <f>SUM(B93:B96)*B106*B107</f>
        <v>18662400</v>
      </c>
      <c r="C108" s="121" t="s">
        <v>261</v>
      </c>
      <c r="D108" s="121" t="s">
        <v>1167</v>
      </c>
      <c r="E108" s="122"/>
      <c r="G108" s="335"/>
    </row>
    <row r="109" spans="1:7" x14ac:dyDescent="0.25">
      <c r="A109" s="103" t="s">
        <v>673</v>
      </c>
      <c r="B109" s="103"/>
      <c r="C109" s="103"/>
      <c r="D109" s="103"/>
      <c r="E109" s="117"/>
    </row>
    <row r="110" spans="1:7" ht="33.75" customHeight="1" x14ac:dyDescent="0.25">
      <c r="A110" s="121" t="s">
        <v>470</v>
      </c>
      <c r="B110" s="399">
        <f>HLOOKUP(B72,G72:J77,5,FALSE)</f>
        <v>0.13800000000000001</v>
      </c>
      <c r="C110" s="121" t="s">
        <v>262</v>
      </c>
      <c r="D110" s="92"/>
      <c r="E110" s="126" t="s">
        <v>486</v>
      </c>
    </row>
    <row r="111" spans="1:7" ht="33" customHeight="1" x14ac:dyDescent="0.25">
      <c r="A111" s="121" t="s">
        <v>472</v>
      </c>
      <c r="B111" s="127">
        <f>B110*B88</f>
        <v>139021.20000000001</v>
      </c>
      <c r="C111" s="121" t="s">
        <v>261</v>
      </c>
      <c r="D111" s="92" t="s">
        <v>243</v>
      </c>
      <c r="E111" s="122"/>
    </row>
    <row r="112" spans="1:7" ht="33" customHeight="1" x14ac:dyDescent="0.25">
      <c r="A112" s="121" t="s">
        <v>473</v>
      </c>
      <c r="B112" s="125">
        <f>B110*B89</f>
        <v>1334603.52</v>
      </c>
      <c r="C112" s="121" t="s">
        <v>261</v>
      </c>
      <c r="D112" s="92" t="s">
        <v>244</v>
      </c>
      <c r="E112" s="122"/>
    </row>
    <row r="113" spans="1:5" ht="33" customHeight="1" x14ac:dyDescent="0.25">
      <c r="A113" s="121" t="s">
        <v>474</v>
      </c>
      <c r="B113" s="125">
        <f>B110*B90</f>
        <v>12652497.379001996</v>
      </c>
      <c r="C113" s="121" t="s">
        <v>261</v>
      </c>
      <c r="D113" s="92"/>
      <c r="E113" s="122"/>
    </row>
    <row r="114" spans="1:5" x14ac:dyDescent="0.25">
      <c r="A114" s="103" t="s">
        <v>236</v>
      </c>
      <c r="B114" s="103"/>
      <c r="C114" s="103"/>
      <c r="D114" s="103"/>
      <c r="E114" s="117"/>
    </row>
    <row r="115" spans="1:5" ht="34.5" customHeight="1" x14ac:dyDescent="0.25">
      <c r="A115" s="121" t="s">
        <v>237</v>
      </c>
      <c r="B115" s="87">
        <v>2059.3000000000002</v>
      </c>
      <c r="C115" s="121" t="s">
        <v>601</v>
      </c>
      <c r="D115" s="92" t="s">
        <v>238</v>
      </c>
      <c r="E115" s="93" t="s">
        <v>602</v>
      </c>
    </row>
    <row r="116" spans="1:5" ht="30.75" customHeight="1" x14ac:dyDescent="0.25">
      <c r="A116" s="121" t="s">
        <v>246</v>
      </c>
      <c r="B116" s="127">
        <f>B98/1000*B12*B115</f>
        <v>5148250</v>
      </c>
      <c r="C116" s="121" t="s">
        <v>261</v>
      </c>
      <c r="D116" s="92" t="s">
        <v>247</v>
      </c>
      <c r="E116" s="124"/>
    </row>
    <row r="117" spans="1:5" x14ac:dyDescent="0.25">
      <c r="A117" s="103" t="s">
        <v>674</v>
      </c>
      <c r="B117" s="103"/>
      <c r="C117" s="103"/>
      <c r="D117" s="103"/>
      <c r="E117" s="117"/>
    </row>
    <row r="118" spans="1:5" ht="32.25" customHeight="1" x14ac:dyDescent="0.25">
      <c r="A118" s="92" t="s">
        <v>239</v>
      </c>
      <c r="B118" s="27">
        <v>8.3000000000000004E-2</v>
      </c>
      <c r="C118" s="92" t="s">
        <v>262</v>
      </c>
      <c r="D118" s="92"/>
      <c r="E118" s="124"/>
    </row>
    <row r="119" spans="1:5" ht="36" customHeight="1" x14ac:dyDescent="0.25">
      <c r="A119" s="123" t="s">
        <v>248</v>
      </c>
      <c r="B119" s="128">
        <f>B100*B12*B118*(B14/100)</f>
        <v>9337500</v>
      </c>
      <c r="C119" s="92" t="s">
        <v>261</v>
      </c>
      <c r="D119" s="92" t="s">
        <v>249</v>
      </c>
      <c r="E119" s="92"/>
    </row>
    <row r="120" spans="1:5" ht="36" customHeight="1" x14ac:dyDescent="0.25">
      <c r="A120" s="123" t="s">
        <v>545</v>
      </c>
      <c r="B120" s="128">
        <f>B101*B12*B118*(B14/100)</f>
        <v>317475</v>
      </c>
      <c r="C120" s="92" t="s">
        <v>261</v>
      </c>
      <c r="D120" s="92"/>
      <c r="E120" s="92"/>
    </row>
    <row r="121" spans="1:5" ht="36" customHeight="1" x14ac:dyDescent="0.25">
      <c r="A121" s="123" t="s">
        <v>549</v>
      </c>
      <c r="B121" s="128">
        <f>B102*B12*B118*(B14/100)</f>
        <v>11205000</v>
      </c>
      <c r="C121" s="92" t="s">
        <v>261</v>
      </c>
      <c r="D121" s="92"/>
      <c r="E121" s="92"/>
    </row>
    <row r="122" spans="1:5" ht="36" customHeight="1" x14ac:dyDescent="0.25">
      <c r="A122" s="268" t="s">
        <v>675</v>
      </c>
      <c r="B122" s="399">
        <f>HLOOKUP(B41,G37:J39,2,FALSE)</f>
        <v>0.03</v>
      </c>
      <c r="C122" s="121" t="s">
        <v>262</v>
      </c>
      <c r="D122" s="101"/>
      <c r="E122" s="101"/>
    </row>
    <row r="123" spans="1:5" ht="36" customHeight="1" x14ac:dyDescent="0.25">
      <c r="A123" s="268" t="s">
        <v>672</v>
      </c>
      <c r="B123" s="398">
        <f>B122*B103*B12*(B14/100)</f>
        <v>33750000</v>
      </c>
      <c r="C123" s="92" t="s">
        <v>261</v>
      </c>
      <c r="D123" s="101"/>
      <c r="E123" s="101"/>
    </row>
    <row r="124" spans="1:5" x14ac:dyDescent="0.25">
      <c r="A124" s="345" t="s">
        <v>235</v>
      </c>
      <c r="B124" s="345"/>
      <c r="C124" s="345"/>
      <c r="D124" s="345"/>
      <c r="E124" s="346"/>
    </row>
    <row r="125" spans="1:5" ht="27.75" customHeight="1" x14ac:dyDescent="0.25">
      <c r="A125" s="101" t="s">
        <v>162</v>
      </c>
      <c r="B125" s="94">
        <f>203705*(B13^0.3)</f>
        <v>3548173.3611034551</v>
      </c>
      <c r="C125" s="112" t="s">
        <v>261</v>
      </c>
      <c r="D125" s="92" t="s">
        <v>250</v>
      </c>
      <c r="E125" s="123" t="s">
        <v>227</v>
      </c>
    </row>
    <row r="126" spans="1:5" x14ac:dyDescent="0.25">
      <c r="A126" s="103" t="s">
        <v>89</v>
      </c>
      <c r="B126" s="347"/>
      <c r="C126" s="347"/>
      <c r="D126" s="347"/>
      <c r="E126" s="348"/>
    </row>
    <row r="127" spans="1:5" ht="31.5" customHeight="1" x14ac:dyDescent="0.25">
      <c r="A127" s="92" t="s">
        <v>89</v>
      </c>
      <c r="B127" s="87">
        <v>0</v>
      </c>
      <c r="C127" s="92" t="s">
        <v>261</v>
      </c>
      <c r="D127" s="92" t="s">
        <v>259</v>
      </c>
      <c r="E127" s="92"/>
    </row>
    <row r="128" spans="1:5" x14ac:dyDescent="0.25">
      <c r="A128" s="118" t="s">
        <v>366</v>
      </c>
      <c r="B128" s="119"/>
      <c r="C128" s="119"/>
      <c r="D128" s="119"/>
      <c r="E128" s="120"/>
    </row>
    <row r="129" spans="1:5" x14ac:dyDescent="0.25">
      <c r="A129" s="103" t="s">
        <v>645</v>
      </c>
      <c r="B129" s="103"/>
      <c r="C129" s="103"/>
      <c r="D129" s="103"/>
      <c r="E129" s="117"/>
    </row>
    <row r="130" spans="1:5" ht="39.75" customHeight="1" x14ac:dyDescent="0.25">
      <c r="A130" s="121" t="s">
        <v>646</v>
      </c>
      <c r="B130" s="27">
        <v>0</v>
      </c>
      <c r="C130" s="121" t="s">
        <v>647</v>
      </c>
      <c r="D130" s="121" t="s">
        <v>651</v>
      </c>
      <c r="E130" s="126" t="s">
        <v>648</v>
      </c>
    </row>
    <row r="131" spans="1:5" x14ac:dyDescent="0.25">
      <c r="A131" s="103" t="s">
        <v>378</v>
      </c>
      <c r="B131" s="103"/>
      <c r="C131" s="103"/>
      <c r="D131" s="103"/>
      <c r="E131" s="117"/>
    </row>
    <row r="132" spans="1:5" ht="34.5" customHeight="1" x14ac:dyDescent="0.25">
      <c r="A132" s="101" t="s">
        <v>377</v>
      </c>
      <c r="B132" s="368">
        <v>0.63</v>
      </c>
      <c r="C132" s="112" t="s">
        <v>415</v>
      </c>
      <c r="D132" s="267" t="s">
        <v>379</v>
      </c>
      <c r="E132" s="294" t="s">
        <v>420</v>
      </c>
    </row>
    <row r="133" spans="1:5" ht="34.5" customHeight="1" x14ac:dyDescent="0.25">
      <c r="A133" s="101" t="s">
        <v>669</v>
      </c>
      <c r="B133" s="364">
        <f>HLOOKUP(B41,G37:J39,3,FALSE)</f>
        <v>0.186</v>
      </c>
      <c r="C133" s="264" t="s">
        <v>475</v>
      </c>
      <c r="D133" s="397"/>
      <c r="E133" s="294"/>
    </row>
    <row r="134" spans="1:5" ht="33" customHeight="1" x14ac:dyDescent="0.25">
      <c r="A134" s="101" t="s">
        <v>667</v>
      </c>
      <c r="B134" s="282">
        <f>HLOOKUP(B72,G72:J77,6,FALSE)</f>
        <v>0.253</v>
      </c>
      <c r="C134" s="264" t="s">
        <v>475</v>
      </c>
      <c r="D134" s="101"/>
      <c r="E134" s="126" t="s">
        <v>471</v>
      </c>
    </row>
    <row r="135" spans="1:5" ht="33.75" customHeight="1" x14ac:dyDescent="0.25">
      <c r="A135" s="101" t="s">
        <v>380</v>
      </c>
      <c r="B135" s="87">
        <v>1.4</v>
      </c>
      <c r="C135" s="264" t="s">
        <v>386</v>
      </c>
      <c r="D135" s="101" t="s">
        <v>238</v>
      </c>
      <c r="E135" s="108" t="s">
        <v>603</v>
      </c>
    </row>
    <row r="136" spans="1:5" x14ac:dyDescent="0.25">
      <c r="A136" s="103" t="s">
        <v>382</v>
      </c>
      <c r="B136" s="103"/>
      <c r="C136" s="103"/>
      <c r="D136" s="103"/>
      <c r="E136" s="117"/>
    </row>
    <row r="137" spans="1:5" ht="37.5" customHeight="1" x14ac:dyDescent="0.25">
      <c r="A137" s="696" t="s">
        <v>381</v>
      </c>
      <c r="B137" s="227">
        <f>B100*B12*B132*(B14/100)</f>
        <v>70875000</v>
      </c>
      <c r="C137" s="112" t="s">
        <v>385</v>
      </c>
      <c r="D137" s="295"/>
      <c r="E137" s="124"/>
    </row>
    <row r="138" spans="1:5" ht="27.75" customHeight="1" x14ac:dyDescent="0.25">
      <c r="A138" s="697"/>
      <c r="B138" s="373">
        <f>B100*B132</f>
        <v>15.75</v>
      </c>
      <c r="C138" s="112" t="s">
        <v>604</v>
      </c>
      <c r="D138" s="92"/>
      <c r="E138" s="124"/>
    </row>
    <row r="139" spans="1:5" ht="27.75" customHeight="1" x14ac:dyDescent="0.25">
      <c r="A139" s="699" t="s">
        <v>546</v>
      </c>
      <c r="B139" s="227">
        <f>B101*B12*B132*(B14/100)</f>
        <v>2409750</v>
      </c>
      <c r="C139" s="112" t="s">
        <v>385</v>
      </c>
      <c r="D139" s="92"/>
      <c r="E139" s="124"/>
    </row>
    <row r="140" spans="1:5" ht="27.75" customHeight="1" x14ac:dyDescent="0.25">
      <c r="A140" s="699"/>
      <c r="B140" s="373">
        <f>B101*B132</f>
        <v>0.53549999999999998</v>
      </c>
      <c r="C140" s="112" t="s">
        <v>604</v>
      </c>
      <c r="D140" s="92"/>
      <c r="E140" s="124"/>
    </row>
    <row r="141" spans="1:5" ht="27.75" customHeight="1" x14ac:dyDescent="0.25">
      <c r="A141" s="696" t="s">
        <v>668</v>
      </c>
      <c r="B141" s="373">
        <f>B103*B12*B133*(B14/100)</f>
        <v>209250000</v>
      </c>
      <c r="C141" s="112" t="s">
        <v>385</v>
      </c>
      <c r="D141" s="92"/>
      <c r="E141" s="124"/>
    </row>
    <row r="142" spans="1:5" ht="27.75" customHeight="1" x14ac:dyDescent="0.25">
      <c r="A142" s="697"/>
      <c r="B142" s="373">
        <f>B103*B133</f>
        <v>46.5</v>
      </c>
      <c r="C142" s="112" t="s">
        <v>604</v>
      </c>
      <c r="D142" s="92"/>
      <c r="E142" s="124"/>
    </row>
    <row r="143" spans="1:5" ht="27.75" customHeight="1" x14ac:dyDescent="0.25">
      <c r="A143" s="699" t="s">
        <v>547</v>
      </c>
      <c r="B143" s="227">
        <f>B102*B12*B132*(B14/100)</f>
        <v>85050000</v>
      </c>
      <c r="C143" s="112" t="s">
        <v>385</v>
      </c>
      <c r="D143" s="92"/>
      <c r="E143" s="124"/>
    </row>
    <row r="144" spans="1:5" ht="27.75" customHeight="1" x14ac:dyDescent="0.25">
      <c r="A144" s="699"/>
      <c r="B144" s="373">
        <f>B102*B132</f>
        <v>18.899999999999999</v>
      </c>
      <c r="C144" s="112" t="s">
        <v>604</v>
      </c>
      <c r="D144" s="92"/>
      <c r="E144" s="124"/>
    </row>
    <row r="145" spans="1:5" ht="30.75" customHeight="1" x14ac:dyDescent="0.25">
      <c r="A145" s="696" t="s">
        <v>476</v>
      </c>
      <c r="B145" s="281">
        <f>B88*B134</f>
        <v>254872.2</v>
      </c>
      <c r="C145" s="112" t="s">
        <v>385</v>
      </c>
      <c r="D145" s="92"/>
      <c r="E145" s="124"/>
    </row>
    <row r="146" spans="1:5" ht="30.75" customHeight="1" x14ac:dyDescent="0.25">
      <c r="A146" s="697"/>
      <c r="B146" s="281">
        <f>B145/(B12*B14/100)</f>
        <v>5.6638266666666666E-2</v>
      </c>
      <c r="C146" s="264" t="s">
        <v>604</v>
      </c>
      <c r="D146" s="101"/>
      <c r="E146" s="99"/>
    </row>
    <row r="147" spans="1:5" ht="30.75" customHeight="1" x14ac:dyDescent="0.25">
      <c r="A147" s="696" t="s">
        <v>477</v>
      </c>
      <c r="B147" s="281">
        <f>B89*B134</f>
        <v>2446773.12</v>
      </c>
      <c r="C147" s="112" t="s">
        <v>385</v>
      </c>
      <c r="D147" s="92"/>
      <c r="E147" s="124"/>
    </row>
    <row r="148" spans="1:5" ht="30.75" customHeight="1" x14ac:dyDescent="0.25">
      <c r="A148" s="697"/>
      <c r="B148" s="281">
        <f>B147/(B12*B14/100)</f>
        <v>0.54372735999999999</v>
      </c>
      <c r="C148" s="264" t="s">
        <v>604</v>
      </c>
      <c r="D148" s="101"/>
      <c r="E148" s="99"/>
    </row>
    <row r="149" spans="1:5" ht="30.75" customHeight="1" x14ac:dyDescent="0.25">
      <c r="A149" s="696" t="s">
        <v>478</v>
      </c>
      <c r="B149" s="281">
        <f>B90*B134</f>
        <v>23196245.194836993</v>
      </c>
      <c r="C149" s="112" t="s">
        <v>385</v>
      </c>
      <c r="D149" s="92"/>
      <c r="E149" s="124"/>
    </row>
    <row r="150" spans="1:5" ht="30.75" customHeight="1" x14ac:dyDescent="0.25">
      <c r="A150" s="697"/>
      <c r="B150" s="281">
        <f>B149/(B12*B14/100)</f>
        <v>5.1547211544082208</v>
      </c>
      <c r="C150" s="264" t="s">
        <v>604</v>
      </c>
      <c r="D150" s="101"/>
      <c r="E150" s="99"/>
    </row>
    <row r="151" spans="1:5" ht="30.75" customHeight="1" x14ac:dyDescent="0.25">
      <c r="A151" s="693" t="s">
        <v>380</v>
      </c>
      <c r="B151" s="125">
        <f>B98*B12*B14/100*B135</f>
        <v>3150000</v>
      </c>
      <c r="C151" s="112" t="s">
        <v>385</v>
      </c>
      <c r="D151" s="92"/>
      <c r="E151" s="124"/>
    </row>
    <row r="152" spans="1:5" ht="30.75" customHeight="1" x14ac:dyDescent="0.25">
      <c r="A152" s="694"/>
      <c r="B152" s="374">
        <f>B151/(B12*B14/100)</f>
        <v>0.7</v>
      </c>
      <c r="C152" s="264" t="s">
        <v>604</v>
      </c>
      <c r="D152" s="101"/>
      <c r="E152" s="99"/>
    </row>
    <row r="153" spans="1:5" ht="30.75" customHeight="1" x14ac:dyDescent="0.25">
      <c r="A153" s="112" t="s">
        <v>528</v>
      </c>
      <c r="B153" s="374">
        <f>B138+B140+B144</f>
        <v>35.185499999999998</v>
      </c>
      <c r="C153" s="112" t="s">
        <v>604</v>
      </c>
      <c r="D153" s="92"/>
      <c r="E153" s="124"/>
    </row>
    <row r="154" spans="1:5" ht="30.75" customHeight="1" x14ac:dyDescent="0.25">
      <c r="A154" s="112" t="s">
        <v>529</v>
      </c>
      <c r="B154" s="374">
        <f>B146+B148+B150+B152+B142</f>
        <v>52.95508678107489</v>
      </c>
      <c r="C154" s="112" t="s">
        <v>604</v>
      </c>
      <c r="D154" s="92"/>
      <c r="E154" s="124"/>
    </row>
    <row r="155" spans="1:5" ht="30.75" customHeight="1" x14ac:dyDescent="0.25">
      <c r="A155" s="112" t="s">
        <v>530</v>
      </c>
      <c r="B155" s="375">
        <f>B153+B154</f>
        <v>88.140586781074887</v>
      </c>
      <c r="C155" s="112" t="s">
        <v>604</v>
      </c>
      <c r="D155" s="92"/>
      <c r="E155" s="124"/>
    </row>
    <row r="156" spans="1:5" x14ac:dyDescent="0.25">
      <c r="A156" s="118" t="s">
        <v>251</v>
      </c>
      <c r="B156" s="119"/>
      <c r="C156" s="119"/>
      <c r="D156" s="119"/>
      <c r="E156" s="120"/>
    </row>
    <row r="157" spans="1:5" x14ac:dyDescent="0.25">
      <c r="A157" s="103" t="s">
        <v>94</v>
      </c>
      <c r="B157" s="103"/>
      <c r="C157" s="103"/>
      <c r="D157" s="103"/>
      <c r="E157" s="117"/>
    </row>
    <row r="158" spans="1:5" ht="30" customHeight="1" x14ac:dyDescent="0.25">
      <c r="A158" s="92" t="s">
        <v>252</v>
      </c>
      <c r="B158" s="109">
        <f>B82*(B8/100)</f>
        <v>599503.53448874387</v>
      </c>
      <c r="C158" s="92" t="s">
        <v>261</v>
      </c>
      <c r="D158" s="92"/>
      <c r="E158" s="92"/>
    </row>
    <row r="159" spans="1:5" ht="33" customHeight="1" x14ac:dyDescent="0.25">
      <c r="A159" s="92" t="s">
        <v>253</v>
      </c>
      <c r="B159" s="109">
        <f>B83*(B8/100)</f>
        <v>1641281.3446808353</v>
      </c>
      <c r="C159" s="92" t="s">
        <v>261</v>
      </c>
      <c r="D159" s="92"/>
      <c r="E159" s="92"/>
    </row>
    <row r="160" spans="1:5" ht="29.25" customHeight="1" x14ac:dyDescent="0.25">
      <c r="A160" s="92" t="s">
        <v>254</v>
      </c>
      <c r="B160" s="109">
        <f>B84*(B8/100)</f>
        <v>1355622.1669269756</v>
      </c>
      <c r="C160" s="92" t="s">
        <v>261</v>
      </c>
      <c r="D160" s="92"/>
      <c r="E160" s="92"/>
    </row>
    <row r="161" spans="1:5" ht="30.75" customHeight="1" x14ac:dyDescent="0.25">
      <c r="A161" s="92" t="s">
        <v>256</v>
      </c>
      <c r="B161" s="94">
        <f>(B20+B24+B28+B32)*(B8/100)</f>
        <v>8741738.2254993934</v>
      </c>
      <c r="C161" s="92" t="s">
        <v>261</v>
      </c>
      <c r="D161" s="92"/>
      <c r="E161" s="92"/>
    </row>
    <row r="162" spans="1:5" ht="30.75" customHeight="1" x14ac:dyDescent="0.25">
      <c r="A162" s="92" t="s">
        <v>552</v>
      </c>
      <c r="B162" s="94">
        <f>B36*(B8/100)</f>
        <v>1118388.5236329499</v>
      </c>
      <c r="C162" s="92" t="s">
        <v>261</v>
      </c>
      <c r="D162" s="92"/>
      <c r="E162" s="92"/>
    </row>
    <row r="163" spans="1:5" ht="30.75" customHeight="1" x14ac:dyDescent="0.25">
      <c r="A163" s="92" t="s">
        <v>543</v>
      </c>
      <c r="B163" s="94">
        <f>B40*(B8/100)</f>
        <v>42392967.556885175</v>
      </c>
      <c r="C163" s="92" t="s">
        <v>261</v>
      </c>
      <c r="D163" s="92"/>
      <c r="E163" s="92"/>
    </row>
    <row r="164" spans="1:5" ht="33.75" customHeight="1" x14ac:dyDescent="0.25">
      <c r="A164" s="92" t="s">
        <v>257</v>
      </c>
      <c r="B164" s="94">
        <f>B46*(B8/100)</f>
        <v>418881.2262978417</v>
      </c>
      <c r="C164" s="92" t="s">
        <v>261</v>
      </c>
      <c r="D164" s="92"/>
      <c r="E164" s="92"/>
    </row>
    <row r="165" spans="1:5" ht="33" customHeight="1" x14ac:dyDescent="0.25">
      <c r="A165" s="92" t="s">
        <v>260</v>
      </c>
      <c r="B165" s="94">
        <f>B48*(B8/100)</f>
        <v>0</v>
      </c>
      <c r="C165" s="92" t="s">
        <v>261</v>
      </c>
      <c r="D165" s="92"/>
      <c r="E165" s="92"/>
    </row>
    <row r="166" spans="1:5" x14ac:dyDescent="0.25">
      <c r="A166" s="103" t="s">
        <v>96</v>
      </c>
      <c r="B166" s="103"/>
      <c r="C166" s="103"/>
      <c r="D166" s="103"/>
      <c r="E166" s="117"/>
    </row>
    <row r="167" spans="1:5" ht="28.5" customHeight="1" x14ac:dyDescent="0.25">
      <c r="A167" s="92" t="s">
        <v>245</v>
      </c>
      <c r="B167" s="109">
        <f>B108</f>
        <v>18662400</v>
      </c>
      <c r="C167" s="92" t="s">
        <v>261</v>
      </c>
      <c r="D167" s="92"/>
      <c r="E167" s="92"/>
    </row>
    <row r="168" spans="1:5" ht="30" customHeight="1" x14ac:dyDescent="0.25">
      <c r="A168" s="92" t="s">
        <v>472</v>
      </c>
      <c r="B168" s="109">
        <f>B111</f>
        <v>139021.20000000001</v>
      </c>
      <c r="C168" s="92" t="s">
        <v>261</v>
      </c>
      <c r="D168" s="92"/>
      <c r="E168" s="92"/>
    </row>
    <row r="169" spans="1:5" ht="30" customHeight="1" x14ac:dyDescent="0.25">
      <c r="A169" s="92" t="s">
        <v>473</v>
      </c>
      <c r="B169" s="109">
        <f>B112</f>
        <v>1334603.52</v>
      </c>
      <c r="C169" s="92" t="s">
        <v>261</v>
      </c>
      <c r="D169" s="92"/>
      <c r="E169" s="92"/>
    </row>
    <row r="170" spans="1:5" ht="30" customHeight="1" x14ac:dyDescent="0.25">
      <c r="A170" s="92" t="s">
        <v>474</v>
      </c>
      <c r="B170" s="109">
        <f>B113</f>
        <v>12652497.379001996</v>
      </c>
      <c r="C170" s="92" t="s">
        <v>261</v>
      </c>
      <c r="D170" s="92"/>
      <c r="E170" s="92"/>
    </row>
    <row r="171" spans="1:5" ht="30" customHeight="1" x14ac:dyDescent="0.25">
      <c r="A171" s="92" t="s">
        <v>246</v>
      </c>
      <c r="B171" s="109">
        <f>B116</f>
        <v>5148250</v>
      </c>
      <c r="C171" s="92" t="s">
        <v>261</v>
      </c>
      <c r="D171" s="92"/>
      <c r="E171" s="92"/>
    </row>
    <row r="172" spans="1:5" ht="30" customHeight="1" x14ac:dyDescent="0.25">
      <c r="A172" s="123" t="s">
        <v>248</v>
      </c>
      <c r="B172" s="109">
        <f>B119</f>
        <v>9337500</v>
      </c>
      <c r="C172" s="92" t="s">
        <v>261</v>
      </c>
      <c r="D172" s="92"/>
      <c r="E172" s="92"/>
    </row>
    <row r="173" spans="1:5" ht="30" customHeight="1" x14ac:dyDescent="0.25">
      <c r="A173" s="123" t="s">
        <v>661</v>
      </c>
      <c r="B173" s="109">
        <f t="shared" ref="B173" si="0">B120</f>
        <v>317475</v>
      </c>
      <c r="C173" s="92" t="s">
        <v>261</v>
      </c>
      <c r="D173" s="92"/>
      <c r="E173" s="92"/>
    </row>
    <row r="174" spans="1:5" ht="30" customHeight="1" x14ac:dyDescent="0.25">
      <c r="A174" s="123" t="s">
        <v>549</v>
      </c>
      <c r="B174" s="109">
        <f>B121</f>
        <v>11205000</v>
      </c>
      <c r="C174" s="92" t="s">
        <v>261</v>
      </c>
      <c r="D174" s="92"/>
      <c r="E174" s="92"/>
    </row>
    <row r="175" spans="1:5" ht="30" customHeight="1" x14ac:dyDescent="0.25">
      <c r="A175" s="123" t="s">
        <v>1186</v>
      </c>
      <c r="B175" s="109">
        <f>B123</f>
        <v>33750000</v>
      </c>
      <c r="C175" s="92" t="s">
        <v>261</v>
      </c>
      <c r="D175" s="92"/>
      <c r="E175" s="92"/>
    </row>
    <row r="176" spans="1:5" ht="29.25" customHeight="1" x14ac:dyDescent="0.25">
      <c r="A176" s="92" t="s">
        <v>162</v>
      </c>
      <c r="B176" s="109">
        <f>B125</f>
        <v>3548173.3611034551</v>
      </c>
      <c r="C176" s="92" t="s">
        <v>261</v>
      </c>
      <c r="D176" s="92"/>
      <c r="E176" s="92"/>
    </row>
    <row r="177" spans="1:5" ht="33.75" customHeight="1" x14ac:dyDescent="0.25">
      <c r="A177" s="92" t="s">
        <v>89</v>
      </c>
      <c r="B177" s="109">
        <f>B127*(B8/100)</f>
        <v>0</v>
      </c>
      <c r="C177" s="92" t="s">
        <v>261</v>
      </c>
      <c r="D177" s="92"/>
      <c r="E177" s="92"/>
    </row>
    <row r="178" spans="1:5" ht="33.75" customHeight="1" x14ac:dyDescent="0.25">
      <c r="A178" s="92" t="s">
        <v>649</v>
      </c>
      <c r="B178" s="109">
        <f>B130*B154*B180/1000</f>
        <v>0</v>
      </c>
      <c r="C178" s="92" t="s">
        <v>261</v>
      </c>
      <c r="D178" s="92" t="s">
        <v>650</v>
      </c>
      <c r="E178" s="92"/>
    </row>
    <row r="179" spans="1:5" x14ac:dyDescent="0.25">
      <c r="A179" s="103" t="s">
        <v>387</v>
      </c>
      <c r="B179" s="103"/>
      <c r="C179" s="103"/>
      <c r="D179" s="103"/>
      <c r="E179" s="117"/>
    </row>
    <row r="180" spans="1:5" ht="30.75" customHeight="1" x14ac:dyDescent="0.25">
      <c r="A180" s="92" t="s">
        <v>501</v>
      </c>
      <c r="B180" s="109">
        <f>B12*(B14/100)</f>
        <v>4500000</v>
      </c>
      <c r="C180" s="92" t="s">
        <v>605</v>
      </c>
      <c r="D180" s="92" t="s">
        <v>660</v>
      </c>
      <c r="E180" s="92"/>
    </row>
    <row r="181" spans="1:5" x14ac:dyDescent="0.25">
      <c r="A181" s="103" t="s">
        <v>495</v>
      </c>
      <c r="B181" s="103"/>
      <c r="C181" s="103"/>
      <c r="D181" s="103"/>
      <c r="E181" s="117"/>
    </row>
    <row r="182" spans="1:5" ht="30.75" customHeight="1" x14ac:dyDescent="0.25">
      <c r="A182" s="268" t="s">
        <v>544</v>
      </c>
      <c r="B182" s="109">
        <f>B100*B12*(1/365)*(1/24)</f>
        <v>14269.406392694062</v>
      </c>
      <c r="C182" s="92" t="s">
        <v>491</v>
      </c>
      <c r="D182" s="92" t="s">
        <v>509</v>
      </c>
      <c r="E182" s="218"/>
    </row>
    <row r="183" spans="1:5" ht="30.75" customHeight="1" x14ac:dyDescent="0.25">
      <c r="A183" s="101" t="s">
        <v>551</v>
      </c>
      <c r="B183" s="109">
        <f>B101*B12*(1/365)*(1/24)</f>
        <v>485.15981735159818</v>
      </c>
      <c r="C183" s="92" t="s">
        <v>491</v>
      </c>
      <c r="D183" s="92" t="s">
        <v>509</v>
      </c>
      <c r="E183" s="218"/>
    </row>
    <row r="184" spans="1:5" ht="30.75" customHeight="1" x14ac:dyDescent="0.25">
      <c r="A184" s="101" t="s">
        <v>548</v>
      </c>
      <c r="B184" s="109">
        <f>B102*B12*(1/365)*(1/24)</f>
        <v>17123.287671232876</v>
      </c>
      <c r="C184" s="92" t="s">
        <v>491</v>
      </c>
      <c r="D184" s="92" t="s">
        <v>509</v>
      </c>
      <c r="E184" s="218"/>
    </row>
    <row r="185" spans="1:5" ht="30.75" customHeight="1" x14ac:dyDescent="0.25">
      <c r="A185" s="101" t="s">
        <v>671</v>
      </c>
      <c r="B185" s="109">
        <f>B103*B12*(1/365)*(1/24)</f>
        <v>142694.06392694064</v>
      </c>
      <c r="C185" s="92" t="s">
        <v>491</v>
      </c>
      <c r="D185" s="92"/>
      <c r="E185" s="218"/>
    </row>
    <row r="186" spans="1:5" ht="36" customHeight="1" x14ac:dyDescent="0.25">
      <c r="A186" s="268" t="s">
        <v>505</v>
      </c>
      <c r="B186" s="315">
        <f>IF(B72="Diesel",(B88+B89+B90)/10.72,"not powered by diesel")</f>
        <v>9548806.3074586261</v>
      </c>
      <c r="C186" s="92" t="s">
        <v>502</v>
      </c>
      <c r="D186" s="92"/>
      <c r="E186" s="93" t="s">
        <v>504</v>
      </c>
    </row>
    <row r="187" spans="1:5" ht="30.75" customHeight="1" x14ac:dyDescent="0.25">
      <c r="A187" s="268" t="s">
        <v>508</v>
      </c>
      <c r="B187" s="315" t="str">
        <f>IF(B72="Battery",(B88+B89+B90)*(1/365)*(1/24),"not powered by battery")</f>
        <v>not powered by battery</v>
      </c>
      <c r="C187" s="92" t="s">
        <v>491</v>
      </c>
      <c r="D187" s="92"/>
      <c r="E187" s="92"/>
    </row>
    <row r="188" spans="1:5" ht="30.75" customHeight="1" x14ac:dyDescent="0.25">
      <c r="A188" s="268" t="s">
        <v>503</v>
      </c>
      <c r="B188" s="315" t="str">
        <f>IF(B72="Hydrogen",(B88+B89+B90)/33.3,"not powered by hydrogen")</f>
        <v>not powered by hydrogen</v>
      </c>
      <c r="C188" s="92" t="s">
        <v>507</v>
      </c>
      <c r="D188" s="92"/>
      <c r="E188" s="218" t="s">
        <v>506</v>
      </c>
    </row>
    <row r="189" spans="1:5" ht="30.75" customHeight="1" x14ac:dyDescent="0.25">
      <c r="A189" s="268" t="s">
        <v>606</v>
      </c>
      <c r="B189" s="245">
        <f>(SUM(B88:B90)/B180)+(SUM(B100:B103))</f>
        <v>328.59737858132371</v>
      </c>
      <c r="C189" s="97" t="s">
        <v>607</v>
      </c>
      <c r="D189" s="92"/>
      <c r="E189" s="218"/>
    </row>
    <row r="190" spans="1:5" x14ac:dyDescent="0.25">
      <c r="A190" s="103" t="s">
        <v>1165</v>
      </c>
      <c r="B190" s="103"/>
      <c r="C190" s="103"/>
      <c r="D190" s="103"/>
      <c r="E190" s="117"/>
    </row>
    <row r="191" spans="1:5" ht="30.75" customHeight="1" x14ac:dyDescent="0.25">
      <c r="A191" s="123" t="s">
        <v>1168</v>
      </c>
      <c r="B191" s="197">
        <f t="shared" ref="B191:B198" si="1">B158/$B$180</f>
        <v>0.13322300766416531</v>
      </c>
      <c r="C191" s="92" t="s">
        <v>608</v>
      </c>
      <c r="D191" s="113"/>
      <c r="E191" s="455"/>
    </row>
    <row r="192" spans="1:5" ht="30.75" customHeight="1" x14ac:dyDescent="0.25">
      <c r="A192" s="123" t="s">
        <v>1169</v>
      </c>
      <c r="B192" s="197">
        <f t="shared" si="1"/>
        <v>0.36472918770685225</v>
      </c>
      <c r="C192" s="92" t="s">
        <v>608</v>
      </c>
      <c r="D192" s="113"/>
      <c r="E192" s="455"/>
    </row>
    <row r="193" spans="1:7" ht="30.75" customHeight="1" x14ac:dyDescent="0.25">
      <c r="A193" s="123" t="s">
        <v>1170</v>
      </c>
      <c r="B193" s="197">
        <f t="shared" si="1"/>
        <v>0.30124937042821681</v>
      </c>
      <c r="C193" s="92" t="s">
        <v>608</v>
      </c>
      <c r="D193" s="113"/>
      <c r="E193" s="455"/>
    </row>
    <row r="194" spans="1:7" ht="30.75" customHeight="1" x14ac:dyDescent="0.25">
      <c r="A194" s="123" t="s">
        <v>1171</v>
      </c>
      <c r="B194" s="197">
        <f t="shared" si="1"/>
        <v>1.9426084945554207</v>
      </c>
      <c r="C194" s="92" t="s">
        <v>608</v>
      </c>
      <c r="D194" s="113"/>
      <c r="E194" s="455"/>
    </row>
    <row r="195" spans="1:7" ht="30.75" customHeight="1" x14ac:dyDescent="0.25">
      <c r="A195" s="123" t="s">
        <v>1172</v>
      </c>
      <c r="B195" s="197">
        <f t="shared" si="1"/>
        <v>0.24853078302954443</v>
      </c>
      <c r="C195" s="92" t="s">
        <v>608</v>
      </c>
      <c r="D195" s="113"/>
      <c r="E195" s="455"/>
    </row>
    <row r="196" spans="1:7" ht="31.5" customHeight="1" x14ac:dyDescent="0.25">
      <c r="A196" s="123" t="s">
        <v>1173</v>
      </c>
      <c r="B196" s="197">
        <f t="shared" si="1"/>
        <v>9.4206594570855948</v>
      </c>
      <c r="C196" s="92" t="s">
        <v>608</v>
      </c>
      <c r="D196" s="113"/>
      <c r="E196" s="455"/>
    </row>
    <row r="197" spans="1:7" ht="31.5" customHeight="1" x14ac:dyDescent="0.25">
      <c r="A197" s="123" t="s">
        <v>1174</v>
      </c>
      <c r="B197" s="197">
        <f t="shared" si="1"/>
        <v>9.3084716955075933E-2</v>
      </c>
      <c r="C197" s="92" t="s">
        <v>608</v>
      </c>
      <c r="D197" s="113"/>
      <c r="E197" s="455"/>
    </row>
    <row r="198" spans="1:7" ht="31.5" customHeight="1" x14ac:dyDescent="0.25">
      <c r="A198" s="123" t="s">
        <v>1175</v>
      </c>
      <c r="B198" s="197">
        <f t="shared" si="1"/>
        <v>0</v>
      </c>
      <c r="C198" s="92" t="s">
        <v>608</v>
      </c>
      <c r="D198" s="113"/>
      <c r="E198" s="455"/>
    </row>
    <row r="199" spans="1:7" ht="31.5" customHeight="1" x14ac:dyDescent="0.25">
      <c r="A199" s="123" t="s">
        <v>1176</v>
      </c>
      <c r="B199" s="197">
        <f t="shared" ref="B199:B204" si="2">B167/$B$180</f>
        <v>4.1471999999999998</v>
      </c>
      <c r="C199" s="92" t="s">
        <v>608</v>
      </c>
      <c r="D199" s="113"/>
      <c r="E199" s="455"/>
    </row>
    <row r="200" spans="1:7" ht="31.5" customHeight="1" x14ac:dyDescent="0.25">
      <c r="A200" s="123" t="s">
        <v>1177</v>
      </c>
      <c r="B200" s="197">
        <f t="shared" si="2"/>
        <v>3.0893600000000004E-2</v>
      </c>
      <c r="C200" s="92" t="s">
        <v>608</v>
      </c>
      <c r="D200" s="113"/>
      <c r="E200" s="455"/>
    </row>
    <row r="201" spans="1:7" ht="31.5" customHeight="1" x14ac:dyDescent="0.25">
      <c r="A201" s="123" t="s">
        <v>1178</v>
      </c>
      <c r="B201" s="197">
        <f t="shared" si="2"/>
        <v>0.29657855999999999</v>
      </c>
      <c r="C201" s="92" t="s">
        <v>608</v>
      </c>
      <c r="D201" s="113"/>
      <c r="E201" s="455"/>
    </row>
    <row r="202" spans="1:7" ht="31.5" customHeight="1" x14ac:dyDescent="0.25">
      <c r="A202" s="123" t="s">
        <v>1179</v>
      </c>
      <c r="B202" s="197">
        <f t="shared" si="2"/>
        <v>2.8116660842226655</v>
      </c>
      <c r="C202" s="92" t="s">
        <v>608</v>
      </c>
      <c r="D202" s="113"/>
      <c r="E202" s="455"/>
    </row>
    <row r="203" spans="1:7" ht="33" customHeight="1" x14ac:dyDescent="0.25">
      <c r="A203" s="123" t="s">
        <v>1180</v>
      </c>
      <c r="B203" s="197">
        <f t="shared" si="2"/>
        <v>1.1440555555555556</v>
      </c>
      <c r="C203" s="92" t="s">
        <v>608</v>
      </c>
      <c r="D203" s="113"/>
      <c r="E203" s="455"/>
    </row>
    <row r="204" spans="1:7" ht="32.25" customHeight="1" x14ac:dyDescent="0.25">
      <c r="A204" s="123" t="s">
        <v>1181</v>
      </c>
      <c r="B204" s="197">
        <f t="shared" si="2"/>
        <v>2.0750000000000002</v>
      </c>
      <c r="C204" s="92" t="s">
        <v>608</v>
      </c>
      <c r="D204" s="113"/>
      <c r="E204" s="455"/>
    </row>
    <row r="205" spans="1:7" ht="31.5" customHeight="1" x14ac:dyDescent="0.25">
      <c r="A205" s="123" t="s">
        <v>1182</v>
      </c>
      <c r="B205" s="197">
        <f t="shared" ref="B205:B210" si="3">B173/$B$180</f>
        <v>7.0550000000000002E-2</v>
      </c>
      <c r="C205" s="92" t="s">
        <v>608</v>
      </c>
      <c r="D205" s="113"/>
      <c r="E205" s="455"/>
      <c r="G205" s="349"/>
    </row>
    <row r="206" spans="1:7" ht="30.75" customHeight="1" x14ac:dyDescent="0.25">
      <c r="A206" s="123" t="s">
        <v>1183</v>
      </c>
      <c r="B206" s="197">
        <f t="shared" si="3"/>
        <v>2.4900000000000002</v>
      </c>
      <c r="C206" s="92" t="s">
        <v>608</v>
      </c>
      <c r="D206" s="113"/>
      <c r="E206" s="455"/>
    </row>
    <row r="207" spans="1:7" ht="30.75" customHeight="1" x14ac:dyDescent="0.25">
      <c r="A207" s="123" t="s">
        <v>1187</v>
      </c>
      <c r="B207" s="197">
        <f>B175/$B$180</f>
        <v>7.5</v>
      </c>
      <c r="C207" s="92" t="s">
        <v>608</v>
      </c>
      <c r="D207" s="113"/>
      <c r="E207" s="455"/>
    </row>
    <row r="208" spans="1:7" ht="31.5" customHeight="1" x14ac:dyDescent="0.25">
      <c r="A208" s="123" t="s">
        <v>1184</v>
      </c>
      <c r="B208" s="197">
        <f t="shared" si="3"/>
        <v>0.7884829691341011</v>
      </c>
      <c r="C208" s="92" t="s">
        <v>608</v>
      </c>
      <c r="D208" s="113"/>
      <c r="E208" s="455"/>
    </row>
    <row r="209" spans="1:5" ht="33" customHeight="1" x14ac:dyDescent="0.25">
      <c r="A209" s="123" t="s">
        <v>856</v>
      </c>
      <c r="B209" s="197">
        <f t="shared" si="3"/>
        <v>0</v>
      </c>
      <c r="C209" s="92" t="s">
        <v>608</v>
      </c>
      <c r="D209" s="113"/>
      <c r="E209" s="455"/>
    </row>
    <row r="210" spans="1:5" ht="33" customHeight="1" x14ac:dyDescent="0.25">
      <c r="A210" s="123" t="s">
        <v>857</v>
      </c>
      <c r="B210" s="197">
        <f t="shared" si="3"/>
        <v>0</v>
      </c>
      <c r="C210" s="92" t="s">
        <v>608</v>
      </c>
      <c r="D210" s="113"/>
      <c r="E210" s="455"/>
    </row>
    <row r="211" spans="1:5" ht="33" customHeight="1" x14ac:dyDescent="0.25">
      <c r="A211" s="92" t="s">
        <v>532</v>
      </c>
      <c r="B211" s="197">
        <f>SUM(B191:B210)</f>
        <v>33.858511786337189</v>
      </c>
      <c r="C211" s="92" t="s">
        <v>608</v>
      </c>
      <c r="D211" s="113"/>
      <c r="E211" s="455"/>
    </row>
    <row r="212" spans="1:5" ht="33" customHeight="1" x14ac:dyDescent="0.25">
      <c r="A212" s="92" t="s">
        <v>533</v>
      </c>
      <c r="B212" s="197">
        <f>B211/$B$5</f>
        <v>48.369302551910273</v>
      </c>
      <c r="C212" s="92" t="s">
        <v>609</v>
      </c>
      <c r="D212" s="113"/>
      <c r="E212" s="455"/>
    </row>
  </sheetData>
  <mergeCells count="39">
    <mergeCell ref="A12:A13"/>
    <mergeCell ref="E93:E96"/>
    <mergeCell ref="E17:E20"/>
    <mergeCell ref="E21:E24"/>
    <mergeCell ref="E25:E28"/>
    <mergeCell ref="E29:E32"/>
    <mergeCell ref="E43:E46"/>
    <mergeCell ref="A17:A20"/>
    <mergeCell ref="A21:A24"/>
    <mergeCell ref="A25:A28"/>
    <mergeCell ref="A29:A32"/>
    <mergeCell ref="A43:A46"/>
    <mergeCell ref="E58:E59"/>
    <mergeCell ref="A60:A63"/>
    <mergeCell ref="E60:E63"/>
    <mergeCell ref="A37:A40"/>
    <mergeCell ref="A33:A36"/>
    <mergeCell ref="A145:A146"/>
    <mergeCell ref="A53:A56"/>
    <mergeCell ref="A67:A70"/>
    <mergeCell ref="A139:A140"/>
    <mergeCell ref="A137:A138"/>
    <mergeCell ref="D77:D78"/>
    <mergeCell ref="A75:A76"/>
    <mergeCell ref="E75:E76"/>
    <mergeCell ref="A151:A152"/>
    <mergeCell ref="A147:A148"/>
    <mergeCell ref="A149:A150"/>
    <mergeCell ref="A143:A144"/>
    <mergeCell ref="A141:A142"/>
    <mergeCell ref="G36:J36"/>
    <mergeCell ref="K36:M36"/>
    <mergeCell ref="G71:J71"/>
    <mergeCell ref="K71:M71"/>
    <mergeCell ref="E37:E40"/>
    <mergeCell ref="E65:E66"/>
    <mergeCell ref="E67:E70"/>
    <mergeCell ref="E53:E56"/>
    <mergeCell ref="E33:E36"/>
  </mergeCells>
  <dataValidations count="2">
    <dataValidation type="list" allowBlank="1" showInputMessage="1" showErrorMessage="1" sqref="B72" xr:uid="{2F1A0D2F-FABF-4CEF-A907-C441E701A245}">
      <formula1>$H$72:$J$72</formula1>
    </dataValidation>
    <dataValidation type="list" allowBlank="1" showInputMessage="1" showErrorMessage="1" sqref="B41" xr:uid="{B1D53D0D-27DB-4695-996C-EE990FB5242D}">
      <formula1>$H$37:$J$37</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0BFD3-5FDE-4514-B23A-8F4F53BCEFE2}">
  <sheetPr>
    <tabColor rgb="FFFFC000"/>
  </sheetPr>
  <dimension ref="A1:U96"/>
  <sheetViews>
    <sheetView topLeftCell="A86" zoomScale="70" zoomScaleNormal="70" workbookViewId="0">
      <selection activeCell="I17" sqref="I17"/>
    </sheetView>
  </sheetViews>
  <sheetFormatPr defaultRowHeight="15.75" x14ac:dyDescent="0.25"/>
  <cols>
    <col min="1" max="1" width="49.28515625" style="45" customWidth="1"/>
    <col min="2" max="2" width="39.7109375" style="45" customWidth="1"/>
    <col min="3" max="3" width="26.28515625" style="45" customWidth="1"/>
    <col min="4" max="4" width="50.140625" style="45" customWidth="1"/>
    <col min="5" max="5" width="84.140625" style="45" customWidth="1"/>
    <col min="6" max="6" width="9.140625" style="45"/>
    <col min="7" max="7" width="28.5703125" style="45" customWidth="1"/>
    <col min="8" max="8" width="18.28515625" style="45" customWidth="1"/>
    <col min="9" max="13" width="18.42578125" style="45" customWidth="1"/>
    <col min="14" max="17" width="19.7109375" style="45" customWidth="1"/>
    <col min="18" max="18" width="33.42578125" style="45" customWidth="1"/>
    <col min="19" max="20" width="33.28515625" style="45" customWidth="1"/>
    <col min="21" max="21" width="45.28515625" style="45" customWidth="1"/>
    <col min="22" max="16384" width="9.140625" style="45"/>
  </cols>
  <sheetData>
    <row r="1" spans="1:18" ht="17.25" thickTop="1" thickBot="1" x14ac:dyDescent="0.3">
      <c r="A1" s="74" t="s">
        <v>156</v>
      </c>
      <c r="B1" s="75"/>
      <c r="C1" s="75"/>
      <c r="D1" s="75"/>
      <c r="E1" s="75"/>
    </row>
    <row r="2" spans="1:18" ht="17.25" thickTop="1" thickBot="1" x14ac:dyDescent="0.3">
      <c r="A2" s="46"/>
      <c r="B2" s="46"/>
      <c r="C2" s="46"/>
      <c r="D2" s="46"/>
      <c r="E2" s="46"/>
    </row>
    <row r="3" spans="1:18" x14ac:dyDescent="0.25">
      <c r="A3" s="53" t="s">
        <v>152</v>
      </c>
      <c r="B3" s="54" t="s">
        <v>41</v>
      </c>
      <c r="C3" s="54" t="s">
        <v>40</v>
      </c>
      <c r="D3" s="55" t="s">
        <v>42</v>
      </c>
      <c r="E3" s="56" t="s">
        <v>43</v>
      </c>
    </row>
    <row r="4" spans="1:18" ht="16.5" thickBot="1" x14ac:dyDescent="0.3">
      <c r="A4" s="57" t="s">
        <v>44</v>
      </c>
      <c r="B4" s="58"/>
      <c r="C4" s="58"/>
      <c r="D4" s="58"/>
      <c r="E4" s="59"/>
    </row>
    <row r="5" spans="1:18" ht="33.75" customHeight="1" thickTop="1" x14ac:dyDescent="0.25">
      <c r="A5" s="140" t="s">
        <v>644</v>
      </c>
      <c r="B5" s="222">
        <f>0.7</f>
        <v>0.7</v>
      </c>
      <c r="C5" s="142" t="s">
        <v>45</v>
      </c>
      <c r="D5" s="269"/>
      <c r="E5" s="306">
        <f>0.7</f>
        <v>0.7</v>
      </c>
      <c r="H5" s="266"/>
      <c r="I5" s="266"/>
      <c r="J5" s="266"/>
      <c r="K5" s="266"/>
      <c r="L5" s="266"/>
      <c r="M5" s="266"/>
      <c r="N5" s="266"/>
      <c r="O5" s="266"/>
      <c r="P5" s="266"/>
      <c r="Q5" s="266"/>
      <c r="R5" s="266"/>
    </row>
    <row r="6" spans="1:18" ht="33" customHeight="1" x14ac:dyDescent="0.25">
      <c r="A6" s="144" t="s">
        <v>46</v>
      </c>
      <c r="B6" s="223">
        <v>7</v>
      </c>
      <c r="C6" s="146" t="s">
        <v>47</v>
      </c>
      <c r="D6" s="61" t="s">
        <v>48</v>
      </c>
      <c r="E6" s="309">
        <v>7</v>
      </c>
      <c r="H6" s="584"/>
      <c r="I6" s="584"/>
      <c r="J6" s="584"/>
      <c r="K6" s="584"/>
      <c r="L6" s="584"/>
      <c r="M6" s="584"/>
      <c r="N6" s="584"/>
      <c r="O6" s="584"/>
      <c r="P6" s="584"/>
      <c r="Q6" s="584"/>
    </row>
    <row r="7" spans="1:18" ht="33" customHeight="1" x14ac:dyDescent="0.25">
      <c r="A7" s="144" t="s">
        <v>49</v>
      </c>
      <c r="B7" s="224">
        <v>20</v>
      </c>
      <c r="C7" s="62" t="s">
        <v>50</v>
      </c>
      <c r="D7" s="61" t="s">
        <v>587</v>
      </c>
      <c r="E7" s="307" t="s">
        <v>402</v>
      </c>
      <c r="H7" s="611"/>
      <c r="I7" s="611"/>
      <c r="J7" s="611"/>
      <c r="K7" s="611"/>
      <c r="L7" s="611"/>
      <c r="M7" s="611"/>
      <c r="N7" s="611"/>
      <c r="O7" s="611"/>
      <c r="P7" s="611"/>
      <c r="Q7" s="611"/>
    </row>
    <row r="8" spans="1:18" ht="34.5" customHeight="1" x14ac:dyDescent="0.25">
      <c r="A8" s="193" t="s">
        <v>52</v>
      </c>
      <c r="B8" s="613">
        <f>(($B$6/100)*(1+$B$6/100)^$B$7)/(((1+$B$6/100)^$B$7)-1)*100</f>
        <v>9.4392925743255702</v>
      </c>
      <c r="C8" s="179" t="s">
        <v>47</v>
      </c>
      <c r="D8" s="614" t="s">
        <v>53</v>
      </c>
      <c r="E8" s="574"/>
    </row>
    <row r="9" spans="1:18" ht="30.75" customHeight="1" thickBot="1" x14ac:dyDescent="0.3">
      <c r="A9" s="150" t="s">
        <v>1210</v>
      </c>
      <c r="B9" s="579">
        <v>100</v>
      </c>
      <c r="C9" s="151" t="s">
        <v>1211</v>
      </c>
      <c r="D9" s="576" t="s">
        <v>1279</v>
      </c>
      <c r="E9" s="577" t="s">
        <v>1281</v>
      </c>
    </row>
    <row r="10" spans="1:18" ht="16.5" thickBot="1" x14ac:dyDescent="0.3">
      <c r="D10" s="270"/>
      <c r="H10" s="582"/>
      <c r="I10" s="582"/>
      <c r="J10" s="582"/>
      <c r="K10" s="582"/>
      <c r="L10" s="582"/>
      <c r="M10" s="582"/>
      <c r="N10" s="582"/>
      <c r="O10" s="582"/>
      <c r="P10" s="582"/>
      <c r="Q10" s="582"/>
    </row>
    <row r="11" spans="1:18" ht="25.5" customHeight="1" thickTop="1" x14ac:dyDescent="0.25">
      <c r="A11" s="154" t="s">
        <v>272</v>
      </c>
      <c r="B11" s="155"/>
      <c r="C11" s="155"/>
      <c r="D11" s="271"/>
      <c r="E11" s="156"/>
    </row>
    <row r="12" spans="1:18" ht="18" customHeight="1" x14ac:dyDescent="0.25">
      <c r="A12" s="198" t="s">
        <v>290</v>
      </c>
      <c r="B12" s="199"/>
      <c r="C12" s="199"/>
      <c r="D12" s="272"/>
      <c r="E12" s="192"/>
    </row>
    <row r="13" spans="1:18" ht="30" customHeight="1" x14ac:dyDescent="0.25">
      <c r="A13" s="121" t="s">
        <v>525</v>
      </c>
      <c r="B13" s="216">
        <v>250</v>
      </c>
      <c r="C13" s="92" t="s">
        <v>157</v>
      </c>
      <c r="D13" s="123"/>
      <c r="E13" s="225" t="s">
        <v>291</v>
      </c>
    </row>
    <row r="14" spans="1:18" ht="30" customHeight="1" x14ac:dyDescent="0.25">
      <c r="A14" s="121" t="s">
        <v>302</v>
      </c>
      <c r="B14" s="251">
        <v>3</v>
      </c>
      <c r="C14" s="92" t="s">
        <v>356</v>
      </c>
      <c r="D14" s="123"/>
      <c r="E14" s="225" t="s">
        <v>357</v>
      </c>
    </row>
    <row r="15" spans="1:18" ht="30" customHeight="1" x14ac:dyDescent="0.25">
      <c r="A15" s="121" t="s">
        <v>303</v>
      </c>
      <c r="B15" s="251">
        <v>3</v>
      </c>
      <c r="C15" s="92" t="s">
        <v>356</v>
      </c>
      <c r="D15" s="123"/>
      <c r="E15" s="225" t="s">
        <v>358</v>
      </c>
    </row>
    <row r="16" spans="1:18" ht="33.75" customHeight="1" x14ac:dyDescent="0.25">
      <c r="A16" s="121" t="s">
        <v>304</v>
      </c>
      <c r="B16" s="91">
        <v>70</v>
      </c>
      <c r="C16" s="92" t="s">
        <v>305</v>
      </c>
      <c r="D16" s="123"/>
      <c r="E16" s="225" t="s">
        <v>355</v>
      </c>
    </row>
    <row r="17" spans="1:21" ht="28.5" customHeight="1" x14ac:dyDescent="0.25">
      <c r="A17" s="62" t="s">
        <v>55</v>
      </c>
      <c r="B17" s="226">
        <v>350</v>
      </c>
      <c r="C17" s="62" t="s">
        <v>56</v>
      </c>
      <c r="D17" s="61"/>
      <c r="E17" s="218" t="s">
        <v>291</v>
      </c>
      <c r="L17" s="582"/>
      <c r="R17" s="611"/>
    </row>
    <row r="18" spans="1:21" ht="18" customHeight="1" x14ac:dyDescent="0.25">
      <c r="A18" s="198" t="s">
        <v>278</v>
      </c>
      <c r="B18" s="199"/>
      <c r="C18" s="199"/>
      <c r="D18" s="272"/>
      <c r="E18" s="192"/>
      <c r="H18" s="582"/>
    </row>
    <row r="19" spans="1:21" ht="31.5" customHeight="1" x14ac:dyDescent="0.25">
      <c r="A19" s="92" t="s">
        <v>273</v>
      </c>
      <c r="B19" s="87">
        <v>110</v>
      </c>
      <c r="C19" s="92" t="s">
        <v>610</v>
      </c>
      <c r="D19" s="123" t="s">
        <v>277</v>
      </c>
      <c r="E19" s="124" t="s">
        <v>611</v>
      </c>
      <c r="H19" s="611"/>
      <c r="I19" s="611"/>
      <c r="J19" s="611"/>
      <c r="K19" s="611"/>
      <c r="L19" s="611"/>
      <c r="M19" s="611"/>
      <c r="N19" s="611"/>
      <c r="O19" s="611"/>
      <c r="P19" s="611"/>
      <c r="Q19" s="611"/>
    </row>
    <row r="20" spans="1:21" ht="31.5" customHeight="1" x14ac:dyDescent="0.25">
      <c r="A20" s="92" t="s">
        <v>572</v>
      </c>
      <c r="B20" s="87">
        <v>16.100000000000001</v>
      </c>
      <c r="C20" s="92" t="s">
        <v>573</v>
      </c>
      <c r="D20" s="123" t="s">
        <v>574</v>
      </c>
      <c r="E20" s="124" t="s">
        <v>575</v>
      </c>
    </row>
    <row r="21" spans="1:21" ht="31.5" customHeight="1" x14ac:dyDescent="0.25">
      <c r="A21" s="92" t="s">
        <v>274</v>
      </c>
      <c r="B21" s="87">
        <v>230</v>
      </c>
      <c r="C21" s="92" t="s">
        <v>275</v>
      </c>
      <c r="D21" s="123" t="s">
        <v>276</v>
      </c>
      <c r="E21" s="124" t="s">
        <v>281</v>
      </c>
    </row>
    <row r="22" spans="1:21" ht="35.25" customHeight="1" x14ac:dyDescent="0.25">
      <c r="A22" s="92" t="s">
        <v>280</v>
      </c>
      <c r="B22" s="91">
        <v>150000</v>
      </c>
      <c r="C22" s="92" t="s">
        <v>284</v>
      </c>
      <c r="D22" s="123"/>
      <c r="E22" s="124" t="s">
        <v>566</v>
      </c>
    </row>
    <row r="23" spans="1:21" ht="35.25" customHeight="1" x14ac:dyDescent="0.25">
      <c r="A23" s="92" t="s">
        <v>288</v>
      </c>
      <c r="B23" s="353">
        <v>21.7</v>
      </c>
      <c r="C23" s="92" t="s">
        <v>610</v>
      </c>
      <c r="D23" s="123"/>
      <c r="E23" s="124" t="s">
        <v>300</v>
      </c>
      <c r="F23" s="45" t="s">
        <v>306</v>
      </c>
    </row>
    <row r="24" spans="1:21" ht="33.75" customHeight="1" x14ac:dyDescent="0.25">
      <c r="A24" s="92" t="s">
        <v>405</v>
      </c>
      <c r="B24" s="369" t="s">
        <v>383</v>
      </c>
      <c r="C24" s="92" t="s">
        <v>45</v>
      </c>
      <c r="D24" s="123"/>
      <c r="E24" s="124"/>
    </row>
    <row r="25" spans="1:21" ht="33.75" customHeight="1" x14ac:dyDescent="0.25">
      <c r="A25" s="92" t="s">
        <v>282</v>
      </c>
      <c r="B25" s="91">
        <v>4</v>
      </c>
      <c r="C25" s="92" t="s">
        <v>275</v>
      </c>
      <c r="D25" s="123"/>
      <c r="E25" s="93" t="s">
        <v>283</v>
      </c>
    </row>
    <row r="26" spans="1:21" ht="33.75" customHeight="1" x14ac:dyDescent="0.25">
      <c r="A26" s="92" t="s">
        <v>576</v>
      </c>
      <c r="B26" s="354">
        <v>15</v>
      </c>
      <c r="C26" s="92" t="s">
        <v>578</v>
      </c>
      <c r="D26" s="123"/>
      <c r="E26" s="93" t="s">
        <v>577</v>
      </c>
    </row>
    <row r="27" spans="1:21" ht="33" customHeight="1" x14ac:dyDescent="0.25">
      <c r="A27" s="92" t="s">
        <v>279</v>
      </c>
      <c r="B27" s="227">
        <f>HLOOKUP(B24,G30:K37,2,FALSE)</f>
        <v>3940000</v>
      </c>
      <c r="C27" s="92" t="s">
        <v>285</v>
      </c>
      <c r="D27" s="123"/>
      <c r="E27" s="124" t="s">
        <v>406</v>
      </c>
    </row>
    <row r="28" spans="1:21" ht="33" customHeight="1" x14ac:dyDescent="0.25">
      <c r="A28" s="92" t="s">
        <v>289</v>
      </c>
      <c r="B28" s="280">
        <f>HLOOKUP(B24,G30:K37,3,FALSE)</f>
        <v>123.7</v>
      </c>
      <c r="C28" s="92" t="s">
        <v>620</v>
      </c>
      <c r="D28" s="123"/>
      <c r="E28" s="124" t="s">
        <v>406</v>
      </c>
      <c r="H28" s="583"/>
    </row>
    <row r="29" spans="1:21" ht="33" customHeight="1" x14ac:dyDescent="0.25">
      <c r="A29" s="101" t="s">
        <v>313</v>
      </c>
      <c r="B29" s="227">
        <f>B22*B21*(B9/100)</f>
        <v>34500000</v>
      </c>
      <c r="C29" s="101" t="s">
        <v>286</v>
      </c>
      <c r="D29" s="92" t="s">
        <v>1280</v>
      </c>
      <c r="E29" s="99"/>
      <c r="G29" s="713" t="s">
        <v>409</v>
      </c>
      <c r="H29" s="713"/>
      <c r="I29" s="713"/>
      <c r="J29" s="713"/>
      <c r="K29" s="713"/>
      <c r="L29" s="713" t="s">
        <v>427</v>
      </c>
      <c r="M29" s="713"/>
      <c r="N29" s="713"/>
      <c r="O29" s="713"/>
      <c r="P29" s="621"/>
      <c r="Q29" s="621"/>
      <c r="R29" s="293"/>
      <c r="S29" s="293"/>
      <c r="T29" s="293"/>
      <c r="U29" s="293"/>
    </row>
    <row r="30" spans="1:21" ht="33" customHeight="1" x14ac:dyDescent="0.25">
      <c r="A30" s="101" t="s">
        <v>314</v>
      </c>
      <c r="B30" s="220">
        <f>B25*B27*(B9/100)</f>
        <v>15760000</v>
      </c>
      <c r="C30" s="101" t="s">
        <v>286</v>
      </c>
      <c r="D30" s="92" t="s">
        <v>1280</v>
      </c>
      <c r="E30" s="101"/>
      <c r="G30" s="124" t="s">
        <v>390</v>
      </c>
      <c r="H30" s="124" t="s">
        <v>383</v>
      </c>
      <c r="I30" s="124" t="s">
        <v>513</v>
      </c>
      <c r="J30" s="124" t="s">
        <v>1226</v>
      </c>
      <c r="K30" s="124" t="s">
        <v>659</v>
      </c>
      <c r="L30" s="124" t="s">
        <v>391</v>
      </c>
      <c r="M30" s="124" t="s">
        <v>583</v>
      </c>
      <c r="N30" s="124" t="s">
        <v>584</v>
      </c>
      <c r="O30" s="124" t="s">
        <v>392</v>
      </c>
    </row>
    <row r="31" spans="1:21" ht="30" customHeight="1" x14ac:dyDescent="0.25">
      <c r="A31" s="92" t="s">
        <v>311</v>
      </c>
      <c r="B31" s="219">
        <f>B19*B21</f>
        <v>25300</v>
      </c>
      <c r="C31" s="92" t="s">
        <v>594</v>
      </c>
      <c r="D31" s="123"/>
      <c r="E31" s="92"/>
      <c r="G31" s="124" t="s">
        <v>399</v>
      </c>
      <c r="H31" s="299">
        <v>3940000</v>
      </c>
      <c r="I31" s="359">
        <v>5470000</v>
      </c>
      <c r="J31" s="361">
        <f>$I$31+14500*247</f>
        <v>9051500</v>
      </c>
      <c r="K31" s="361">
        <f>$I$31+247*2+5636*3280+27*38800</f>
        <v>25004174</v>
      </c>
      <c r="L31" s="124" t="s">
        <v>568</v>
      </c>
      <c r="M31" s="124" t="s">
        <v>569</v>
      </c>
      <c r="N31" s="124" t="s">
        <v>1278</v>
      </c>
      <c r="O31" s="124" t="s">
        <v>1227</v>
      </c>
    </row>
    <row r="32" spans="1:21" ht="33.75" customHeight="1" x14ac:dyDescent="0.25">
      <c r="A32" s="101" t="s">
        <v>310</v>
      </c>
      <c r="B32" s="128">
        <f>(B21*B23)+(B25*B28)</f>
        <v>5485.8</v>
      </c>
      <c r="C32" s="101" t="s">
        <v>594</v>
      </c>
      <c r="D32" s="268"/>
      <c r="E32" s="101"/>
      <c r="G32" s="124" t="s">
        <v>612</v>
      </c>
      <c r="H32" s="300">
        <v>123.7</v>
      </c>
      <c r="I32" s="301">
        <v>138</v>
      </c>
      <c r="J32" s="360">
        <v>138</v>
      </c>
      <c r="K32" s="360">
        <v>138</v>
      </c>
      <c r="L32" s="124" t="s">
        <v>613</v>
      </c>
      <c r="M32" s="124" t="s">
        <v>614</v>
      </c>
      <c r="N32" s="124" t="s">
        <v>401</v>
      </c>
      <c r="O32" s="124" t="s">
        <v>401</v>
      </c>
    </row>
    <row r="33" spans="1:18" ht="31.5" customHeight="1" x14ac:dyDescent="0.25">
      <c r="A33" s="101" t="s">
        <v>579</v>
      </c>
      <c r="B33" s="328">
        <f>(B20*B21+B26*B25)/1000</f>
        <v>3.7630000000000003</v>
      </c>
      <c r="C33" s="101" t="s">
        <v>157</v>
      </c>
      <c r="D33" s="268"/>
      <c r="E33" s="101"/>
      <c r="G33" s="124" t="s">
        <v>393</v>
      </c>
      <c r="H33" s="300">
        <v>0</v>
      </c>
      <c r="I33" s="299">
        <v>2350000</v>
      </c>
      <c r="J33" s="300">
        <v>0</v>
      </c>
      <c r="K33" s="300">
        <v>0</v>
      </c>
      <c r="L33" s="124" t="s">
        <v>394</v>
      </c>
      <c r="M33" s="93" t="s">
        <v>570</v>
      </c>
      <c r="N33" s="124" t="s">
        <v>585</v>
      </c>
      <c r="O33" s="124" t="s">
        <v>396</v>
      </c>
    </row>
    <row r="34" spans="1:18" ht="35.25" customHeight="1" x14ac:dyDescent="0.25">
      <c r="A34" s="101" t="s">
        <v>299</v>
      </c>
      <c r="B34" s="128">
        <f>SUM(B31:B32)</f>
        <v>30785.8</v>
      </c>
      <c r="C34" s="101" t="s">
        <v>594</v>
      </c>
      <c r="D34" s="268"/>
      <c r="E34" s="101"/>
      <c r="G34" s="124" t="s">
        <v>400</v>
      </c>
      <c r="H34" s="300">
        <v>7.08</v>
      </c>
      <c r="I34" s="351">
        <v>4.04</v>
      </c>
      <c r="J34" s="351">
        <v>4.04</v>
      </c>
      <c r="K34" s="362">
        <v>4.04</v>
      </c>
      <c r="L34" s="93" t="s">
        <v>567</v>
      </c>
      <c r="M34" s="93" t="s">
        <v>571</v>
      </c>
      <c r="N34" s="124" t="s">
        <v>586</v>
      </c>
      <c r="O34" s="124" t="s">
        <v>586</v>
      </c>
    </row>
    <row r="35" spans="1:18" ht="33" customHeight="1" x14ac:dyDescent="0.25">
      <c r="A35" s="101" t="s">
        <v>389</v>
      </c>
      <c r="B35" s="227">
        <f>HLOOKUP(B24,G30:K37,4,FALSE)*(B9/100)</f>
        <v>0</v>
      </c>
      <c r="C35" s="101" t="s">
        <v>295</v>
      </c>
      <c r="D35" s="612" t="s">
        <v>1282</v>
      </c>
      <c r="E35" s="124" t="s">
        <v>406</v>
      </c>
      <c r="G35" s="124" t="s">
        <v>615</v>
      </c>
      <c r="H35" s="297">
        <v>0.11700000000000001</v>
      </c>
      <c r="I35" s="297">
        <v>5.1999999999999998E-2</v>
      </c>
      <c r="J35" s="297">
        <v>5.1999999999999998E-2</v>
      </c>
      <c r="K35" s="356">
        <f>$I$35/0.55</f>
        <v>9.454545454545453E-2</v>
      </c>
      <c r="L35" s="93" t="s">
        <v>616</v>
      </c>
      <c r="M35" s="93" t="s">
        <v>617</v>
      </c>
      <c r="N35" s="124" t="s">
        <v>586</v>
      </c>
      <c r="O35" s="93" t="s">
        <v>618</v>
      </c>
    </row>
    <row r="36" spans="1:18" ht="32.25" customHeight="1" x14ac:dyDescent="0.25">
      <c r="A36" s="198" t="s">
        <v>287</v>
      </c>
      <c r="B36" s="199"/>
      <c r="C36" s="199"/>
      <c r="D36" s="272"/>
      <c r="E36" s="192"/>
      <c r="G36" s="218" t="s">
        <v>407</v>
      </c>
      <c r="H36" s="363">
        <v>0.13800000000000001</v>
      </c>
      <c r="I36" s="363">
        <v>8.3000000000000004E-2</v>
      </c>
      <c r="J36" s="325">
        <f>$I$36</f>
        <v>8.3000000000000004E-2</v>
      </c>
      <c r="K36" s="363">
        <v>0.186</v>
      </c>
      <c r="L36" s="93" t="s">
        <v>410</v>
      </c>
      <c r="M36" s="93" t="s">
        <v>519</v>
      </c>
      <c r="N36" s="93"/>
      <c r="O36" s="93" t="s">
        <v>619</v>
      </c>
    </row>
    <row r="37" spans="1:18" ht="31.5" customHeight="1" x14ac:dyDescent="0.25">
      <c r="A37" s="228" t="s">
        <v>328</v>
      </c>
      <c r="B37" s="111">
        <v>2.8</v>
      </c>
      <c r="C37" s="92" t="s">
        <v>295</v>
      </c>
      <c r="D37" s="123" t="s">
        <v>324</v>
      </c>
      <c r="E37" s="99" t="s">
        <v>326</v>
      </c>
      <c r="G37" s="124" t="s">
        <v>408</v>
      </c>
      <c r="H37" s="297">
        <v>0.253</v>
      </c>
      <c r="I37" s="363">
        <v>0.63</v>
      </c>
      <c r="J37" s="325">
        <f>$I$37</f>
        <v>0.63</v>
      </c>
      <c r="K37" s="370">
        <v>0</v>
      </c>
      <c r="L37" s="93" t="s">
        <v>412</v>
      </c>
      <c r="M37" s="93" t="s">
        <v>420</v>
      </c>
      <c r="N37" s="93"/>
      <c r="O37" s="124" t="s">
        <v>411</v>
      </c>
    </row>
    <row r="38" spans="1:18" ht="33.75" customHeight="1" x14ac:dyDescent="0.25">
      <c r="A38" s="228" t="s">
        <v>329</v>
      </c>
      <c r="B38" s="111">
        <v>5.4000000000000003E-3</v>
      </c>
      <c r="C38" s="92" t="s">
        <v>297</v>
      </c>
      <c r="D38" s="123" t="s">
        <v>325</v>
      </c>
      <c r="E38" s="99" t="s">
        <v>621</v>
      </c>
      <c r="N38" s="365"/>
      <c r="O38" s="366"/>
      <c r="P38" s="366"/>
      <c r="Q38" s="366"/>
      <c r="R38" s="367"/>
    </row>
    <row r="39" spans="1:18" ht="33.75" customHeight="1" x14ac:dyDescent="0.25">
      <c r="A39" s="92" t="s">
        <v>292</v>
      </c>
      <c r="B39" s="281">
        <f>HLOOKUP(B24,G30:K37,5,FALSE)</f>
        <v>7.08</v>
      </c>
      <c r="C39" s="92" t="s">
        <v>332</v>
      </c>
      <c r="D39" s="123"/>
      <c r="E39" s="124" t="s">
        <v>406</v>
      </c>
    </row>
    <row r="40" spans="1:18" ht="31.5" customHeight="1" x14ac:dyDescent="0.25">
      <c r="A40" s="101" t="s">
        <v>293</v>
      </c>
      <c r="B40" s="221">
        <v>0.06</v>
      </c>
      <c r="C40" s="101" t="s">
        <v>333</v>
      </c>
      <c r="D40" s="268"/>
      <c r="E40" s="99" t="s">
        <v>561</v>
      </c>
    </row>
    <row r="41" spans="1:18" ht="30.75" customHeight="1" x14ac:dyDescent="0.25">
      <c r="A41" s="92" t="s">
        <v>294</v>
      </c>
      <c r="B41" s="350">
        <v>2E-3</v>
      </c>
      <c r="C41" s="92" t="s">
        <v>297</v>
      </c>
      <c r="D41" s="123"/>
      <c r="E41" s="124" t="s">
        <v>622</v>
      </c>
    </row>
    <row r="42" spans="1:18" ht="29.25" customHeight="1" x14ac:dyDescent="0.25">
      <c r="A42" s="92" t="s">
        <v>296</v>
      </c>
      <c r="B42" s="87">
        <v>1E-3</v>
      </c>
      <c r="C42" s="92" t="s">
        <v>298</v>
      </c>
      <c r="D42" s="279" t="s">
        <v>623</v>
      </c>
      <c r="E42" s="93" t="s">
        <v>1206</v>
      </c>
    </row>
    <row r="43" spans="1:18" ht="30" customHeight="1" x14ac:dyDescent="0.25">
      <c r="A43" s="92" t="s">
        <v>413</v>
      </c>
      <c r="B43" s="364">
        <f>HLOOKUP(B24,G30:K37,6,FALSE)</f>
        <v>0.11700000000000001</v>
      </c>
      <c r="C43" s="92" t="s">
        <v>414</v>
      </c>
      <c r="D43" s="279" t="s">
        <v>624</v>
      </c>
      <c r="E43" s="124" t="s">
        <v>406</v>
      </c>
      <c r="G43" s="47"/>
    </row>
    <row r="44" spans="1:18" ht="20.25" customHeight="1" x14ac:dyDescent="0.25">
      <c r="A44" s="121" t="s">
        <v>470</v>
      </c>
      <c r="B44" s="281">
        <f>HLOOKUP(B24,G30:K37,7,FALSE)</f>
        <v>0.13800000000000001</v>
      </c>
      <c r="C44" s="121" t="s">
        <v>262</v>
      </c>
      <c r="D44" s="123" t="s">
        <v>242</v>
      </c>
      <c r="E44" s="124" t="s">
        <v>406</v>
      </c>
    </row>
    <row r="45" spans="1:18" ht="18" customHeight="1" x14ac:dyDescent="0.25">
      <c r="A45" s="198" t="s">
        <v>1032</v>
      </c>
      <c r="B45" s="199"/>
      <c r="C45" s="199"/>
      <c r="D45" s="272"/>
      <c r="E45" s="192"/>
    </row>
    <row r="46" spans="1:18" ht="30.75" customHeight="1" x14ac:dyDescent="0.25">
      <c r="A46" s="101" t="s">
        <v>1026</v>
      </c>
      <c r="B46" s="221">
        <v>2</v>
      </c>
      <c r="C46" s="101" t="s">
        <v>1030</v>
      </c>
      <c r="D46" s="268" t="s">
        <v>301</v>
      </c>
      <c r="E46" s="108" t="s">
        <v>556</v>
      </c>
    </row>
    <row r="47" spans="1:18" ht="27.75" customHeight="1" x14ac:dyDescent="0.25">
      <c r="A47" s="101" t="s">
        <v>1027</v>
      </c>
      <c r="B47" s="221">
        <v>4.8</v>
      </c>
      <c r="C47" s="101" t="s">
        <v>1031</v>
      </c>
      <c r="D47" s="268" t="s">
        <v>1028</v>
      </c>
      <c r="E47" s="108" t="s">
        <v>1029</v>
      </c>
    </row>
    <row r="48" spans="1:18" ht="32.25" customHeight="1" x14ac:dyDescent="0.25">
      <c r="A48" s="112" t="s">
        <v>1020</v>
      </c>
      <c r="B48" s="523">
        <v>1920</v>
      </c>
      <c r="C48" s="112" t="s">
        <v>1021</v>
      </c>
      <c r="D48" s="112"/>
      <c r="E48" s="218" t="s">
        <v>1022</v>
      </c>
    </row>
    <row r="49" spans="1:5" ht="32.25" thickBot="1" x14ac:dyDescent="0.3">
      <c r="A49" s="112" t="s">
        <v>1024</v>
      </c>
      <c r="B49" s="616">
        <v>36</v>
      </c>
      <c r="C49" s="112" t="s">
        <v>1023</v>
      </c>
      <c r="D49" s="112"/>
      <c r="E49" s="93" t="s">
        <v>1025</v>
      </c>
    </row>
    <row r="50" spans="1:5" ht="31.5" customHeight="1" x14ac:dyDescent="0.25">
      <c r="A50" s="185" t="s">
        <v>87</v>
      </c>
      <c r="B50" s="186"/>
      <c r="C50" s="186"/>
      <c r="D50" s="273"/>
      <c r="E50" s="187"/>
    </row>
    <row r="51" spans="1:5" ht="31.5" customHeight="1" x14ac:dyDescent="0.25">
      <c r="A51" s="144" t="s">
        <v>88</v>
      </c>
      <c r="B51" s="226">
        <v>0</v>
      </c>
      <c r="C51" s="62" t="s">
        <v>165</v>
      </c>
      <c r="D51" s="274"/>
      <c r="E51" s="149"/>
    </row>
    <row r="52" spans="1:5" ht="31.5" customHeight="1" x14ac:dyDescent="0.25">
      <c r="A52" s="193" t="s">
        <v>89</v>
      </c>
      <c r="B52" s="230">
        <v>0</v>
      </c>
      <c r="C52" s="179" t="s">
        <v>261</v>
      </c>
      <c r="D52" s="275"/>
      <c r="E52" s="195"/>
    </row>
    <row r="53" spans="1:5" ht="33" customHeight="1" x14ac:dyDescent="0.25">
      <c r="A53" s="118" t="s">
        <v>265</v>
      </c>
      <c r="B53" s="119"/>
      <c r="C53" s="119"/>
      <c r="D53" s="276"/>
      <c r="E53" s="120"/>
    </row>
    <row r="54" spans="1:5" ht="33" customHeight="1" x14ac:dyDescent="0.25">
      <c r="A54" s="92" t="s">
        <v>307</v>
      </c>
      <c r="B54" s="98">
        <f>((B13/B16)*2)+B14+B15</f>
        <v>13.142857142857142</v>
      </c>
      <c r="C54" s="92" t="s">
        <v>356</v>
      </c>
      <c r="D54" s="123" t="s">
        <v>308</v>
      </c>
      <c r="E54" s="124"/>
    </row>
    <row r="55" spans="1:5" ht="30" customHeight="1" x14ac:dyDescent="0.25">
      <c r="A55" s="92" t="s">
        <v>309</v>
      </c>
      <c r="B55" s="98">
        <f>B17/(B54/24)</f>
        <v>639.13043478260875</v>
      </c>
      <c r="C55" s="92" t="s">
        <v>266</v>
      </c>
      <c r="D55" s="123"/>
      <c r="E55" s="124"/>
    </row>
    <row r="56" spans="1:5" ht="29.25" customHeight="1" x14ac:dyDescent="0.25">
      <c r="A56" s="699" t="s">
        <v>95</v>
      </c>
      <c r="B56" s="229">
        <f>(B43*B34*B13)+(B43*B32*B13)</f>
        <v>1060944.3</v>
      </c>
      <c r="C56" s="92" t="s">
        <v>416</v>
      </c>
      <c r="D56" s="123" t="s">
        <v>312</v>
      </c>
      <c r="E56" s="124"/>
    </row>
    <row r="57" spans="1:5" ht="27.75" customHeight="1" x14ac:dyDescent="0.25">
      <c r="A57" s="699"/>
      <c r="B57" s="229">
        <f>B56*B55</f>
        <v>678081791.7391305</v>
      </c>
      <c r="C57" s="92" t="s">
        <v>417</v>
      </c>
      <c r="D57" s="123"/>
      <c r="E57" s="124"/>
    </row>
    <row r="58" spans="1:5" x14ac:dyDescent="0.25">
      <c r="A58" s="118" t="s">
        <v>366</v>
      </c>
      <c r="B58" s="119"/>
      <c r="C58" s="119"/>
      <c r="D58" s="276"/>
      <c r="E58" s="120"/>
    </row>
    <row r="59" spans="1:5" ht="20.25" customHeight="1" x14ac:dyDescent="0.25">
      <c r="A59" s="103" t="s">
        <v>645</v>
      </c>
      <c r="B59" s="103"/>
      <c r="C59" s="103"/>
      <c r="D59" s="277"/>
      <c r="E59" s="117"/>
    </row>
    <row r="60" spans="1:5" ht="30.75" customHeight="1" x14ac:dyDescent="0.25">
      <c r="A60" s="121" t="s">
        <v>646</v>
      </c>
      <c r="B60" s="27">
        <v>0</v>
      </c>
      <c r="C60" s="121" t="s">
        <v>647</v>
      </c>
      <c r="D60" s="121" t="s">
        <v>651</v>
      </c>
      <c r="E60" s="126" t="s">
        <v>648</v>
      </c>
    </row>
    <row r="61" spans="1:5" ht="18" customHeight="1" x14ac:dyDescent="0.25">
      <c r="A61" s="103" t="s">
        <v>378</v>
      </c>
      <c r="B61" s="103"/>
      <c r="C61" s="103"/>
      <c r="D61" s="277"/>
      <c r="E61" s="117"/>
    </row>
    <row r="62" spans="1:5" ht="31.5" customHeight="1" x14ac:dyDescent="0.25">
      <c r="A62" s="92" t="s">
        <v>418</v>
      </c>
      <c r="B62" s="282">
        <f>HLOOKUP(B24,G30:K37,8,FALSE)</f>
        <v>0.253</v>
      </c>
      <c r="C62" s="112" t="s">
        <v>415</v>
      </c>
      <c r="D62" s="123"/>
      <c r="E62" s="124" t="s">
        <v>406</v>
      </c>
    </row>
    <row r="63" spans="1:5" ht="19.5" customHeight="1" x14ac:dyDescent="0.25">
      <c r="A63" s="103" t="s">
        <v>382</v>
      </c>
      <c r="B63" s="103"/>
      <c r="C63" s="103"/>
      <c r="D63" s="277"/>
      <c r="E63" s="117"/>
    </row>
    <row r="64" spans="1:5" ht="30.75" customHeight="1" x14ac:dyDescent="0.25">
      <c r="A64" s="696" t="s">
        <v>419</v>
      </c>
      <c r="B64" s="125">
        <f>B62*B57</f>
        <v>171554693.31000003</v>
      </c>
      <c r="C64" s="112" t="s">
        <v>385</v>
      </c>
      <c r="D64" s="123"/>
      <c r="E64" s="124"/>
    </row>
    <row r="65" spans="1:5" ht="30" customHeight="1" x14ac:dyDescent="0.25">
      <c r="A65" s="697"/>
      <c r="B65" s="281">
        <f>B64/B84</f>
        <v>10.609443000000001</v>
      </c>
      <c r="C65" s="112" t="s">
        <v>604</v>
      </c>
      <c r="D65" s="123"/>
      <c r="E65" s="124"/>
    </row>
    <row r="66" spans="1:5" ht="21" customHeight="1" x14ac:dyDescent="0.25">
      <c r="A66" s="118" t="s">
        <v>251</v>
      </c>
      <c r="B66" s="119"/>
      <c r="C66" s="119"/>
      <c r="D66" s="276"/>
      <c r="E66" s="120"/>
    </row>
    <row r="67" spans="1:5" ht="18" customHeight="1" x14ac:dyDescent="0.25">
      <c r="A67" s="103" t="s">
        <v>94</v>
      </c>
      <c r="B67" s="103"/>
      <c r="C67" s="103"/>
      <c r="D67" s="277"/>
      <c r="E67" s="117"/>
    </row>
    <row r="68" spans="1:5" ht="30.75" customHeight="1" x14ac:dyDescent="0.25">
      <c r="A68" s="92" t="s">
        <v>315</v>
      </c>
      <c r="B68" s="94">
        <f>B29*(B8/100)</f>
        <v>3256555.9381423215</v>
      </c>
      <c r="C68" s="92" t="s">
        <v>261</v>
      </c>
      <c r="D68" s="123"/>
      <c r="E68" s="92"/>
    </row>
    <row r="69" spans="1:5" ht="30.75" customHeight="1" x14ac:dyDescent="0.25">
      <c r="A69" s="92" t="s">
        <v>316</v>
      </c>
      <c r="B69" s="109">
        <f>B30*(B8/100)</f>
        <v>1487632.5097137098</v>
      </c>
      <c r="C69" s="92" t="s">
        <v>261</v>
      </c>
      <c r="D69" s="123"/>
      <c r="E69" s="92"/>
    </row>
    <row r="70" spans="1:5" ht="33" customHeight="1" x14ac:dyDescent="0.25">
      <c r="A70" s="92" t="s">
        <v>438</v>
      </c>
      <c r="B70" s="109">
        <f>(B35*B13)*(B8/100)</f>
        <v>0</v>
      </c>
      <c r="C70" s="92" t="s">
        <v>261</v>
      </c>
      <c r="D70" s="123"/>
      <c r="E70" s="92"/>
    </row>
    <row r="71" spans="1:5" ht="30.75" customHeight="1" x14ac:dyDescent="0.25">
      <c r="A71" s="92" t="s">
        <v>260</v>
      </c>
      <c r="B71" s="109">
        <f>B51*(B8/100)</f>
        <v>0</v>
      </c>
      <c r="C71" s="92" t="s">
        <v>261</v>
      </c>
      <c r="D71" s="123"/>
      <c r="E71" s="92"/>
    </row>
    <row r="72" spans="1:5" ht="18" customHeight="1" x14ac:dyDescent="0.25">
      <c r="A72" s="316" t="s">
        <v>317</v>
      </c>
      <c r="B72" s="317"/>
      <c r="C72" s="318"/>
      <c r="D72" s="319"/>
      <c r="E72" s="320"/>
    </row>
    <row r="73" spans="1:5" ht="31.5" customHeight="1" x14ac:dyDescent="0.25">
      <c r="A73" s="92" t="s">
        <v>327</v>
      </c>
      <c r="B73" s="109">
        <f>B33*B37*B55*2</f>
        <v>13468.267826086958</v>
      </c>
      <c r="C73" s="92" t="s">
        <v>261</v>
      </c>
      <c r="D73" s="123" t="s">
        <v>323</v>
      </c>
      <c r="E73" s="92"/>
    </row>
    <row r="74" spans="1:5" ht="33" customHeight="1" x14ac:dyDescent="0.25">
      <c r="A74" s="92" t="s">
        <v>329</v>
      </c>
      <c r="B74" s="109">
        <f>((B38*B34*B13)+(B38*B32*B13))*B55</f>
        <v>31296082.695652179</v>
      </c>
      <c r="C74" s="92" t="s">
        <v>261</v>
      </c>
      <c r="D74" s="123" t="s">
        <v>323</v>
      </c>
      <c r="E74" s="92"/>
    </row>
    <row r="75" spans="1:5" ht="33" customHeight="1" x14ac:dyDescent="0.25">
      <c r="A75" s="92" t="s">
        <v>318</v>
      </c>
      <c r="B75" s="191">
        <f>(B39*B13*2)*B55*B25</f>
        <v>9050086.9565217402</v>
      </c>
      <c r="C75" s="92" t="s">
        <v>261</v>
      </c>
      <c r="D75" s="123" t="s">
        <v>330</v>
      </c>
      <c r="E75" s="93" t="s">
        <v>334</v>
      </c>
    </row>
    <row r="76" spans="1:5" ht="31.5" customHeight="1" x14ac:dyDescent="0.25">
      <c r="A76" s="92" t="s">
        <v>319</v>
      </c>
      <c r="B76" s="191">
        <f>(B40*B13*2)*B55*B21</f>
        <v>4410000.0000000009</v>
      </c>
      <c r="C76" s="92" t="s">
        <v>261</v>
      </c>
      <c r="D76" s="123" t="s">
        <v>330</v>
      </c>
      <c r="E76" s="52"/>
    </row>
    <row r="77" spans="1:5" ht="30.75" customHeight="1" x14ac:dyDescent="0.25">
      <c r="A77" s="92" t="s">
        <v>320</v>
      </c>
      <c r="B77" s="191">
        <f>((B41*B34*B13)+(B41*B32*B13))*B55</f>
        <v>11591141.739130436</v>
      </c>
      <c r="C77" s="92" t="s">
        <v>261</v>
      </c>
      <c r="D77" s="123" t="s">
        <v>330</v>
      </c>
      <c r="E77" s="52"/>
    </row>
    <row r="78" spans="1:5" ht="31.5" customHeight="1" x14ac:dyDescent="0.25">
      <c r="A78" s="92" t="s">
        <v>321</v>
      </c>
      <c r="B78" s="109">
        <f>(B42*B31*B13)*B55</f>
        <v>4042500.0000000005</v>
      </c>
      <c r="C78" s="92" t="s">
        <v>261</v>
      </c>
      <c r="D78" s="123" t="s">
        <v>331</v>
      </c>
      <c r="E78" s="92"/>
    </row>
    <row r="79" spans="1:5" ht="30.75" customHeight="1" x14ac:dyDescent="0.25">
      <c r="A79" s="92" t="s">
        <v>137</v>
      </c>
      <c r="B79" s="109">
        <f>B57*B44</f>
        <v>93575287.26000002</v>
      </c>
      <c r="C79" s="92" t="s">
        <v>261</v>
      </c>
      <c r="D79" s="123"/>
      <c r="E79" s="92"/>
    </row>
    <row r="80" spans="1:5" ht="31.5" customHeight="1" x14ac:dyDescent="0.25">
      <c r="A80" s="92" t="s">
        <v>322</v>
      </c>
      <c r="B80" s="207">
        <f>B46*B47*B48*B49</f>
        <v>663552</v>
      </c>
      <c r="C80" s="92" t="s">
        <v>261</v>
      </c>
      <c r="D80" s="123"/>
      <c r="E80" s="92"/>
    </row>
    <row r="81" spans="1:5" ht="31.5" customHeight="1" x14ac:dyDescent="0.25">
      <c r="A81" s="92" t="s">
        <v>89</v>
      </c>
      <c r="B81" s="184">
        <f>B52</f>
        <v>0</v>
      </c>
      <c r="C81" s="92" t="s">
        <v>261</v>
      </c>
      <c r="D81" s="123"/>
      <c r="E81" s="92"/>
    </row>
    <row r="82" spans="1:5" ht="31.5" customHeight="1" x14ac:dyDescent="0.25">
      <c r="A82" s="92" t="s">
        <v>649</v>
      </c>
      <c r="B82" s="109">
        <f>B60*B64/1000</f>
        <v>0</v>
      </c>
      <c r="C82" s="92" t="s">
        <v>261</v>
      </c>
      <c r="D82" s="92" t="s">
        <v>650</v>
      </c>
      <c r="E82" s="92"/>
    </row>
    <row r="83" spans="1:5" ht="17.25" customHeight="1" x14ac:dyDescent="0.25">
      <c r="A83" s="316" t="s">
        <v>97</v>
      </c>
      <c r="B83" s="320"/>
      <c r="C83" s="318"/>
      <c r="D83" s="319"/>
      <c r="E83" s="320"/>
    </row>
    <row r="84" spans="1:5" ht="32.25" customHeight="1" x14ac:dyDescent="0.25">
      <c r="A84" s="62" t="s">
        <v>97</v>
      </c>
      <c r="B84" s="207">
        <f>B31*B55</f>
        <v>16170000.000000002</v>
      </c>
      <c r="C84" s="62" t="s">
        <v>605</v>
      </c>
      <c r="D84" s="278"/>
      <c r="E84" s="65"/>
    </row>
    <row r="85" spans="1:5" ht="18.75" customHeight="1" x14ac:dyDescent="0.25">
      <c r="A85" s="316" t="s">
        <v>495</v>
      </c>
      <c r="B85" s="320"/>
      <c r="C85" s="318"/>
      <c r="D85" s="319"/>
      <c r="E85" s="320"/>
    </row>
    <row r="86" spans="1:5" ht="31.5" customHeight="1" x14ac:dyDescent="0.25">
      <c r="A86" s="62" t="s">
        <v>510</v>
      </c>
      <c r="B86" s="321">
        <f>IF(B24="Diesel",B57/10.72,"not powered by diesel")</f>
        <v>63253898.48312784</v>
      </c>
      <c r="C86" s="62" t="s">
        <v>502</v>
      </c>
      <c r="D86" s="278"/>
      <c r="E86" s="93" t="s">
        <v>504</v>
      </c>
    </row>
    <row r="87" spans="1:5" ht="33" customHeight="1" x14ac:dyDescent="0.25">
      <c r="A87" s="62" t="s">
        <v>511</v>
      </c>
      <c r="B87" s="321" t="str">
        <f>IF(B24="Electric",B57*(1/365)*(1/24),"not powered by electricity")</f>
        <v>not powered by electricity</v>
      </c>
      <c r="C87" s="62" t="s">
        <v>491</v>
      </c>
      <c r="D87" s="278"/>
      <c r="E87" s="65"/>
    </row>
    <row r="88" spans="1:5" ht="33" customHeight="1" x14ac:dyDescent="0.25">
      <c r="A88" s="62" t="s">
        <v>512</v>
      </c>
      <c r="B88" s="332" t="str">
        <f>IF(B24="Hydrogen Fuel Cell",B57/33.3,"not powered by hydrogen")</f>
        <v>not powered by hydrogen</v>
      </c>
      <c r="C88" s="92" t="s">
        <v>507</v>
      </c>
      <c r="D88" s="278"/>
      <c r="E88" s="218" t="s">
        <v>506</v>
      </c>
    </row>
    <row r="89" spans="1:5" ht="32.25" customHeight="1" x14ac:dyDescent="0.25">
      <c r="A89" s="62" t="s">
        <v>606</v>
      </c>
      <c r="B89" s="130">
        <f>B57/B84</f>
        <v>41.934557312252963</v>
      </c>
      <c r="C89" s="97" t="s">
        <v>607</v>
      </c>
      <c r="D89" s="278"/>
      <c r="E89" s="218"/>
    </row>
    <row r="90" spans="1:5" ht="21" customHeight="1" x14ac:dyDescent="0.25">
      <c r="A90" s="103" t="s">
        <v>1165</v>
      </c>
      <c r="B90" s="103"/>
      <c r="C90" s="103"/>
      <c r="D90" s="277"/>
      <c r="E90" s="117"/>
    </row>
    <row r="91" spans="1:5" ht="31.5" customHeight="1" x14ac:dyDescent="0.25">
      <c r="A91" s="92" t="s">
        <v>531</v>
      </c>
      <c r="B91" s="72">
        <f>(B68+B69+B70+B71)/B84</f>
        <v>0.29339446183401552</v>
      </c>
      <c r="C91" s="62" t="s">
        <v>625</v>
      </c>
      <c r="D91" s="52"/>
      <c r="E91" s="52"/>
    </row>
    <row r="92" spans="1:5" ht="31.5" x14ac:dyDescent="0.25">
      <c r="A92" s="123" t="s">
        <v>540</v>
      </c>
      <c r="B92" s="72">
        <f>(B73+B74+B75+B76+B77+B78+B80+B81)/B84</f>
        <v>3.7765511230136326</v>
      </c>
      <c r="C92" s="62" t="s">
        <v>625</v>
      </c>
      <c r="D92" s="52"/>
      <c r="E92" s="52"/>
    </row>
    <row r="93" spans="1:5" ht="35.25" customHeight="1" x14ac:dyDescent="0.25">
      <c r="A93" s="123" t="s">
        <v>535</v>
      </c>
      <c r="B93" s="72">
        <f>B79/B84</f>
        <v>5.78696890909091</v>
      </c>
      <c r="C93" s="62" t="s">
        <v>625</v>
      </c>
      <c r="D93" s="123" t="s">
        <v>534</v>
      </c>
      <c r="E93" s="52"/>
    </row>
    <row r="94" spans="1:5" ht="33" customHeight="1" x14ac:dyDescent="0.25">
      <c r="A94" s="123" t="s">
        <v>652</v>
      </c>
      <c r="B94" s="72">
        <f>B82/B84</f>
        <v>0</v>
      </c>
      <c r="C94" s="62" t="s">
        <v>625</v>
      </c>
      <c r="D94" s="123"/>
      <c r="E94" s="52"/>
    </row>
    <row r="95" spans="1:5" ht="30.75" customHeight="1" x14ac:dyDescent="0.25">
      <c r="A95" s="92" t="s">
        <v>536</v>
      </c>
      <c r="B95" s="327">
        <f>(SUM(B68:B71)+SUM(B73:B82))/B84</f>
        <v>9.8569144939385591</v>
      </c>
      <c r="C95" s="62" t="s">
        <v>625</v>
      </c>
      <c r="D95" s="278"/>
      <c r="E95" s="65"/>
    </row>
    <row r="96" spans="1:5" ht="34.5" customHeight="1" x14ac:dyDescent="0.25">
      <c r="A96" s="92" t="s">
        <v>537</v>
      </c>
      <c r="B96" s="328">
        <f>B95/B5</f>
        <v>14.081306419912229</v>
      </c>
      <c r="C96" s="208" t="s">
        <v>626</v>
      </c>
      <c r="D96" s="278"/>
      <c r="E96" s="65"/>
    </row>
  </sheetData>
  <mergeCells count="4">
    <mergeCell ref="A56:A57"/>
    <mergeCell ref="A64:A65"/>
    <mergeCell ref="G29:K29"/>
    <mergeCell ref="L29:O29"/>
  </mergeCells>
  <dataValidations count="1">
    <dataValidation type="list" allowBlank="1" showInputMessage="1" showErrorMessage="1" sqref="B24" xr:uid="{545E0537-DE01-40D4-95F4-4E5EEAC219D3}">
      <formula1>$H$30:$K$30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0B586-CA2D-F74E-BB77-D7C376C4C3D4}">
  <sheetPr codeName="Sheet2">
    <tabColor rgb="FFFFC000"/>
  </sheetPr>
  <dimension ref="A1:S118"/>
  <sheetViews>
    <sheetView topLeftCell="A102" zoomScale="70" zoomScaleNormal="70" workbookViewId="0">
      <selection activeCell="D122" sqref="D122"/>
    </sheetView>
  </sheetViews>
  <sheetFormatPr defaultColWidth="11" defaultRowHeight="15.75" x14ac:dyDescent="0.25"/>
  <cols>
    <col min="1" max="1" width="48.7109375" style="97" customWidth="1"/>
    <col min="2" max="2" width="34.85546875" style="153" customWidth="1"/>
    <col min="3" max="3" width="28.42578125" style="153" customWidth="1"/>
    <col min="4" max="4" width="125.5703125" style="153" customWidth="1"/>
    <col min="5" max="5" width="59.28515625" style="153" customWidth="1"/>
    <col min="6" max="6" width="12.7109375" style="97" bestFit="1" customWidth="1"/>
    <col min="7" max="7" width="40.7109375" style="97" customWidth="1"/>
    <col min="8" max="8" width="23" style="97" customWidth="1"/>
    <col min="9" max="9" width="23.5703125" style="97" customWidth="1"/>
    <col min="10" max="10" width="21.140625" style="97" customWidth="1"/>
    <col min="11" max="11" width="21.5703125" style="97" customWidth="1"/>
    <col min="12" max="12" width="18.7109375" style="97" customWidth="1"/>
    <col min="13" max="13" width="22.28515625" style="97" customWidth="1"/>
    <col min="14" max="14" width="25" style="97" customWidth="1"/>
    <col min="15" max="15" width="20.28515625" style="97" customWidth="1"/>
    <col min="16" max="16" width="21" style="97" customWidth="1"/>
    <col min="17" max="17" width="19.28515625" style="97" customWidth="1"/>
    <col min="18" max="18" width="17.85546875" style="97" customWidth="1"/>
    <col min="19" max="19" width="22.140625" style="97" customWidth="1"/>
    <col min="20" max="16384" width="11" style="97"/>
  </cols>
  <sheetData>
    <row r="1" spans="1:19" s="190" customFormat="1" ht="22.15" customHeight="1" thickTop="1" thickBot="1" x14ac:dyDescent="0.3">
      <c r="A1" s="188" t="s">
        <v>39</v>
      </c>
      <c r="B1" s="189"/>
      <c r="C1" s="189"/>
      <c r="D1" s="189"/>
      <c r="E1" s="189"/>
    </row>
    <row r="2" spans="1:19" ht="17.25" thickTop="1" thickBot="1" x14ac:dyDescent="0.3">
      <c r="A2" s="131"/>
      <c r="B2" s="131"/>
      <c r="C2" s="131"/>
      <c r="D2" s="131"/>
      <c r="E2" s="131"/>
    </row>
    <row r="3" spans="1:19" s="136" customFormat="1" x14ac:dyDescent="0.25">
      <c r="A3" s="132" t="s">
        <v>152</v>
      </c>
      <c r="B3" s="133" t="s">
        <v>41</v>
      </c>
      <c r="C3" s="133" t="s">
        <v>40</v>
      </c>
      <c r="D3" s="134" t="s">
        <v>42</v>
      </c>
      <c r="E3" s="135" t="s">
        <v>43</v>
      </c>
    </row>
    <row r="4" spans="1:19" ht="16.5" thickBot="1" x14ac:dyDescent="0.3">
      <c r="A4" s="137" t="s">
        <v>44</v>
      </c>
      <c r="B4" s="138"/>
      <c r="C4" s="138"/>
      <c r="D4" s="138"/>
      <c r="E4" s="139"/>
    </row>
    <row r="5" spans="1:19" ht="31.5" customHeight="1" thickTop="1" x14ac:dyDescent="0.25">
      <c r="A5" s="140" t="s">
        <v>644</v>
      </c>
      <c r="B5" s="141">
        <f>0.7</f>
        <v>0.7</v>
      </c>
      <c r="C5" s="142" t="s">
        <v>45</v>
      </c>
      <c r="D5" s="143"/>
      <c r="E5" s="306">
        <f>0.7</f>
        <v>0.7</v>
      </c>
      <c r="G5" s="45"/>
      <c r="H5" s="45"/>
      <c r="I5" s="45"/>
      <c r="J5" s="45"/>
      <c r="K5" s="45"/>
      <c r="L5" s="45"/>
      <c r="M5" s="45"/>
      <c r="N5" s="45"/>
      <c r="O5" s="45"/>
      <c r="P5" s="45"/>
      <c r="Q5" s="45"/>
      <c r="R5" s="45"/>
    </row>
    <row r="6" spans="1:19" ht="31.5" customHeight="1" x14ac:dyDescent="0.25">
      <c r="A6" s="144" t="s">
        <v>46</v>
      </c>
      <c r="B6" s="145">
        <v>7</v>
      </c>
      <c r="C6" s="146" t="s">
        <v>47</v>
      </c>
      <c r="D6" s="147" t="s">
        <v>48</v>
      </c>
      <c r="E6" s="309">
        <v>7</v>
      </c>
      <c r="G6" s="45"/>
      <c r="H6" s="266"/>
      <c r="I6" s="266"/>
      <c r="J6" s="266"/>
      <c r="K6" s="266"/>
      <c r="L6" s="266"/>
      <c r="M6" s="266"/>
      <c r="N6" s="266"/>
      <c r="O6" s="266"/>
      <c r="P6" s="266"/>
      <c r="Q6" s="266"/>
      <c r="R6" s="266"/>
    </row>
    <row r="7" spans="1:19" ht="33.75" customHeight="1" x14ac:dyDescent="0.25">
      <c r="A7" s="144" t="s">
        <v>49</v>
      </c>
      <c r="B7" s="148">
        <v>30</v>
      </c>
      <c r="C7" s="62" t="s">
        <v>50</v>
      </c>
      <c r="D7" s="147" t="s">
        <v>51</v>
      </c>
      <c r="E7" s="237">
        <v>30</v>
      </c>
      <c r="G7" s="45"/>
      <c r="H7" s="45"/>
      <c r="R7" s="163"/>
    </row>
    <row r="8" spans="1:19" ht="33.75" customHeight="1" x14ac:dyDescent="0.25">
      <c r="A8" s="193" t="s">
        <v>52</v>
      </c>
      <c r="B8" s="613">
        <f>(($B$6/100)*(1+$B$6/100)^$B$7)/(((1+$B$6/100)^$B$7)-1)*100</f>
        <v>8.0586403511111193</v>
      </c>
      <c r="C8" s="179" t="s">
        <v>47</v>
      </c>
      <c r="D8" s="248" t="s">
        <v>53</v>
      </c>
      <c r="E8" s="615"/>
      <c r="G8" s="45"/>
      <c r="H8" s="45"/>
      <c r="I8" s="45"/>
      <c r="J8" s="45"/>
      <c r="K8" s="45"/>
      <c r="L8" s="45"/>
      <c r="M8" s="45"/>
      <c r="N8" s="45"/>
      <c r="O8" s="45"/>
      <c r="P8" s="45"/>
      <c r="Q8" s="45"/>
      <c r="R8" s="163"/>
      <c r="S8" s="45"/>
    </row>
    <row r="9" spans="1:19" ht="31.5" customHeight="1" x14ac:dyDescent="0.25">
      <c r="A9" s="62" t="s">
        <v>1210</v>
      </c>
      <c r="B9" s="430">
        <v>100</v>
      </c>
      <c r="C9" s="62" t="s">
        <v>1211</v>
      </c>
      <c r="D9" s="274" t="s">
        <v>1279</v>
      </c>
      <c r="E9" s="591" t="s">
        <v>1281</v>
      </c>
      <c r="H9" s="594"/>
      <c r="I9" s="594"/>
      <c r="J9" s="594"/>
      <c r="K9" s="594"/>
      <c r="L9" s="594"/>
      <c r="M9" s="594"/>
      <c r="N9" s="594"/>
      <c r="O9" s="594"/>
      <c r="P9" s="594"/>
      <c r="Q9" s="594"/>
      <c r="R9" s="163"/>
    </row>
    <row r="10" spans="1:19" ht="16.5" thickBot="1" x14ac:dyDescent="0.3">
      <c r="C10" s="97"/>
      <c r="H10" s="594"/>
      <c r="I10" s="594"/>
      <c r="J10" s="594"/>
      <c r="K10" s="594"/>
      <c r="L10" s="594"/>
      <c r="M10" s="594"/>
      <c r="N10" s="594"/>
      <c r="O10" s="594"/>
      <c r="P10" s="594"/>
      <c r="Q10" s="594"/>
      <c r="R10" s="629"/>
    </row>
    <row r="11" spans="1:19" ht="16.5" thickTop="1" x14ac:dyDescent="0.25">
      <c r="A11" s="154" t="s">
        <v>70</v>
      </c>
      <c r="B11" s="155"/>
      <c r="C11" s="155"/>
      <c r="D11" s="155"/>
      <c r="E11" s="156"/>
      <c r="S11" s="45"/>
    </row>
    <row r="12" spans="1:19" ht="18" customHeight="1" x14ac:dyDescent="0.25">
      <c r="A12" s="157" t="s">
        <v>112</v>
      </c>
      <c r="B12" s="157"/>
      <c r="C12" s="157"/>
      <c r="D12" s="157"/>
      <c r="E12" s="157"/>
      <c r="F12" s="550"/>
      <c r="H12" s="550"/>
      <c r="I12" s="550"/>
      <c r="J12" s="550"/>
      <c r="K12" s="550"/>
      <c r="L12" s="550"/>
      <c r="M12" s="550"/>
      <c r="N12" s="550"/>
      <c r="O12" s="550"/>
      <c r="P12" s="550"/>
      <c r="Q12" s="550"/>
      <c r="R12" s="550"/>
    </row>
    <row r="13" spans="1:19" ht="33.75" customHeight="1" x14ac:dyDescent="0.25">
      <c r="A13" s="62" t="s">
        <v>71</v>
      </c>
      <c r="B13" s="158" t="s">
        <v>104</v>
      </c>
      <c r="C13" s="62" t="s">
        <v>72</v>
      </c>
      <c r="D13" s="714" t="s">
        <v>153</v>
      </c>
      <c r="E13" s="62"/>
      <c r="H13" s="550"/>
      <c r="I13" s="550"/>
      <c r="J13" s="550"/>
      <c r="K13" s="550"/>
      <c r="L13" s="550"/>
      <c r="M13" s="550"/>
      <c r="N13" s="550"/>
      <c r="O13" s="550"/>
      <c r="P13" s="550"/>
      <c r="Q13" s="550"/>
      <c r="R13" s="550"/>
    </row>
    <row r="14" spans="1:19" ht="29.25" customHeight="1" x14ac:dyDescent="0.25">
      <c r="A14" s="62" t="s">
        <v>75</v>
      </c>
      <c r="B14" s="158" t="s">
        <v>1288</v>
      </c>
      <c r="C14" s="62" t="s">
        <v>72</v>
      </c>
      <c r="D14" s="715"/>
      <c r="E14" s="62"/>
    </row>
    <row r="15" spans="1:19" ht="30.75" customHeight="1" x14ac:dyDescent="0.25">
      <c r="A15" s="62" t="s">
        <v>63</v>
      </c>
      <c r="B15" s="60" t="str" cm="1">
        <f t="array" ref="B15">_xlfn.XLOOKUP('S1. Dry Bulk Shipping'!$B13,'S3. Shipping Route Data'!$A$18:$A$28,_xlfn.XLOOKUP('S1. Dry Bulk Shipping'!$B14,'S3. Shipping Route Data'!$B$17:$D$17,'S3. Shipping Route Data'!$B$18:$D$28))</f>
        <v>YES</v>
      </c>
      <c r="C15" s="62" t="s">
        <v>64</v>
      </c>
      <c r="D15" s="61" t="s">
        <v>110</v>
      </c>
      <c r="E15" s="62"/>
    </row>
    <row r="16" spans="1:19" ht="28.5" customHeight="1" x14ac:dyDescent="0.25">
      <c r="A16" s="62" t="s">
        <v>68</v>
      </c>
      <c r="B16" s="60" t="str" cm="1">
        <f t="array" ref="B16">_xlfn.XLOOKUP('S1. Dry Bulk Shipping'!$B13,'S3. Shipping Route Data'!$A$31:$A$41,_xlfn.XLOOKUP('S1. Dry Bulk Shipping'!$B14,'S3. Shipping Route Data'!$B$30:$D$30,'S3. Shipping Route Data'!$B$31:$D$41))</f>
        <v>NO</v>
      </c>
      <c r="C16" s="92" t="s">
        <v>64</v>
      </c>
      <c r="D16" s="61" t="s">
        <v>111</v>
      </c>
      <c r="E16" s="62"/>
    </row>
    <row r="17" spans="1:16" ht="18" customHeight="1" x14ac:dyDescent="0.25">
      <c r="A17" s="159" t="s">
        <v>113</v>
      </c>
      <c r="B17" s="160"/>
      <c r="C17" s="160"/>
      <c r="D17" s="160"/>
      <c r="E17" s="161"/>
    </row>
    <row r="18" spans="1:16" ht="28.5" customHeight="1" x14ac:dyDescent="0.25">
      <c r="A18" s="62" t="s">
        <v>60</v>
      </c>
      <c r="B18" s="626"/>
      <c r="C18" s="92" t="s">
        <v>61</v>
      </c>
      <c r="D18" s="62" t="s">
        <v>142</v>
      </c>
      <c r="E18" s="62"/>
      <c r="H18" s="592"/>
    </row>
    <row r="19" spans="1:16" ht="31.5" customHeight="1" x14ac:dyDescent="0.25">
      <c r="A19" s="92" t="s">
        <v>63</v>
      </c>
      <c r="B19" s="162" t="s">
        <v>106</v>
      </c>
      <c r="C19" s="92" t="s">
        <v>64</v>
      </c>
      <c r="D19" s="62" t="s">
        <v>143</v>
      </c>
      <c r="E19" s="62"/>
      <c r="H19" s="592"/>
    </row>
    <row r="20" spans="1:16" ht="26.25" customHeight="1" x14ac:dyDescent="0.25">
      <c r="A20" s="62" t="s">
        <v>68</v>
      </c>
      <c r="B20" s="162" t="s">
        <v>107</v>
      </c>
      <c r="C20" s="92" t="s">
        <v>64</v>
      </c>
      <c r="D20" s="62" t="s">
        <v>144</v>
      </c>
      <c r="E20" s="62"/>
      <c r="H20" s="592"/>
    </row>
    <row r="21" spans="1:16" ht="16.5" thickBot="1" x14ac:dyDescent="0.3">
      <c r="A21" s="131"/>
      <c r="B21" s="163"/>
      <c r="C21" s="131"/>
      <c r="D21" s="63"/>
      <c r="E21" s="131"/>
      <c r="H21" s="592"/>
    </row>
    <row r="22" spans="1:16" ht="35.25" customHeight="1" thickBot="1" x14ac:dyDescent="0.3">
      <c r="A22" s="164" t="s">
        <v>57</v>
      </c>
      <c r="B22" s="165"/>
      <c r="C22" s="165"/>
      <c r="D22" s="165"/>
      <c r="E22" s="166"/>
      <c r="F22" s="254"/>
      <c r="H22" s="592"/>
    </row>
    <row r="23" spans="1:16" ht="34.5" customHeight="1" thickTop="1" x14ac:dyDescent="0.25">
      <c r="A23" s="140" t="s">
        <v>58</v>
      </c>
      <c r="B23" s="167">
        <v>400000</v>
      </c>
      <c r="C23" s="168" t="s">
        <v>165</v>
      </c>
      <c r="D23" s="169" t="s">
        <v>59</v>
      </c>
      <c r="E23" s="262" t="s">
        <v>365</v>
      </c>
      <c r="F23" s="254"/>
      <c r="H23" s="592"/>
    </row>
    <row r="24" spans="1:16" ht="33.75" customHeight="1" x14ac:dyDescent="0.25">
      <c r="A24" s="144" t="s">
        <v>62</v>
      </c>
      <c r="B24" s="170">
        <v>350000</v>
      </c>
      <c r="C24" s="62" t="s">
        <v>165</v>
      </c>
      <c r="D24" s="147" t="s">
        <v>59</v>
      </c>
      <c r="E24" s="262" t="s">
        <v>365</v>
      </c>
      <c r="F24" s="254"/>
      <c r="H24" s="592"/>
    </row>
    <row r="25" spans="1:16" ht="33.75" customHeight="1" x14ac:dyDescent="0.25">
      <c r="A25" s="716" t="s">
        <v>65</v>
      </c>
      <c r="B25" s="255">
        <v>3000</v>
      </c>
      <c r="C25" s="256" t="s">
        <v>627</v>
      </c>
      <c r="D25" s="147" t="s">
        <v>67</v>
      </c>
      <c r="E25" s="252" t="s">
        <v>628</v>
      </c>
      <c r="F25" s="254"/>
      <c r="H25" s="593"/>
    </row>
    <row r="26" spans="1:16" ht="34.5" customHeight="1" x14ac:dyDescent="0.25">
      <c r="A26" s="717"/>
      <c r="B26" s="178">
        <f>(B35/B25)/24</f>
        <v>1.6666666666666667</v>
      </c>
      <c r="C26" s="62" t="s">
        <v>66</v>
      </c>
      <c r="D26" s="248"/>
      <c r="E26" s="249"/>
      <c r="F26" s="254"/>
      <c r="H26" s="593"/>
    </row>
    <row r="27" spans="1:16" ht="34.5" customHeight="1" x14ac:dyDescent="0.25">
      <c r="A27" s="247" t="s">
        <v>349</v>
      </c>
      <c r="B27" s="259">
        <v>15291</v>
      </c>
      <c r="C27" s="179" t="s">
        <v>562</v>
      </c>
      <c r="D27" s="248" t="s">
        <v>69</v>
      </c>
      <c r="E27" s="249" t="s">
        <v>359</v>
      </c>
      <c r="F27" s="253"/>
      <c r="H27" s="593"/>
    </row>
    <row r="28" spans="1:16" ht="34.5" customHeight="1" x14ac:dyDescent="0.25">
      <c r="A28" s="257" t="s">
        <v>350</v>
      </c>
      <c r="B28" s="260">
        <v>0.35</v>
      </c>
      <c r="C28" s="62" t="s">
        <v>625</v>
      </c>
      <c r="D28" s="62" t="s">
        <v>354</v>
      </c>
      <c r="E28" s="252" t="s">
        <v>629</v>
      </c>
      <c r="F28" s="250"/>
    </row>
    <row r="29" spans="1:16" ht="34.5" customHeight="1" x14ac:dyDescent="0.25">
      <c r="A29" s="257" t="s">
        <v>351</v>
      </c>
      <c r="B29" s="260">
        <v>1.86</v>
      </c>
      <c r="C29" s="62" t="s">
        <v>625</v>
      </c>
      <c r="D29" s="62"/>
      <c r="E29" s="252" t="s">
        <v>630</v>
      </c>
      <c r="F29" s="250"/>
    </row>
    <row r="30" spans="1:16" ht="28.5" customHeight="1" thickBot="1" x14ac:dyDescent="0.3">
      <c r="A30" s="246" t="s">
        <v>352</v>
      </c>
      <c r="B30" s="261">
        <v>315</v>
      </c>
      <c r="C30" s="151" t="s">
        <v>353</v>
      </c>
      <c r="D30" s="151"/>
      <c r="E30" s="258" t="s">
        <v>360</v>
      </c>
    </row>
    <row r="31" spans="1:16" ht="16.5" thickBot="1" x14ac:dyDescent="0.3">
      <c r="A31" s="131"/>
      <c r="B31" s="163"/>
      <c r="C31" s="131"/>
      <c r="D31" s="63"/>
      <c r="E31" s="131"/>
    </row>
    <row r="32" spans="1:16" x14ac:dyDescent="0.25">
      <c r="A32" s="172" t="s">
        <v>114</v>
      </c>
      <c r="B32" s="173"/>
      <c r="C32" s="173"/>
      <c r="D32" s="173"/>
      <c r="E32" s="174"/>
      <c r="G32" s="284" t="s">
        <v>421</v>
      </c>
      <c r="H32" s="284"/>
      <c r="I32" s="284"/>
      <c r="J32" s="284"/>
      <c r="K32" s="284"/>
      <c r="L32" s="284"/>
      <c r="M32" s="729" t="s">
        <v>426</v>
      </c>
      <c r="N32" s="729"/>
      <c r="O32" s="729"/>
      <c r="P32" s="729"/>
    </row>
    <row r="33" spans="1:16" ht="33" customHeight="1" x14ac:dyDescent="0.25">
      <c r="A33" s="159" t="s">
        <v>131</v>
      </c>
      <c r="B33" s="160"/>
      <c r="C33" s="160"/>
      <c r="D33" s="160"/>
      <c r="E33" s="161"/>
      <c r="G33" s="285" t="s">
        <v>115</v>
      </c>
      <c r="H33" s="285" t="s">
        <v>120</v>
      </c>
      <c r="I33" s="285" t="s">
        <v>121</v>
      </c>
      <c r="J33" s="285" t="s">
        <v>122</v>
      </c>
      <c r="K33" s="285" t="s">
        <v>123</v>
      </c>
      <c r="L33" s="285" t="s">
        <v>124</v>
      </c>
      <c r="M33" s="730" t="s">
        <v>527</v>
      </c>
      <c r="N33" s="730"/>
      <c r="O33" s="730"/>
      <c r="P33" s="731"/>
    </row>
    <row r="34" spans="1:16" ht="33" customHeight="1" x14ac:dyDescent="0.25">
      <c r="A34" s="92" t="s">
        <v>130</v>
      </c>
      <c r="B34" s="64" t="s">
        <v>123</v>
      </c>
      <c r="C34" s="92" t="s">
        <v>45</v>
      </c>
      <c r="D34" s="65"/>
      <c r="E34" s="65"/>
      <c r="G34" s="50" t="s">
        <v>116</v>
      </c>
      <c r="H34" s="302">
        <v>155</v>
      </c>
      <c r="I34" s="302">
        <v>190</v>
      </c>
      <c r="J34" s="302">
        <v>220</v>
      </c>
      <c r="K34" s="302">
        <v>240</v>
      </c>
      <c r="L34" s="302">
        <v>287</v>
      </c>
      <c r="M34" s="732"/>
      <c r="N34" s="732"/>
      <c r="O34" s="732"/>
      <c r="P34" s="733"/>
    </row>
    <row r="35" spans="1:16" ht="31.5" customHeight="1" x14ac:dyDescent="0.25">
      <c r="A35" s="129" t="s">
        <v>133</v>
      </c>
      <c r="B35" s="175">
        <f>HLOOKUP(B34,'S1. Dry Bulk Shipping'!G33:L43,6,FALSE)</f>
        <v>120000</v>
      </c>
      <c r="C35" s="176" t="s">
        <v>594</v>
      </c>
      <c r="D35" s="66" t="s">
        <v>151</v>
      </c>
      <c r="E35" s="288" t="s">
        <v>436</v>
      </c>
      <c r="G35" s="50" t="s">
        <v>117</v>
      </c>
      <c r="H35" s="302">
        <v>22.5</v>
      </c>
      <c r="I35" s="302">
        <v>32.299999999999997</v>
      </c>
      <c r="J35" s="302">
        <v>32.299999999999997</v>
      </c>
      <c r="K35" s="302">
        <v>43</v>
      </c>
      <c r="L35" s="302">
        <v>45</v>
      </c>
      <c r="M35" s="732"/>
      <c r="N35" s="732"/>
      <c r="O35" s="732"/>
      <c r="P35" s="733"/>
    </row>
    <row r="36" spans="1:16" ht="31.5" customHeight="1" x14ac:dyDescent="0.25">
      <c r="A36" s="177" t="s">
        <v>134</v>
      </c>
      <c r="B36" s="178">
        <f>HLOOKUP(B34,'S1. Dry Bulk Shipping'!G33:L43,7,FALSE)</f>
        <v>13.5</v>
      </c>
      <c r="C36" s="92" t="s">
        <v>79</v>
      </c>
      <c r="D36" s="67"/>
      <c r="E36" s="288" t="s">
        <v>436</v>
      </c>
      <c r="G36" s="50" t="s">
        <v>118</v>
      </c>
      <c r="H36" s="302">
        <v>10.199999999999999</v>
      </c>
      <c r="I36" s="302">
        <v>12.9</v>
      </c>
      <c r="J36" s="302">
        <v>14.5</v>
      </c>
      <c r="K36" s="302">
        <v>15.2</v>
      </c>
      <c r="L36" s="302">
        <v>18.2</v>
      </c>
      <c r="M36" s="732"/>
      <c r="N36" s="732"/>
      <c r="O36" s="732"/>
      <c r="P36" s="733"/>
    </row>
    <row r="37" spans="1:16" ht="33" customHeight="1" x14ac:dyDescent="0.25">
      <c r="A37" s="92" t="s">
        <v>119</v>
      </c>
      <c r="B37" s="68">
        <f>HLOOKUP(B34,'S1. Dry Bulk Shipping'!G33:L43,8,FALSE)</f>
        <v>15</v>
      </c>
      <c r="C37" s="92" t="s">
        <v>54</v>
      </c>
      <c r="D37" s="67"/>
      <c r="E37" s="288" t="s">
        <v>436</v>
      </c>
      <c r="G37" s="50" t="s">
        <v>631</v>
      </c>
      <c r="H37" s="302">
        <v>31000</v>
      </c>
      <c r="I37" s="302">
        <v>70000</v>
      </c>
      <c r="J37" s="302">
        <v>92000</v>
      </c>
      <c r="K37" s="302">
        <v>135000</v>
      </c>
      <c r="L37" s="302">
        <v>203000</v>
      </c>
      <c r="M37" s="732"/>
      <c r="N37" s="732"/>
      <c r="O37" s="732"/>
      <c r="P37" s="733"/>
    </row>
    <row r="38" spans="1:16" ht="30.75" customHeight="1" x14ac:dyDescent="0.25">
      <c r="A38" s="92" t="s">
        <v>125</v>
      </c>
      <c r="B38" s="69" t="str">
        <f>HLOOKUP(B34,'S1. Dry Bulk Shipping'!G33:L43,10,FALSE)</f>
        <v>YES</v>
      </c>
      <c r="C38" s="62" t="s">
        <v>64</v>
      </c>
      <c r="D38" s="67" t="s">
        <v>148</v>
      </c>
      <c r="E38" s="288" t="s">
        <v>436</v>
      </c>
      <c r="G38" s="50" t="s">
        <v>632</v>
      </c>
      <c r="H38" s="302">
        <v>25000</v>
      </c>
      <c r="I38" s="302">
        <v>60000</v>
      </c>
      <c r="J38" s="302">
        <v>80000</v>
      </c>
      <c r="K38" s="302">
        <v>120000</v>
      </c>
      <c r="L38" s="302">
        <v>180000</v>
      </c>
      <c r="M38" s="732"/>
      <c r="N38" s="732"/>
      <c r="O38" s="732"/>
      <c r="P38" s="733"/>
    </row>
    <row r="39" spans="1:16" ht="30" customHeight="1" x14ac:dyDescent="0.25">
      <c r="A39" s="92" t="s">
        <v>146</v>
      </c>
      <c r="B39" s="414" t="str">
        <f>IF(AND(B15="YES", B38="NO"),"Cannot pass canal","No Warnings")</f>
        <v>No Warnings</v>
      </c>
      <c r="C39" s="179" t="s">
        <v>45</v>
      </c>
      <c r="D39" s="67" t="s">
        <v>147</v>
      </c>
      <c r="E39" s="288"/>
      <c r="G39" s="50" t="s">
        <v>136</v>
      </c>
      <c r="H39" s="303">
        <v>5.5</v>
      </c>
      <c r="I39" s="303">
        <v>9</v>
      </c>
      <c r="J39" s="303">
        <v>10.5</v>
      </c>
      <c r="K39" s="303">
        <v>13.5</v>
      </c>
      <c r="L39" s="303">
        <v>16.5</v>
      </c>
      <c r="M39" s="732"/>
      <c r="N39" s="732"/>
      <c r="O39" s="732"/>
      <c r="P39" s="733"/>
    </row>
    <row r="40" spans="1:16" ht="30.75" customHeight="1" x14ac:dyDescent="0.25">
      <c r="A40" s="92" t="s">
        <v>126</v>
      </c>
      <c r="B40" s="70" t="str">
        <f>HLOOKUP(B34,'S1. Dry Bulk Shipping'!G33:L43,11,FALSE)</f>
        <v>NO</v>
      </c>
      <c r="C40" s="179" t="s">
        <v>64</v>
      </c>
      <c r="D40" s="71" t="s">
        <v>149</v>
      </c>
      <c r="E40" s="288" t="s">
        <v>436</v>
      </c>
      <c r="G40" s="50" t="s">
        <v>127</v>
      </c>
      <c r="H40" s="302">
        <v>14</v>
      </c>
      <c r="I40" s="302">
        <v>15</v>
      </c>
      <c r="J40" s="302">
        <v>15</v>
      </c>
      <c r="K40" s="302">
        <v>15</v>
      </c>
      <c r="L40" s="302">
        <v>15</v>
      </c>
      <c r="M40" s="732"/>
      <c r="N40" s="732"/>
      <c r="O40" s="732"/>
      <c r="P40" s="733"/>
    </row>
    <row r="41" spans="1:16" ht="30.75" customHeight="1" x14ac:dyDescent="0.25">
      <c r="A41" s="92" t="s">
        <v>145</v>
      </c>
      <c r="B41" s="415" t="str">
        <f>IF(AND(B16="YES", B40="NO"),"Cannot pass canal","No Warnings")</f>
        <v>No Warnings</v>
      </c>
      <c r="C41" s="62" t="s">
        <v>45</v>
      </c>
      <c r="D41" s="67" t="s">
        <v>147</v>
      </c>
      <c r="E41" s="65"/>
      <c r="G41" s="50" t="s">
        <v>264</v>
      </c>
      <c r="H41" s="216">
        <v>27613261.586530115</v>
      </c>
      <c r="I41" s="216">
        <v>37277903.141815655</v>
      </c>
      <c r="J41" s="216">
        <v>41419892.379795171</v>
      </c>
      <c r="K41" s="216">
        <v>55226523.173060231</v>
      </c>
      <c r="L41" s="216">
        <v>69033153.966325283</v>
      </c>
      <c r="M41" s="734"/>
      <c r="N41" s="734"/>
      <c r="O41" s="734"/>
      <c r="P41" s="735"/>
    </row>
    <row r="42" spans="1:16" ht="31.5" customHeight="1" x14ac:dyDescent="0.25">
      <c r="A42" s="181" t="s">
        <v>132</v>
      </c>
      <c r="B42" s="182"/>
      <c r="C42" s="182"/>
      <c r="D42" s="183"/>
      <c r="E42" s="411"/>
      <c r="G42" s="50" t="s">
        <v>125</v>
      </c>
      <c r="H42" s="297" t="s">
        <v>106</v>
      </c>
      <c r="I42" s="297" t="s">
        <v>106</v>
      </c>
      <c r="J42" s="297" t="s">
        <v>106</v>
      </c>
      <c r="K42" s="297" t="s">
        <v>106</v>
      </c>
      <c r="L42" s="297" t="s">
        <v>107</v>
      </c>
      <c r="M42" s="736" t="s">
        <v>128</v>
      </c>
      <c r="N42" s="736"/>
      <c r="O42" s="736"/>
      <c r="P42" s="736"/>
    </row>
    <row r="43" spans="1:16" ht="30.75" customHeight="1" x14ac:dyDescent="0.25">
      <c r="A43" s="92" t="s">
        <v>683</v>
      </c>
      <c r="B43" s="191">
        <f>HLOOKUP(B34,'S1. Dry Bulk Shipping'!G33:L43,9,FALSE)</f>
        <v>55226523.173060231</v>
      </c>
      <c r="C43" s="92" t="s">
        <v>165</v>
      </c>
      <c r="D43" s="65"/>
      <c r="E43" s="65"/>
      <c r="G43" s="50" t="s">
        <v>126</v>
      </c>
      <c r="H43" s="297" t="s">
        <v>106</v>
      </c>
      <c r="I43" s="297" t="s">
        <v>106</v>
      </c>
      <c r="J43" s="297" t="s">
        <v>106</v>
      </c>
      <c r="K43" s="297" t="s">
        <v>107</v>
      </c>
      <c r="L43" s="297" t="s">
        <v>107</v>
      </c>
      <c r="M43" s="736" t="s">
        <v>129</v>
      </c>
      <c r="N43" s="736"/>
      <c r="O43" s="736"/>
      <c r="P43" s="736"/>
    </row>
    <row r="44" spans="1:16" ht="33" customHeight="1" x14ac:dyDescent="0.25">
      <c r="A44" s="129" t="s">
        <v>682</v>
      </c>
      <c r="B44" s="412">
        <f>(B43-((B36*1000)*HLOOKUP(B57,'S1. Dry Bulk Shipping'!G51:L54,2,FALSE))+((B36*1000)*HLOOKUP(B57,'S1. Dry Bulk Shipping'!G51:L54,3,FALSE))+((B36*1000)*HLOOKUP(B57,'S1. Dry Bulk Shipping'!G51:L54,4,FALSE)))*(B9/100)</f>
        <v>55226523.173060231</v>
      </c>
      <c r="C44" s="176" t="s">
        <v>165</v>
      </c>
      <c r="D44" s="413" t="s">
        <v>1283</v>
      </c>
      <c r="E44" s="288" t="s">
        <v>681</v>
      </c>
      <c r="F44" s="244"/>
    </row>
    <row r="45" spans="1:16" ht="30.75" customHeight="1" x14ac:dyDescent="0.25">
      <c r="A45" s="62" t="s">
        <v>55</v>
      </c>
      <c r="B45" s="226">
        <v>350</v>
      </c>
      <c r="C45" s="62" t="s">
        <v>56</v>
      </c>
      <c r="D45" s="147"/>
      <c r="E45" s="218" t="s">
        <v>291</v>
      </c>
      <c r="F45" s="244"/>
    </row>
    <row r="46" spans="1:16" ht="30.75" customHeight="1" x14ac:dyDescent="0.25">
      <c r="A46" s="62" t="s">
        <v>340</v>
      </c>
      <c r="B46" s="216">
        <v>355434</v>
      </c>
      <c r="C46" s="62" t="s">
        <v>261</v>
      </c>
      <c r="D46" s="147"/>
      <c r="E46" s="124" t="s">
        <v>687</v>
      </c>
      <c r="F46" s="244"/>
    </row>
    <row r="47" spans="1:16" ht="30.75" customHeight="1" x14ac:dyDescent="0.25">
      <c r="A47" s="62" t="s">
        <v>341</v>
      </c>
      <c r="B47" s="216">
        <v>375625.02202643169</v>
      </c>
      <c r="C47" s="62" t="s">
        <v>261</v>
      </c>
      <c r="D47" s="147"/>
      <c r="E47" s="124" t="s">
        <v>347</v>
      </c>
      <c r="F47" s="244"/>
    </row>
    <row r="48" spans="1:16" ht="30.75" customHeight="1" x14ac:dyDescent="0.25">
      <c r="A48" s="62" t="s">
        <v>342</v>
      </c>
      <c r="B48" s="216">
        <v>384951</v>
      </c>
      <c r="C48" s="62" t="s">
        <v>261</v>
      </c>
      <c r="D48" s="147"/>
      <c r="E48" s="124" t="s">
        <v>688</v>
      </c>
      <c r="F48" s="244"/>
    </row>
    <row r="49" spans="1:19" ht="31.5" customHeight="1" x14ac:dyDescent="0.25">
      <c r="A49" s="62" t="s">
        <v>343</v>
      </c>
      <c r="B49" s="216">
        <v>330836</v>
      </c>
      <c r="C49" s="62" t="s">
        <v>261</v>
      </c>
      <c r="D49" s="147"/>
      <c r="E49" s="124" t="s">
        <v>689</v>
      </c>
      <c r="F49" s="244"/>
    </row>
    <row r="50" spans="1:19" ht="30.75" customHeight="1" x14ac:dyDescent="0.25">
      <c r="A50" s="62" t="s">
        <v>344</v>
      </c>
      <c r="B50" s="216">
        <v>588666.0792951542</v>
      </c>
      <c r="C50" s="62" t="s">
        <v>261</v>
      </c>
      <c r="D50" s="147"/>
      <c r="E50" s="93" t="s">
        <v>348</v>
      </c>
      <c r="G50" s="284" t="s">
        <v>676</v>
      </c>
      <c r="H50" s="284"/>
      <c r="I50" s="284"/>
      <c r="J50" s="284"/>
      <c r="K50" s="284"/>
      <c r="L50" s="284"/>
      <c r="M50" s="737" t="s">
        <v>426</v>
      </c>
      <c r="N50" s="738"/>
      <c r="O50" s="738"/>
      <c r="P50" s="739"/>
    </row>
    <row r="51" spans="1:19" ht="33.75" customHeight="1" x14ac:dyDescent="0.25">
      <c r="A51" s="181" t="s">
        <v>1033</v>
      </c>
      <c r="B51" s="182"/>
      <c r="C51" s="182"/>
      <c r="D51" s="183"/>
      <c r="E51" s="411"/>
      <c r="G51" s="285" t="s">
        <v>41</v>
      </c>
      <c r="H51" s="286" t="s">
        <v>82</v>
      </c>
      <c r="I51" s="286" t="s">
        <v>99</v>
      </c>
      <c r="J51" s="286" t="s">
        <v>100</v>
      </c>
      <c r="K51" s="286" t="s">
        <v>77</v>
      </c>
      <c r="L51" s="286" t="s">
        <v>78</v>
      </c>
      <c r="M51" s="720" t="s">
        <v>680</v>
      </c>
      <c r="N51" s="721"/>
      <c r="O51" s="721"/>
      <c r="P51" s="722"/>
    </row>
    <row r="52" spans="1:19" ht="31.5" customHeight="1" x14ac:dyDescent="0.25">
      <c r="A52" s="101" t="s">
        <v>1185</v>
      </c>
      <c r="B52" s="221">
        <v>20</v>
      </c>
      <c r="C52" s="101" t="s">
        <v>1204</v>
      </c>
      <c r="D52" s="268" t="s">
        <v>1203</v>
      </c>
      <c r="E52" s="108" t="s">
        <v>1034</v>
      </c>
      <c r="G52" s="50" t="s">
        <v>677</v>
      </c>
      <c r="H52" s="408">
        <v>449</v>
      </c>
      <c r="I52" s="408">
        <v>449</v>
      </c>
      <c r="J52" s="408">
        <v>449</v>
      </c>
      <c r="K52" s="408">
        <v>449</v>
      </c>
      <c r="L52" s="408">
        <v>449</v>
      </c>
      <c r="M52" s="723"/>
      <c r="N52" s="724"/>
      <c r="O52" s="724"/>
      <c r="P52" s="725"/>
    </row>
    <row r="53" spans="1:19" ht="35.25" customHeight="1" x14ac:dyDescent="0.25">
      <c r="A53" s="112" t="s">
        <v>1020</v>
      </c>
      <c r="B53" s="523">
        <v>1920</v>
      </c>
      <c r="C53" s="112" t="s">
        <v>1021</v>
      </c>
      <c r="D53" s="112"/>
      <c r="E53" s="124" t="s">
        <v>1022</v>
      </c>
      <c r="G53" s="394" t="s">
        <v>678</v>
      </c>
      <c r="H53" s="408">
        <v>449</v>
      </c>
      <c r="I53" s="408">
        <v>449</v>
      </c>
      <c r="J53" s="408">
        <v>449</v>
      </c>
      <c r="K53" s="408">
        <v>898</v>
      </c>
      <c r="L53" s="408">
        <v>673</v>
      </c>
      <c r="M53" s="723"/>
      <c r="N53" s="724"/>
      <c r="O53" s="724"/>
      <c r="P53" s="725"/>
    </row>
    <row r="54" spans="1:19" ht="34.5" customHeight="1" x14ac:dyDescent="0.25">
      <c r="A54" s="112" t="s">
        <v>1024</v>
      </c>
      <c r="B54" s="616">
        <v>36</v>
      </c>
      <c r="C54" s="112" t="s">
        <v>1023</v>
      </c>
      <c r="D54" s="112"/>
      <c r="E54" s="93" t="s">
        <v>1025</v>
      </c>
      <c r="G54" s="394" t="s">
        <v>679</v>
      </c>
      <c r="H54" s="408">
        <v>0</v>
      </c>
      <c r="I54" s="408">
        <v>0</v>
      </c>
      <c r="J54" s="408">
        <v>0</v>
      </c>
      <c r="K54" s="408">
        <v>673</v>
      </c>
      <c r="L54" s="408">
        <v>224</v>
      </c>
      <c r="M54" s="726"/>
      <c r="N54" s="727"/>
      <c r="O54" s="727"/>
      <c r="P54" s="728"/>
    </row>
    <row r="55" spans="1:19" ht="31.5" customHeight="1" x14ac:dyDescent="0.25">
      <c r="A55" s="62" t="s">
        <v>339</v>
      </c>
      <c r="B55" s="227">
        <f>B52*B53*B54</f>
        <v>1382400</v>
      </c>
      <c r="C55" s="62" t="s">
        <v>261</v>
      </c>
      <c r="D55" s="147"/>
      <c r="E55" s="124"/>
      <c r="G55" s="402"/>
      <c r="H55" s="403"/>
      <c r="I55" s="404"/>
      <c r="J55" s="405"/>
      <c r="K55" s="405"/>
      <c r="L55" s="404"/>
      <c r="M55" s="404"/>
      <c r="N55" s="292"/>
      <c r="O55" s="406"/>
      <c r="P55" s="406"/>
      <c r="Q55" s="407"/>
      <c r="R55" s="407"/>
      <c r="S55" s="407"/>
    </row>
    <row r="56" spans="1:19" ht="20.25" customHeight="1" x14ac:dyDescent="0.25">
      <c r="A56" s="181" t="s">
        <v>135</v>
      </c>
      <c r="B56" s="182"/>
      <c r="C56" s="182"/>
      <c r="D56" s="183"/>
      <c r="E56" s="241"/>
    </row>
    <row r="57" spans="1:19" ht="34.5" customHeight="1" x14ac:dyDescent="0.25">
      <c r="A57" s="62" t="s">
        <v>81</v>
      </c>
      <c r="B57" s="369" t="s">
        <v>82</v>
      </c>
      <c r="C57" s="62"/>
      <c r="D57" s="62"/>
      <c r="E57" s="234" t="s">
        <v>99</v>
      </c>
    </row>
    <row r="58" spans="1:19" ht="29.25" customHeight="1" x14ac:dyDescent="0.25">
      <c r="A58" s="62" t="s">
        <v>80</v>
      </c>
      <c r="B58" s="207">
        <f>HLOOKUP(B57,G59:L63,2,FALSE)</f>
        <v>40</v>
      </c>
      <c r="C58" s="62" t="s">
        <v>47</v>
      </c>
      <c r="D58" s="62"/>
      <c r="E58" s="242" t="s">
        <v>437</v>
      </c>
      <c r="G58" s="284" t="s">
        <v>422</v>
      </c>
      <c r="H58" s="284"/>
      <c r="I58" s="284"/>
      <c r="J58" s="284"/>
      <c r="K58" s="284"/>
      <c r="L58" s="284"/>
      <c r="M58" s="284"/>
      <c r="N58" s="284"/>
      <c r="O58" s="284"/>
      <c r="P58" s="284"/>
      <c r="Q58" s="284"/>
      <c r="R58" s="284"/>
    </row>
    <row r="59" spans="1:19" ht="33" customHeight="1" x14ac:dyDescent="0.25">
      <c r="A59" s="62" t="s">
        <v>73</v>
      </c>
      <c r="B59" s="72">
        <f>HLOOKUP(B57,G59:L63,3,FALSE)</f>
        <v>40.4</v>
      </c>
      <c r="C59" s="62" t="s">
        <v>74</v>
      </c>
      <c r="D59" s="62"/>
      <c r="E59" s="242" t="s">
        <v>437</v>
      </c>
      <c r="G59" s="285" t="s">
        <v>41</v>
      </c>
      <c r="H59" s="286" t="s">
        <v>82</v>
      </c>
      <c r="I59" s="286" t="s">
        <v>99</v>
      </c>
      <c r="J59" s="286" t="s">
        <v>100</v>
      </c>
      <c r="K59" s="286" t="s">
        <v>77</v>
      </c>
      <c r="L59" s="286" t="s">
        <v>78</v>
      </c>
      <c r="M59" s="287" t="s">
        <v>428</v>
      </c>
      <c r="N59" s="287" t="s">
        <v>429</v>
      </c>
      <c r="O59" s="287" t="s">
        <v>430</v>
      </c>
      <c r="P59" s="286" t="s">
        <v>431</v>
      </c>
      <c r="Q59" s="287" t="s">
        <v>432</v>
      </c>
      <c r="R59" s="287" t="s">
        <v>433</v>
      </c>
    </row>
    <row r="60" spans="1:19" ht="31.5" customHeight="1" x14ac:dyDescent="0.25">
      <c r="A60" s="62" t="s">
        <v>150</v>
      </c>
      <c r="B60" s="72">
        <f>HLOOKUP(B57,G59:L63,4,FALSE)</f>
        <v>2.98</v>
      </c>
      <c r="C60" s="62" t="s">
        <v>384</v>
      </c>
      <c r="D60" s="147"/>
      <c r="E60" s="242" t="s">
        <v>437</v>
      </c>
      <c r="G60" s="50" t="s">
        <v>423</v>
      </c>
      <c r="H60" s="304">
        <v>40</v>
      </c>
      <c r="I60" s="304">
        <v>40</v>
      </c>
      <c r="J60" s="304">
        <v>40</v>
      </c>
      <c r="K60" s="304">
        <v>35</v>
      </c>
      <c r="L60" s="304">
        <v>40</v>
      </c>
      <c r="M60" s="371" t="s">
        <v>434</v>
      </c>
      <c r="N60" s="371" t="s">
        <v>434</v>
      </c>
      <c r="O60" s="371" t="s">
        <v>434</v>
      </c>
      <c r="P60" s="371" t="s">
        <v>588</v>
      </c>
      <c r="Q60" s="627">
        <v>0.35</v>
      </c>
      <c r="R60" s="628">
        <v>0.4</v>
      </c>
    </row>
    <row r="61" spans="1:19" ht="30" customHeight="1" x14ac:dyDescent="0.25">
      <c r="A61" s="62" t="s">
        <v>83</v>
      </c>
      <c r="B61" s="72">
        <f>ROUND((B36*24)/(B58/100),2)</f>
        <v>810</v>
      </c>
      <c r="C61" s="62" t="s">
        <v>84</v>
      </c>
      <c r="D61" s="62"/>
      <c r="E61" s="235"/>
      <c r="G61" s="50" t="s">
        <v>424</v>
      </c>
      <c r="H61" s="298">
        <v>40.4</v>
      </c>
      <c r="I61" s="298">
        <v>42.7</v>
      </c>
      <c r="J61" s="298">
        <v>41</v>
      </c>
      <c r="K61" s="298">
        <v>18.8</v>
      </c>
      <c r="L61" s="298">
        <v>19.899999999999999</v>
      </c>
      <c r="M61" s="371" t="s">
        <v>521</v>
      </c>
      <c r="N61" s="93" t="s">
        <v>563</v>
      </c>
      <c r="O61" s="93" t="s">
        <v>589</v>
      </c>
      <c r="P61" s="93" t="s">
        <v>435</v>
      </c>
      <c r="Q61" s="93" t="s">
        <v>522</v>
      </c>
      <c r="R61" s="93" t="s">
        <v>1208</v>
      </c>
    </row>
    <row r="62" spans="1:19" ht="34.5" customHeight="1" x14ac:dyDescent="0.25">
      <c r="A62" s="62" t="s">
        <v>85</v>
      </c>
      <c r="B62" s="73">
        <f>ROUND(B61 * 3.6 * 1/B59,2)</f>
        <v>72.180000000000007</v>
      </c>
      <c r="C62" s="62" t="s">
        <v>86</v>
      </c>
      <c r="D62" s="62"/>
      <c r="E62" s="242"/>
      <c r="G62" s="50" t="s">
        <v>425</v>
      </c>
      <c r="H62" s="298">
        <v>2.98</v>
      </c>
      <c r="I62" s="298">
        <v>3.206</v>
      </c>
      <c r="J62" s="298">
        <v>3.1760000000000002</v>
      </c>
      <c r="K62" s="363">
        <v>8.0000000000000002E-3</v>
      </c>
      <c r="L62" s="363">
        <v>3.0000000000000001E-3</v>
      </c>
      <c r="M62" s="371" t="s">
        <v>1207</v>
      </c>
      <c r="N62" s="93" t="s">
        <v>564</v>
      </c>
      <c r="O62" s="93" t="s">
        <v>590</v>
      </c>
      <c r="P62" s="93" t="s">
        <v>591</v>
      </c>
      <c r="Q62" s="372" t="s">
        <v>523</v>
      </c>
      <c r="R62" s="93" t="s">
        <v>524</v>
      </c>
    </row>
    <row r="63" spans="1:19" ht="33" customHeight="1" thickBot="1" x14ac:dyDescent="0.3">
      <c r="A63" s="92" t="s">
        <v>109</v>
      </c>
      <c r="B63" s="227">
        <f>HLOOKUP(B57,G59:L63,5,FALSE)</f>
        <v>650</v>
      </c>
      <c r="C63" s="62" t="s">
        <v>625</v>
      </c>
      <c r="D63" s="65"/>
      <c r="E63" s="242" t="s">
        <v>437</v>
      </c>
      <c r="G63" s="50" t="s">
        <v>633</v>
      </c>
      <c r="H63" s="298">
        <v>650</v>
      </c>
      <c r="I63" s="370">
        <v>999</v>
      </c>
      <c r="J63" s="304">
        <v>650</v>
      </c>
      <c r="K63" s="370">
        <v>1400</v>
      </c>
      <c r="L63" s="370">
        <v>1400</v>
      </c>
      <c r="M63" s="93" t="s">
        <v>520</v>
      </c>
      <c r="N63" s="371" t="s">
        <v>634</v>
      </c>
      <c r="O63" s="371" t="s">
        <v>635</v>
      </c>
      <c r="P63" s="372">
        <v>650</v>
      </c>
      <c r="Q63" s="372">
        <v>1000</v>
      </c>
      <c r="R63" s="372">
        <v>1000</v>
      </c>
    </row>
    <row r="64" spans="1:19" ht="16.5" customHeight="1" x14ac:dyDescent="0.25">
      <c r="A64" s="185" t="s">
        <v>87</v>
      </c>
      <c r="B64" s="186"/>
      <c r="C64" s="186"/>
      <c r="D64" s="186"/>
      <c r="E64" s="236"/>
    </row>
    <row r="65" spans="1:14" ht="30" customHeight="1" x14ac:dyDescent="0.25">
      <c r="A65" s="144" t="s">
        <v>88</v>
      </c>
      <c r="B65" s="171">
        <v>0</v>
      </c>
      <c r="C65" s="62" t="s">
        <v>165</v>
      </c>
      <c r="D65" s="62"/>
      <c r="E65" s="237"/>
      <c r="N65" s="323"/>
    </row>
    <row r="66" spans="1:14" ht="31.5" customHeight="1" thickBot="1" x14ac:dyDescent="0.3">
      <c r="A66" s="193" t="s">
        <v>89</v>
      </c>
      <c r="B66" s="194">
        <v>0</v>
      </c>
      <c r="C66" s="179" t="s">
        <v>263</v>
      </c>
      <c r="D66" s="179"/>
      <c r="E66" s="238"/>
    </row>
    <row r="67" spans="1:14" ht="17.25" customHeight="1" x14ac:dyDescent="0.25">
      <c r="A67" s="185" t="s">
        <v>265</v>
      </c>
      <c r="B67" s="186"/>
      <c r="C67" s="186"/>
      <c r="D67" s="186"/>
      <c r="E67" s="236"/>
    </row>
    <row r="68" spans="1:14" ht="33.75" customHeight="1" x14ac:dyDescent="0.25">
      <c r="A68" s="62" t="s">
        <v>60</v>
      </c>
      <c r="B68" s="202" cm="1">
        <f t="array" ref="B68">_xlfn.XLOOKUP(B13,'S3. Shipping Route Data'!$A$5:$A$15,_xlfn.XLOOKUP(B14,'S3. Shipping Route Data'!$B$4:$D$4,'S3. Shipping Route Data'!$B$5:$D$15))</f>
        <v>9714</v>
      </c>
      <c r="C68" s="62" t="s">
        <v>61</v>
      </c>
      <c r="D68" s="65"/>
      <c r="E68" s="232"/>
    </row>
    <row r="69" spans="1:14" ht="29.25" customHeight="1" x14ac:dyDescent="0.25">
      <c r="A69" s="62" t="s">
        <v>90</v>
      </c>
      <c r="B69" s="196">
        <f>$B68/(B$37*24)</f>
        <v>26.983333333333334</v>
      </c>
      <c r="C69" s="62" t="s">
        <v>56</v>
      </c>
      <c r="D69" s="65"/>
      <c r="E69" s="232"/>
    </row>
    <row r="70" spans="1:14" ht="30.75" customHeight="1" x14ac:dyDescent="0.25">
      <c r="A70" s="62" t="s">
        <v>91</v>
      </c>
      <c r="B70" s="196">
        <f>B69*2 + B26*2</f>
        <v>57.300000000000004</v>
      </c>
      <c r="C70" s="62" t="s">
        <v>56</v>
      </c>
      <c r="D70" s="65"/>
      <c r="E70" s="232"/>
    </row>
    <row r="71" spans="1:14" ht="30.75" customHeight="1" x14ac:dyDescent="0.25">
      <c r="A71" s="62" t="s">
        <v>92</v>
      </c>
      <c r="B71" s="197">
        <f>$B$45/B70</f>
        <v>6.1082024432809767</v>
      </c>
      <c r="C71" s="62" t="s">
        <v>266</v>
      </c>
      <c r="D71" s="65"/>
      <c r="E71" s="232"/>
    </row>
    <row r="72" spans="1:14" s="45" customFormat="1" ht="30" customHeight="1" x14ac:dyDescent="0.25">
      <c r="A72" s="62" t="s">
        <v>93</v>
      </c>
      <c r="B72" s="196">
        <f>B71*B69*2</f>
        <v>329.63932518906341</v>
      </c>
      <c r="C72" s="92" t="s">
        <v>56</v>
      </c>
      <c r="D72" s="65"/>
      <c r="E72" s="232"/>
    </row>
    <row r="73" spans="1:14" s="45" customFormat="1" ht="25.5" customHeight="1" x14ac:dyDescent="0.25">
      <c r="A73" s="62" t="s">
        <v>63</v>
      </c>
      <c r="B73" s="196" t="str" cm="1">
        <f t="array" ref="B73">_xlfn.XLOOKUP('S1. Dry Bulk Shipping'!$B13,'S3. Shipping Route Data'!$A$18:$A$28,_xlfn.XLOOKUP('S1. Dry Bulk Shipping'!$B14,'S3. Shipping Route Data'!$B$17:$D$17,'S3. Shipping Route Data'!$B$18:$D$28))</f>
        <v>YES</v>
      </c>
      <c r="C73" s="62" t="s">
        <v>64</v>
      </c>
      <c r="D73" s="65"/>
      <c r="E73" s="232"/>
    </row>
    <row r="74" spans="1:14" s="45" customFormat="1" ht="28.5" customHeight="1" x14ac:dyDescent="0.25">
      <c r="A74" s="62" t="s">
        <v>68</v>
      </c>
      <c r="B74" s="196" t="str" cm="1">
        <f t="array" ref="B74">_xlfn.XLOOKUP('S1. Dry Bulk Shipping'!$B13,'S3. Shipping Route Data'!$A$31:$A$41,_xlfn.XLOOKUP('S1. Dry Bulk Shipping'!$B14,'S3. Shipping Route Data'!$B$30:$D$30,'S3. Shipping Route Data'!$B$31:$D$41))</f>
        <v>NO</v>
      </c>
      <c r="C74" s="62" t="s">
        <v>64</v>
      </c>
      <c r="D74" s="65"/>
      <c r="E74" s="232"/>
    </row>
    <row r="75" spans="1:14" s="45" customFormat="1" ht="25.5" customHeight="1" x14ac:dyDescent="0.25">
      <c r="A75" s="179" t="s">
        <v>154</v>
      </c>
      <c r="B75" s="205">
        <f>IF($B73="YES", B23, 0)</f>
        <v>400000</v>
      </c>
      <c r="C75" s="179" t="s">
        <v>165</v>
      </c>
      <c r="D75" s="180"/>
      <c r="E75" s="239"/>
    </row>
    <row r="76" spans="1:14" ht="27" customHeight="1" x14ac:dyDescent="0.25">
      <c r="A76" s="62" t="s">
        <v>155</v>
      </c>
      <c r="B76" s="204">
        <f>IF($B74="YES", B24, 0)</f>
        <v>0</v>
      </c>
      <c r="C76" s="62" t="s">
        <v>165</v>
      </c>
      <c r="D76" s="65"/>
      <c r="E76" s="232"/>
    </row>
    <row r="77" spans="1:14" ht="30.75" customHeight="1" x14ac:dyDescent="0.25">
      <c r="A77" s="62" t="s">
        <v>95</v>
      </c>
      <c r="B77" s="196">
        <f>B62*B72</f>
        <v>23793.366492146601</v>
      </c>
      <c r="C77" s="62" t="s">
        <v>605</v>
      </c>
      <c r="D77" s="65"/>
      <c r="E77" s="232"/>
    </row>
    <row r="78" spans="1:14" ht="19.5" customHeight="1" x14ac:dyDescent="0.25">
      <c r="A78" s="118" t="s">
        <v>366</v>
      </c>
      <c r="B78" s="119"/>
      <c r="C78" s="119"/>
      <c r="D78" s="119"/>
      <c r="E78" s="120"/>
    </row>
    <row r="79" spans="1:14" ht="18.75" customHeight="1" x14ac:dyDescent="0.25">
      <c r="A79" s="103" t="s">
        <v>645</v>
      </c>
      <c r="B79" s="103"/>
      <c r="C79" s="103"/>
      <c r="D79" s="103"/>
      <c r="E79" s="117"/>
    </row>
    <row r="80" spans="1:14" ht="30.75" customHeight="1" x14ac:dyDescent="0.25">
      <c r="A80" s="121" t="s">
        <v>646</v>
      </c>
      <c r="B80" s="27">
        <v>0</v>
      </c>
      <c r="C80" s="121" t="s">
        <v>647</v>
      </c>
      <c r="D80" s="121" t="s">
        <v>651</v>
      </c>
      <c r="E80" s="122" t="s">
        <v>648</v>
      </c>
    </row>
    <row r="81" spans="1:5" ht="15.75" customHeight="1" x14ac:dyDescent="0.25">
      <c r="A81" s="103" t="s">
        <v>382</v>
      </c>
      <c r="B81" s="103"/>
      <c r="C81" s="103"/>
      <c r="D81" s="103"/>
      <c r="E81" s="117"/>
    </row>
    <row r="82" spans="1:5" ht="30" customHeight="1" x14ac:dyDescent="0.25">
      <c r="A82" s="718" t="s">
        <v>150</v>
      </c>
      <c r="B82" s="201">
        <f>B60*1000*B77</f>
        <v>70904232.146596864</v>
      </c>
      <c r="C82" s="112" t="s">
        <v>385</v>
      </c>
      <c r="D82" s="65"/>
      <c r="E82" s="232"/>
    </row>
    <row r="83" spans="1:5" ht="32.25" customHeight="1" x14ac:dyDescent="0.25">
      <c r="A83" s="719"/>
      <c r="B83" s="196">
        <f>B82/B104</f>
        <v>96.733631000000017</v>
      </c>
      <c r="C83" s="112" t="s">
        <v>636</v>
      </c>
      <c r="D83" s="65"/>
      <c r="E83" s="232"/>
    </row>
    <row r="84" spans="1:5" ht="15" customHeight="1" x14ac:dyDescent="0.25">
      <c r="A84" s="206" t="s">
        <v>251</v>
      </c>
      <c r="B84" s="206"/>
      <c r="C84" s="206"/>
      <c r="D84" s="206"/>
      <c r="E84" s="240"/>
    </row>
    <row r="85" spans="1:5" ht="19.5" customHeight="1" x14ac:dyDescent="0.25">
      <c r="A85" s="198" t="s">
        <v>94</v>
      </c>
      <c r="B85" s="199"/>
      <c r="C85" s="199"/>
      <c r="D85" s="192"/>
      <c r="E85" s="241"/>
    </row>
    <row r="86" spans="1:5" ht="33.75" customHeight="1" x14ac:dyDescent="0.25">
      <c r="A86" s="62" t="s">
        <v>267</v>
      </c>
      <c r="B86" s="191">
        <f>B44*(B8/100)</f>
        <v>4450506.8809399651</v>
      </c>
      <c r="C86" s="62" t="s">
        <v>261</v>
      </c>
      <c r="D86" s="65"/>
      <c r="E86" s="232"/>
    </row>
    <row r="87" spans="1:5" ht="33" customHeight="1" x14ac:dyDescent="0.25">
      <c r="A87" s="179" t="s">
        <v>260</v>
      </c>
      <c r="B87" s="203">
        <f>B65*(B8/100)</f>
        <v>0</v>
      </c>
      <c r="C87" s="179" t="s">
        <v>261</v>
      </c>
      <c r="D87" s="65"/>
      <c r="E87" s="232"/>
    </row>
    <row r="88" spans="1:5" ht="17.25" customHeight="1" x14ac:dyDescent="0.25">
      <c r="A88" s="198" t="s">
        <v>317</v>
      </c>
      <c r="B88" s="200"/>
      <c r="C88" s="199"/>
      <c r="D88" s="192"/>
      <c r="E88" s="241"/>
    </row>
    <row r="89" spans="1:5" ht="26.25" customHeight="1" x14ac:dyDescent="0.25">
      <c r="A89" s="62" t="s">
        <v>339</v>
      </c>
      <c r="B89" s="191">
        <f>B55</f>
        <v>1382400</v>
      </c>
      <c r="C89" s="62" t="s">
        <v>261</v>
      </c>
      <c r="D89" s="65"/>
      <c r="E89" s="232"/>
    </row>
    <row r="90" spans="1:5" ht="26.25" customHeight="1" x14ac:dyDescent="0.25">
      <c r="A90" s="62" t="s">
        <v>340</v>
      </c>
      <c r="B90" s="191">
        <f>B46</f>
        <v>355434</v>
      </c>
      <c r="C90" s="62" t="s">
        <v>261</v>
      </c>
      <c r="D90" s="65"/>
      <c r="E90" s="232"/>
    </row>
    <row r="91" spans="1:5" ht="26.25" customHeight="1" x14ac:dyDescent="0.25">
      <c r="A91" s="62" t="s">
        <v>341</v>
      </c>
      <c r="B91" s="191">
        <f>B47</f>
        <v>375625.02202643169</v>
      </c>
      <c r="C91" s="62" t="s">
        <v>261</v>
      </c>
      <c r="D91" s="65"/>
      <c r="E91" s="232"/>
    </row>
    <row r="92" spans="1:5" ht="26.25" customHeight="1" x14ac:dyDescent="0.25">
      <c r="A92" s="62" t="s">
        <v>342</v>
      </c>
      <c r="B92" s="191">
        <f>B48</f>
        <v>384951</v>
      </c>
      <c r="C92" s="62" t="s">
        <v>261</v>
      </c>
      <c r="D92" s="65"/>
      <c r="E92" s="232"/>
    </row>
    <row r="93" spans="1:5" ht="26.25" customHeight="1" x14ac:dyDescent="0.25">
      <c r="A93" s="62" t="s">
        <v>343</v>
      </c>
      <c r="B93" s="191">
        <f>B49</f>
        <v>330836</v>
      </c>
      <c r="C93" s="62" t="s">
        <v>261</v>
      </c>
      <c r="D93" s="65"/>
      <c r="E93" s="232"/>
    </row>
    <row r="94" spans="1:5" ht="27.75" customHeight="1" x14ac:dyDescent="0.25">
      <c r="A94" s="62" t="s">
        <v>344</v>
      </c>
      <c r="B94" s="191">
        <f>B50</f>
        <v>588666.0792951542</v>
      </c>
      <c r="C94" s="62" t="s">
        <v>261</v>
      </c>
      <c r="D94" s="65"/>
      <c r="E94" s="232"/>
    </row>
    <row r="95" spans="1:5" ht="28.5" customHeight="1" x14ac:dyDescent="0.25">
      <c r="A95" s="62" t="s">
        <v>268</v>
      </c>
      <c r="B95" s="207">
        <f>(B76+B75)*2*B71</f>
        <v>4886561.9546247814</v>
      </c>
      <c r="C95" s="62" t="s">
        <v>261</v>
      </c>
      <c r="D95" s="65"/>
      <c r="E95" s="232"/>
    </row>
    <row r="96" spans="1:5" ht="28.5" customHeight="1" x14ac:dyDescent="0.25">
      <c r="A96" s="247" t="s">
        <v>361</v>
      </c>
      <c r="B96" s="207">
        <f>B27*2*B71</f>
        <v>186801.04712041884</v>
      </c>
      <c r="C96" s="62" t="s">
        <v>261</v>
      </c>
      <c r="D96" s="65"/>
      <c r="E96" s="232"/>
    </row>
    <row r="97" spans="1:7" ht="27.75" customHeight="1" x14ac:dyDescent="0.25">
      <c r="A97" s="257" t="s">
        <v>362</v>
      </c>
      <c r="B97" s="207">
        <f>B28*B35*2*B71</f>
        <v>513089.00523560203</v>
      </c>
      <c r="C97" s="62" t="s">
        <v>261</v>
      </c>
      <c r="D97" s="65"/>
      <c r="E97" s="232"/>
    </row>
    <row r="98" spans="1:7" ht="18" customHeight="1" x14ac:dyDescent="0.25">
      <c r="A98" s="257" t="s">
        <v>363</v>
      </c>
      <c r="B98" s="207">
        <f>B29*B35*2*B71</f>
        <v>2726701.5706806281</v>
      </c>
      <c r="C98" s="62" t="s">
        <v>261</v>
      </c>
      <c r="D98" s="65"/>
      <c r="E98" s="232"/>
    </row>
    <row r="99" spans="1:7" ht="27" customHeight="1" x14ac:dyDescent="0.25">
      <c r="A99" s="247" t="s">
        <v>364</v>
      </c>
      <c r="B99" s="207">
        <f>B30*B26*24*2*B71</f>
        <v>153926.70157068063</v>
      </c>
      <c r="C99" s="62" t="s">
        <v>261</v>
      </c>
      <c r="D99" s="65"/>
      <c r="E99" s="232"/>
    </row>
    <row r="100" spans="1:7" ht="27.75" customHeight="1" x14ac:dyDescent="0.25">
      <c r="A100" s="179" t="s">
        <v>269</v>
      </c>
      <c r="B100" s="207">
        <f>'S1. Dry Bulk Shipping'!B66</f>
        <v>0</v>
      </c>
      <c r="C100" s="62" t="s">
        <v>261</v>
      </c>
      <c r="D100" s="65"/>
      <c r="E100" s="232"/>
    </row>
    <row r="101" spans="1:7" ht="27.75" customHeight="1" x14ac:dyDescent="0.25">
      <c r="A101" s="62" t="s">
        <v>270</v>
      </c>
      <c r="B101" s="201">
        <f>$B$77*'S1. Dry Bulk Shipping'!$B$63</f>
        <v>15465688.21989529</v>
      </c>
      <c r="C101" s="62" t="s">
        <v>261</v>
      </c>
      <c r="D101" s="65"/>
      <c r="E101" s="232"/>
    </row>
    <row r="102" spans="1:7" ht="29.25" customHeight="1" x14ac:dyDescent="0.25">
      <c r="A102" s="92" t="s">
        <v>649</v>
      </c>
      <c r="B102" s="109">
        <f>B80*B82/1000</f>
        <v>0</v>
      </c>
      <c r="C102" s="92" t="s">
        <v>261</v>
      </c>
      <c r="D102" s="92" t="s">
        <v>650</v>
      </c>
      <c r="E102" s="92"/>
    </row>
    <row r="103" spans="1:7" ht="17.25" customHeight="1" x14ac:dyDescent="0.25">
      <c r="A103" s="198" t="s">
        <v>97</v>
      </c>
      <c r="B103" s="192"/>
      <c r="C103" s="199"/>
      <c r="D103" s="192"/>
      <c r="E103" s="192"/>
    </row>
    <row r="104" spans="1:7" ht="31.5" customHeight="1" x14ac:dyDescent="0.25">
      <c r="A104" s="62" t="s">
        <v>97</v>
      </c>
      <c r="B104" s="207">
        <f>'S1. Dry Bulk Shipping'!$B$35*$B$71</f>
        <v>732984.29319371725</v>
      </c>
      <c r="C104" s="62" t="s">
        <v>605</v>
      </c>
      <c r="D104" s="65"/>
      <c r="E104" s="65"/>
    </row>
    <row r="105" spans="1:7" ht="18" customHeight="1" x14ac:dyDescent="0.25">
      <c r="A105" s="198" t="s">
        <v>495</v>
      </c>
      <c r="B105" s="192"/>
      <c r="C105" s="199"/>
      <c r="D105" s="192"/>
      <c r="E105" s="192"/>
    </row>
    <row r="106" spans="1:7" s="45" customFormat="1" ht="27.75" customHeight="1" x14ac:dyDescent="0.25">
      <c r="A106" s="62" t="s">
        <v>514</v>
      </c>
      <c r="B106" s="321">
        <f>IF(B57="Heavy Fuel Oil (HFO)",B77*1000,"Heavy Fuel Oil not used")</f>
        <v>23793366.4921466</v>
      </c>
      <c r="C106" s="62" t="s">
        <v>494</v>
      </c>
      <c r="D106" s="65"/>
      <c r="E106" s="65"/>
    </row>
    <row r="107" spans="1:7" ht="33" customHeight="1" x14ac:dyDescent="0.25">
      <c r="A107" s="62" t="s">
        <v>515</v>
      </c>
      <c r="B107" s="321" t="str">
        <f>IF(B57="Marine Gas Oil (MGO)",B77*1000,"Marine Gas Oil not used")</f>
        <v>Marine Gas Oil not used</v>
      </c>
      <c r="C107" s="62" t="s">
        <v>494</v>
      </c>
      <c r="D107" s="65"/>
      <c r="E107" s="65"/>
    </row>
    <row r="108" spans="1:7" ht="36.75" customHeight="1" x14ac:dyDescent="0.25">
      <c r="A108" s="274" t="s">
        <v>516</v>
      </c>
      <c r="B108" s="321" t="str">
        <f>IF(B57="Very Low Sulfur Fuel Oil (VLSFO)",B77*1000,"Very Low Sulfur Fuel Oil not used")</f>
        <v>Very Low Sulfur Fuel Oil not used</v>
      </c>
      <c r="C108" s="62" t="s">
        <v>494</v>
      </c>
      <c r="D108" s="65"/>
      <c r="E108" s="65"/>
      <c r="G108" s="594"/>
    </row>
    <row r="109" spans="1:7" ht="34.5" customHeight="1" x14ac:dyDescent="0.25">
      <c r="A109" s="62" t="s">
        <v>517</v>
      </c>
      <c r="B109" s="321" t="str">
        <f>IF(B57="Ammonia",B77*1000,"Ammonia not used")</f>
        <v>Ammonia not used</v>
      </c>
      <c r="C109" s="62" t="s">
        <v>494</v>
      </c>
      <c r="D109" s="65"/>
      <c r="E109" s="65"/>
    </row>
    <row r="110" spans="1:7" ht="34.5" customHeight="1" x14ac:dyDescent="0.25">
      <c r="A110" s="62" t="s">
        <v>518</v>
      </c>
      <c r="B110" s="321" t="str">
        <f>IF(B57="Methanol",B77*1000,"Methanol not used")</f>
        <v>Methanol not used</v>
      </c>
      <c r="C110" s="62" t="s">
        <v>494</v>
      </c>
      <c r="D110" s="65"/>
      <c r="E110" s="65"/>
    </row>
    <row r="111" spans="1:7" ht="31.5" customHeight="1" x14ac:dyDescent="0.25">
      <c r="A111" s="62" t="s">
        <v>637</v>
      </c>
      <c r="B111" s="245">
        <f>(B61*B72*1000)/B104</f>
        <v>364.27500000000003</v>
      </c>
      <c r="C111" s="153" t="s">
        <v>607</v>
      </c>
      <c r="D111" s="65"/>
      <c r="E111" s="65"/>
    </row>
    <row r="112" spans="1:7" ht="18.75" customHeight="1" x14ac:dyDescent="0.25">
      <c r="A112" s="103" t="s">
        <v>1166</v>
      </c>
      <c r="B112" s="103"/>
      <c r="C112" s="103"/>
      <c r="D112" s="103"/>
      <c r="E112" s="117"/>
    </row>
    <row r="113" spans="1:5" ht="31.5" customHeight="1" x14ac:dyDescent="0.25">
      <c r="A113" s="92" t="s">
        <v>531</v>
      </c>
      <c r="B113" s="72">
        <f>(B86+B87)/B104</f>
        <v>6.0717629589966666</v>
      </c>
      <c r="C113" s="62" t="s">
        <v>625</v>
      </c>
      <c r="D113" s="65"/>
      <c r="E113" s="65"/>
    </row>
    <row r="114" spans="1:5" ht="31.5" x14ac:dyDescent="0.25">
      <c r="A114" s="123" t="s">
        <v>541</v>
      </c>
      <c r="B114" s="72">
        <f>(B89+B90+B91+B92+B93+B94+B95+B96+B97+B98+B99+B100)/B104</f>
        <v>16.21452531918397</v>
      </c>
      <c r="C114" s="62" t="s">
        <v>625</v>
      </c>
      <c r="D114" s="65"/>
      <c r="E114" s="65"/>
    </row>
    <row r="115" spans="1:5" ht="30.75" customHeight="1" x14ac:dyDescent="0.25">
      <c r="A115" s="123" t="s">
        <v>535</v>
      </c>
      <c r="B115" s="72">
        <f>B101/B104</f>
        <v>21.099617500000004</v>
      </c>
      <c r="C115" s="62" t="s">
        <v>625</v>
      </c>
      <c r="D115" s="65"/>
      <c r="E115" s="65"/>
    </row>
    <row r="116" spans="1:5" ht="30.75" customHeight="1" x14ac:dyDescent="0.25">
      <c r="A116" s="123" t="s">
        <v>652</v>
      </c>
      <c r="B116" s="72">
        <f>B102/B104</f>
        <v>0</v>
      </c>
      <c r="C116" s="62" t="s">
        <v>625</v>
      </c>
      <c r="D116" s="123"/>
      <c r="E116" s="331"/>
    </row>
    <row r="117" spans="1:5" ht="28.5" customHeight="1" x14ac:dyDescent="0.25">
      <c r="A117" s="92" t="s">
        <v>538</v>
      </c>
      <c r="B117" s="329">
        <f>(SUM(B86:B87)+SUM(B89:B102))/B104</f>
        <v>43.385905778180636</v>
      </c>
      <c r="C117" s="330" t="s">
        <v>625</v>
      </c>
      <c r="D117" s="331"/>
      <c r="E117" s="331"/>
    </row>
    <row r="118" spans="1:5" ht="30" customHeight="1" x14ac:dyDescent="0.25">
      <c r="A118" s="92" t="s">
        <v>539</v>
      </c>
      <c r="B118" s="245">
        <f>B117/B5</f>
        <v>61.979865397400914</v>
      </c>
      <c r="C118" s="208" t="s">
        <v>626</v>
      </c>
      <c r="D118" s="65"/>
      <c r="E118" s="65"/>
    </row>
  </sheetData>
  <mergeCells count="9">
    <mergeCell ref="D13:D14"/>
    <mergeCell ref="A25:A26"/>
    <mergeCell ref="A82:A83"/>
    <mergeCell ref="M51:P54"/>
    <mergeCell ref="M32:P32"/>
    <mergeCell ref="M33:P41"/>
    <mergeCell ref="M42:P42"/>
    <mergeCell ref="M43:P43"/>
    <mergeCell ref="M50:P50"/>
  </mergeCells>
  <phoneticPr fontId="38" type="noConversion"/>
  <conditionalFormatting sqref="B39">
    <cfRule type="expression" dxfId="2" priority="2">
      <formula>$B$39="Cannot pass canal"</formula>
    </cfRule>
  </conditionalFormatting>
  <conditionalFormatting sqref="B41">
    <cfRule type="expression" dxfId="1" priority="1">
      <formula>$B$41="Cannot pass canal"</formula>
    </cfRule>
  </conditionalFormatting>
  <conditionalFormatting sqref="B18:C20">
    <cfRule type="expression" dxfId="0" priority="3">
      <formula>$B$13 ="Custom"</formula>
    </cfRule>
  </conditionalFormatting>
  <dataValidations count="2">
    <dataValidation type="list" allowBlank="1" showInputMessage="1" showErrorMessage="1" sqref="B34" xr:uid="{6DBE85EE-B032-47F9-BDC5-F22072DD0A9D}">
      <formula1>$H$33:$L$33</formula1>
    </dataValidation>
    <dataValidation type="list" allowBlank="1" showInputMessage="1" showErrorMessage="1" sqref="B57" xr:uid="{C80895F8-C769-1A4B-83C7-E3242F48C564}">
      <formula1>$H$59:$L$59</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101FD8-DAA7-4BB9-A8F9-B00281AEB0CA}">
          <x14:formula1>
            <xm:f>'A1. Ranges'!$B$4:$B$6</xm:f>
          </x14:formula1>
          <xm:sqref>B19:B20</xm:sqref>
        </x14:dataValidation>
        <x14:dataValidation type="list" allowBlank="1" showInputMessage="1" showErrorMessage="1" xr:uid="{BB76B81B-614C-4DD2-A3DF-3BF4DBFC184B}">
          <x14:formula1>
            <xm:f>'A1. Ranges'!#REF!</xm:f>
          </x14:formula1>
          <xm:sqref>C34</xm:sqref>
        </x14:dataValidation>
        <x14:dataValidation type="list" allowBlank="1" showInputMessage="1" showErrorMessage="1" xr:uid="{AB60E3AD-251E-B048-9C4D-043AA4AD4A9E}">
          <x14:formula1>
            <xm:f>'S3. Shipping Route Data'!$A$5:$A$15</xm:f>
          </x14:formula1>
          <xm:sqref>B13:C13</xm:sqref>
        </x14:dataValidation>
        <x14:dataValidation type="list" allowBlank="1" showInputMessage="1" showErrorMessage="1" xr:uid="{49AAFAD6-A4FB-5F44-83C0-9C67E604734B}">
          <x14:formula1>
            <xm:f>'S3. Shipping Route Data'!$B$4:$D$4</xm:f>
          </x14:formula1>
          <xm:sqref>B14:C14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93A1-D0CE-45DF-A71F-3DD1F08AAF3B}">
  <sheetPr>
    <tabColor rgb="FFFFC000"/>
  </sheetPr>
  <dimension ref="A1:R242"/>
  <sheetViews>
    <sheetView topLeftCell="A22" zoomScale="55" zoomScaleNormal="55" workbookViewId="0">
      <selection activeCell="E33" sqref="E33"/>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7" width="32.42578125" style="45" customWidth="1"/>
    <col min="8" max="8" width="16.7109375" style="45" customWidth="1"/>
    <col min="9" max="9" width="18.140625" style="45" customWidth="1"/>
    <col min="10" max="11" width="44.85546875" style="45" customWidth="1"/>
    <col min="12" max="13" width="37.5703125" style="45" customWidth="1"/>
    <col min="14" max="14" width="38.28515625" style="45" customWidth="1"/>
    <col min="15" max="15" width="17.140625" style="45" customWidth="1"/>
    <col min="16" max="16" width="14.140625" style="45" customWidth="1"/>
    <col min="17" max="18" width="16.42578125" style="45" customWidth="1"/>
    <col min="19" max="16384" width="9.140625" style="45"/>
  </cols>
  <sheetData>
    <row r="1" spans="1:18" ht="17.25" thickTop="1" thickBot="1" x14ac:dyDescent="0.3">
      <c r="A1" s="74" t="s">
        <v>156</v>
      </c>
      <c r="B1" s="75"/>
      <c r="C1" s="75"/>
      <c r="D1" s="75"/>
      <c r="E1" s="75"/>
    </row>
    <row r="2" spans="1:18" ht="17.25" thickTop="1" thickBot="1" x14ac:dyDescent="0.3">
      <c r="A2" s="46"/>
      <c r="B2" s="46"/>
      <c r="C2" s="46"/>
      <c r="D2" s="46"/>
      <c r="E2" s="46"/>
    </row>
    <row r="3" spans="1:18" x14ac:dyDescent="0.25">
      <c r="A3" s="53" t="s">
        <v>152</v>
      </c>
      <c r="B3" s="54" t="s">
        <v>41</v>
      </c>
      <c r="C3" s="54" t="s">
        <v>40</v>
      </c>
      <c r="D3" s="55" t="s">
        <v>42</v>
      </c>
      <c r="E3" s="56" t="s">
        <v>43</v>
      </c>
    </row>
    <row r="4" spans="1:18" ht="16.5" thickBot="1" x14ac:dyDescent="0.3">
      <c r="A4" s="209" t="s">
        <v>44</v>
      </c>
      <c r="B4" s="210"/>
      <c r="C4" s="210"/>
      <c r="D4" s="210"/>
      <c r="E4" s="211"/>
      <c r="H4" s="266"/>
      <c r="I4" s="266"/>
      <c r="J4" s="266"/>
      <c r="K4" s="266"/>
      <c r="L4" s="266"/>
      <c r="M4" s="266"/>
      <c r="N4" s="266"/>
      <c r="O4" s="266"/>
      <c r="P4" s="266"/>
      <c r="Q4" s="266"/>
      <c r="R4" s="266"/>
    </row>
    <row r="5" spans="1:18" ht="33.75" customHeight="1" x14ac:dyDescent="0.25">
      <c r="A5" s="212" t="s">
        <v>644</v>
      </c>
      <c r="B5" s="213">
        <f>0.7</f>
        <v>0.7</v>
      </c>
      <c r="C5" s="214" t="s">
        <v>45</v>
      </c>
      <c r="D5" s="215"/>
      <c r="E5" s="310">
        <f>0.7</f>
        <v>0.7</v>
      </c>
    </row>
    <row r="6" spans="1:18" ht="30.75" customHeight="1" x14ac:dyDescent="0.25">
      <c r="A6" s="144" t="s">
        <v>46</v>
      </c>
      <c r="B6" s="216">
        <v>7</v>
      </c>
      <c r="C6" s="146" t="s">
        <v>47</v>
      </c>
      <c r="D6" s="147" t="s">
        <v>48</v>
      </c>
      <c r="E6" s="309">
        <v>7</v>
      </c>
    </row>
    <row r="7" spans="1:18" ht="30" customHeight="1" x14ac:dyDescent="0.25">
      <c r="A7" s="193" t="s">
        <v>49</v>
      </c>
      <c r="B7" s="27">
        <v>30</v>
      </c>
      <c r="C7" s="179" t="s">
        <v>50</v>
      </c>
      <c r="D7" s="248"/>
      <c r="E7" s="238"/>
      <c r="H7" s="582"/>
    </row>
    <row r="8" spans="1:18" ht="33" customHeight="1" x14ac:dyDescent="0.25">
      <c r="A8" s="144" t="s">
        <v>52</v>
      </c>
      <c r="B8" s="575">
        <f>(($B$6/100)*(1+$B$6/100)^$B$7)/(((1+$B$6/100)^$B$7)-1)*100</f>
        <v>8.0586403511111193</v>
      </c>
      <c r="C8" s="62" t="s">
        <v>47</v>
      </c>
      <c r="D8" s="62" t="s">
        <v>53</v>
      </c>
      <c r="E8" s="578"/>
    </row>
    <row r="9" spans="1:18" ht="33" customHeight="1" thickBot="1" x14ac:dyDescent="0.3">
      <c r="A9" s="150" t="s">
        <v>1210</v>
      </c>
      <c r="B9" s="430">
        <v>100</v>
      </c>
      <c r="C9" s="151" t="s">
        <v>1211</v>
      </c>
      <c r="D9" s="576" t="s">
        <v>1212</v>
      </c>
      <c r="E9" s="577" t="s">
        <v>1281</v>
      </c>
      <c r="H9" s="582"/>
      <c r="I9" s="582"/>
      <c r="J9" s="582"/>
      <c r="K9" s="582"/>
      <c r="L9" s="582"/>
      <c r="M9" s="582"/>
      <c r="N9" s="582"/>
      <c r="O9" s="582"/>
      <c r="P9" s="582"/>
      <c r="Q9" s="582"/>
    </row>
    <row r="10" spans="1:18" ht="16.5" thickBot="1" x14ac:dyDescent="0.3">
      <c r="H10" s="582"/>
      <c r="I10" s="582"/>
      <c r="J10" s="582"/>
      <c r="K10" s="582"/>
      <c r="L10" s="582"/>
      <c r="M10" s="582"/>
      <c r="N10" s="582"/>
      <c r="O10" s="582"/>
      <c r="P10" s="582"/>
      <c r="Q10" s="582"/>
      <c r="R10" s="582"/>
    </row>
    <row r="11" spans="1:18" ht="16.5" thickBot="1" x14ac:dyDescent="0.3">
      <c r="A11" s="172" t="s">
        <v>181</v>
      </c>
      <c r="B11" s="89"/>
      <c r="C11" s="89"/>
      <c r="D11" s="89"/>
      <c r="E11" s="90"/>
    </row>
    <row r="12" spans="1:18" ht="29.25" customHeight="1" x14ac:dyDescent="0.25">
      <c r="A12" s="417" t="s">
        <v>690</v>
      </c>
      <c r="B12" s="216">
        <v>1000000</v>
      </c>
      <c r="C12" s="92" t="s">
        <v>605</v>
      </c>
      <c r="D12" s="92" t="s">
        <v>1040</v>
      </c>
      <c r="E12" s="93"/>
    </row>
    <row r="13" spans="1:18" ht="30" customHeight="1" thickBot="1" x14ac:dyDescent="0.3">
      <c r="A13" s="313" t="s">
        <v>498</v>
      </c>
      <c r="B13" s="96">
        <v>90</v>
      </c>
      <c r="C13" s="92" t="s">
        <v>47</v>
      </c>
      <c r="D13" s="92" t="s">
        <v>497</v>
      </c>
      <c r="E13" s="52"/>
    </row>
    <row r="14" spans="1:18" ht="16.5" thickBot="1" x14ac:dyDescent="0.3">
      <c r="A14" s="172" t="s">
        <v>691</v>
      </c>
      <c r="B14" s="440"/>
      <c r="C14" s="119"/>
      <c r="D14" s="119"/>
      <c r="E14" s="120"/>
    </row>
    <row r="15" spans="1:18" ht="21.75" customHeight="1" x14ac:dyDescent="0.25">
      <c r="A15" s="431" t="s">
        <v>740</v>
      </c>
      <c r="B15" s="432"/>
      <c r="C15" s="432"/>
      <c r="D15" s="432"/>
      <c r="E15" s="433"/>
      <c r="H15" s="582"/>
    </row>
    <row r="16" spans="1:18" ht="35.25" customHeight="1" x14ac:dyDescent="0.25">
      <c r="A16" s="685" t="s">
        <v>778</v>
      </c>
      <c r="B16" s="534" t="s">
        <v>658</v>
      </c>
      <c r="C16" s="50" t="s">
        <v>45</v>
      </c>
      <c r="D16" s="425" t="s">
        <v>739</v>
      </c>
      <c r="E16" s="394"/>
      <c r="H16" s="611"/>
      <c r="I16" s="611"/>
      <c r="J16" s="611"/>
      <c r="K16" s="611"/>
      <c r="L16" s="611"/>
      <c r="M16" s="611"/>
      <c r="N16" s="611"/>
      <c r="O16" s="611"/>
      <c r="P16" s="611"/>
      <c r="Q16" s="611"/>
    </row>
    <row r="17" spans="1:18" ht="33" customHeight="1" x14ac:dyDescent="0.25">
      <c r="A17" s="685"/>
      <c r="B17" s="364">
        <f>HLOOKUP(B16,H22:I31,4,FALSE)</f>
        <v>0.2</v>
      </c>
      <c r="C17" s="50" t="s">
        <v>787</v>
      </c>
      <c r="D17" s="469" t="s">
        <v>796</v>
      </c>
      <c r="E17" s="394" t="s">
        <v>798</v>
      </c>
    </row>
    <row r="18" spans="1:18" ht="32.25" customHeight="1" x14ac:dyDescent="0.25">
      <c r="A18" s="685"/>
      <c r="B18" s="483">
        <f>HLOOKUP(B16,H22:I31,5,FALSE)</f>
        <v>13.9</v>
      </c>
      <c r="C18" s="50" t="s">
        <v>797</v>
      </c>
      <c r="D18" s="469" t="s">
        <v>796</v>
      </c>
      <c r="E18" s="394" t="s">
        <v>798</v>
      </c>
      <c r="H18" s="582"/>
      <c r="I18" s="582"/>
      <c r="J18" s="582"/>
      <c r="K18" s="582"/>
      <c r="L18" s="582"/>
      <c r="M18" s="582"/>
      <c r="N18" s="582"/>
      <c r="O18" s="582"/>
      <c r="P18" s="582"/>
      <c r="Q18" s="582"/>
      <c r="R18" s="582"/>
    </row>
    <row r="19" spans="1:18" ht="32.25" customHeight="1" x14ac:dyDescent="0.25">
      <c r="A19" s="685"/>
      <c r="B19" s="481">
        <f>B18*1000*B17</f>
        <v>2780</v>
      </c>
      <c r="C19" s="50" t="s">
        <v>791</v>
      </c>
      <c r="D19" s="469" t="s">
        <v>796</v>
      </c>
      <c r="E19" s="394" t="s">
        <v>798</v>
      </c>
      <c r="H19" s="582"/>
      <c r="I19" s="582"/>
      <c r="J19" s="582"/>
      <c r="K19" s="582"/>
      <c r="L19" s="582"/>
      <c r="M19" s="582"/>
      <c r="N19" s="582"/>
      <c r="O19" s="582"/>
      <c r="P19" s="582"/>
      <c r="Q19" s="582"/>
      <c r="R19" s="582"/>
    </row>
    <row r="20" spans="1:18" ht="35.25" customHeight="1" x14ac:dyDescent="0.25">
      <c r="A20" s="459" t="s">
        <v>746</v>
      </c>
      <c r="B20" s="364">
        <f>HLOOKUP(B16,H22:I31,6,FALSE)</f>
        <v>3.0000000000000001E-3</v>
      </c>
      <c r="C20" s="419" t="s">
        <v>792</v>
      </c>
      <c r="D20" s="461" t="s">
        <v>747</v>
      </c>
      <c r="E20" s="394" t="s">
        <v>798</v>
      </c>
      <c r="H20" s="582"/>
      <c r="I20" s="582"/>
      <c r="J20" s="582"/>
      <c r="K20" s="582"/>
      <c r="L20" s="582"/>
      <c r="M20" s="582"/>
      <c r="N20" s="582"/>
      <c r="O20" s="582"/>
      <c r="P20" s="582"/>
      <c r="Q20" s="582"/>
    </row>
    <row r="21" spans="1:18" ht="33.75" customHeight="1" x14ac:dyDescent="0.25">
      <c r="A21" s="456" t="s">
        <v>377</v>
      </c>
      <c r="B21" s="430">
        <v>70</v>
      </c>
      <c r="C21" s="50" t="s">
        <v>791</v>
      </c>
      <c r="D21" s="425" t="s">
        <v>741</v>
      </c>
      <c r="E21" s="435" t="s">
        <v>799</v>
      </c>
      <c r="G21" s="705" t="s">
        <v>780</v>
      </c>
      <c r="H21" s="706"/>
      <c r="I21" s="706"/>
      <c r="J21" s="706" t="s">
        <v>427</v>
      </c>
      <c r="K21" s="706"/>
    </row>
    <row r="22" spans="1:18" ht="33.75" customHeight="1" x14ac:dyDescent="0.25">
      <c r="A22" s="741" t="s">
        <v>776</v>
      </c>
      <c r="B22" s="430">
        <v>67</v>
      </c>
      <c r="C22" s="50" t="s">
        <v>693</v>
      </c>
      <c r="D22" s="425" t="s">
        <v>743</v>
      </c>
      <c r="E22" s="435" t="s">
        <v>744</v>
      </c>
      <c r="G22" s="218" t="s">
        <v>390</v>
      </c>
      <c r="H22" s="218" t="s">
        <v>658</v>
      </c>
      <c r="I22" s="124" t="s">
        <v>659</v>
      </c>
      <c r="J22" s="124" t="s">
        <v>662</v>
      </c>
      <c r="K22" s="124" t="s">
        <v>462</v>
      </c>
    </row>
    <row r="23" spans="1:18" ht="27.75" customHeight="1" x14ac:dyDescent="0.25">
      <c r="A23" s="742"/>
      <c r="B23" s="441">
        <v>95</v>
      </c>
      <c r="C23" s="50" t="s">
        <v>693</v>
      </c>
      <c r="D23" s="470" t="s">
        <v>777</v>
      </c>
      <c r="E23" s="435"/>
      <c r="G23" s="124" t="s">
        <v>407</v>
      </c>
      <c r="H23" s="363">
        <v>0.03</v>
      </c>
      <c r="I23" s="363">
        <v>0.186</v>
      </c>
      <c r="J23" s="124" t="s">
        <v>801</v>
      </c>
      <c r="K23" s="93" t="s">
        <v>464</v>
      </c>
    </row>
    <row r="24" spans="1:18" ht="29.25" customHeight="1" x14ac:dyDescent="0.25">
      <c r="A24" s="743"/>
      <c r="B24" s="457">
        <f>(((B23/100)*B26)/(B22/100))/B26</f>
        <v>1.4179104477611939</v>
      </c>
      <c r="C24" s="394" t="s">
        <v>795</v>
      </c>
      <c r="D24" s="458" t="s">
        <v>745</v>
      </c>
      <c r="E24" s="482"/>
      <c r="G24" s="99" t="s">
        <v>408</v>
      </c>
      <c r="H24" s="363">
        <v>0.186</v>
      </c>
      <c r="I24" s="304">
        <v>0</v>
      </c>
      <c r="J24" s="124" t="s">
        <v>664</v>
      </c>
      <c r="K24" s="99" t="s">
        <v>800</v>
      </c>
    </row>
    <row r="25" spans="1:18" ht="26.25" customHeight="1" x14ac:dyDescent="0.25">
      <c r="A25" s="744" t="s">
        <v>692</v>
      </c>
      <c r="B25" s="744"/>
      <c r="C25" s="744"/>
      <c r="D25" s="744"/>
      <c r="E25" s="744"/>
      <c r="G25" s="99" t="s">
        <v>786</v>
      </c>
      <c r="H25" s="401">
        <v>0.2</v>
      </c>
      <c r="I25" s="476">
        <v>6.2E-2</v>
      </c>
      <c r="J25" s="589" t="s">
        <v>1291</v>
      </c>
      <c r="K25" s="437" t="s">
        <v>1292</v>
      </c>
    </row>
    <row r="26" spans="1:18" ht="33" customHeight="1" x14ac:dyDescent="0.25">
      <c r="A26" s="463" t="s">
        <v>748</v>
      </c>
      <c r="B26" s="464">
        <f>B12</f>
        <v>1000000</v>
      </c>
      <c r="C26" s="218" t="s">
        <v>605</v>
      </c>
      <c r="D26" s="421" t="s">
        <v>695</v>
      </c>
      <c r="E26" s="394"/>
      <c r="G26" s="124" t="s">
        <v>788</v>
      </c>
      <c r="H26" s="297">
        <v>13.9</v>
      </c>
      <c r="I26" s="297">
        <v>33.299999999999997</v>
      </c>
      <c r="J26" s="93" t="s">
        <v>789</v>
      </c>
      <c r="K26" s="93" t="s">
        <v>790</v>
      </c>
    </row>
    <row r="27" spans="1:18" ht="32.25" customHeight="1" x14ac:dyDescent="0.25">
      <c r="A27" s="745" t="s">
        <v>696</v>
      </c>
      <c r="B27" s="442">
        <v>0.65380000000000005</v>
      </c>
      <c r="C27" s="50" t="s">
        <v>161</v>
      </c>
      <c r="D27" s="423" t="s">
        <v>697</v>
      </c>
      <c r="E27" s="748" t="s">
        <v>698</v>
      </c>
      <c r="G27" s="124" t="s">
        <v>784</v>
      </c>
      <c r="H27" s="355">
        <v>3.0000000000000001E-3</v>
      </c>
      <c r="I27" s="477">
        <v>5.5E-2</v>
      </c>
      <c r="J27" s="435" t="s">
        <v>794</v>
      </c>
      <c r="K27" s="394" t="s">
        <v>1293</v>
      </c>
    </row>
    <row r="28" spans="1:18" ht="26.25" customHeight="1" x14ac:dyDescent="0.25">
      <c r="A28" s="746"/>
      <c r="B28" s="443">
        <v>8.76</v>
      </c>
      <c r="C28" s="50" t="s">
        <v>605</v>
      </c>
      <c r="D28" s="425" t="s">
        <v>699</v>
      </c>
      <c r="E28" s="748"/>
      <c r="G28" s="124" t="s">
        <v>779</v>
      </c>
      <c r="H28" s="444">
        <v>0.71</v>
      </c>
      <c r="I28" s="478">
        <v>0.25</v>
      </c>
      <c r="J28" s="52"/>
      <c r="K28" s="52"/>
    </row>
    <row r="29" spans="1:18" ht="28.5" customHeight="1" x14ac:dyDescent="0.25">
      <c r="A29" s="746"/>
      <c r="B29" s="426">
        <v>47841</v>
      </c>
      <c r="C29" s="50" t="s">
        <v>165</v>
      </c>
      <c r="D29" s="425" t="s">
        <v>700</v>
      </c>
      <c r="E29" s="748"/>
      <c r="G29" s="124" t="s">
        <v>781</v>
      </c>
      <c r="H29" s="442">
        <v>0.65049999999999997</v>
      </c>
      <c r="I29" s="479">
        <v>0.78480000000000005</v>
      </c>
      <c r="J29" s="218" t="s">
        <v>698</v>
      </c>
      <c r="K29" s="218" t="s">
        <v>698</v>
      </c>
    </row>
    <row r="30" spans="1:18" ht="28.5" customHeight="1" x14ac:dyDescent="0.25">
      <c r="A30" s="747"/>
      <c r="B30" s="125">
        <f>B29*((B12/B28)^B27)*B9/100</f>
        <v>96915014.335223392</v>
      </c>
      <c r="C30" s="50" t="s">
        <v>165</v>
      </c>
      <c r="D30" s="425" t="s">
        <v>1280</v>
      </c>
      <c r="E30" s="50"/>
      <c r="G30" s="124" t="s">
        <v>782</v>
      </c>
      <c r="H30" s="446">
        <v>1</v>
      </c>
      <c r="I30" s="410">
        <v>1</v>
      </c>
      <c r="J30" s="218" t="s">
        <v>698</v>
      </c>
      <c r="K30" s="218" t="s">
        <v>698</v>
      </c>
    </row>
    <row r="31" spans="1:18" ht="31.5" x14ac:dyDescent="0.25">
      <c r="A31" s="422" t="s">
        <v>162</v>
      </c>
      <c r="B31" s="441">
        <v>1.5</v>
      </c>
      <c r="C31" s="50" t="s">
        <v>701</v>
      </c>
      <c r="D31" s="425" t="s">
        <v>162</v>
      </c>
      <c r="E31" s="394" t="s">
        <v>702</v>
      </c>
      <c r="G31" s="124" t="s">
        <v>783</v>
      </c>
      <c r="H31" s="96">
        <v>4806408</v>
      </c>
      <c r="I31" s="369">
        <v>223082</v>
      </c>
      <c r="J31" s="218" t="s">
        <v>698</v>
      </c>
      <c r="K31" s="218" t="s">
        <v>698</v>
      </c>
    </row>
    <row r="32" spans="1:18" ht="32.25" customHeight="1" x14ac:dyDescent="0.25">
      <c r="A32" s="744" t="s">
        <v>785</v>
      </c>
      <c r="B32" s="744"/>
      <c r="C32" s="744"/>
      <c r="D32" s="744"/>
      <c r="E32" s="744"/>
      <c r="G32" s="218" t="s">
        <v>927</v>
      </c>
      <c r="H32" s="297">
        <v>2</v>
      </c>
      <c r="I32" s="297">
        <v>0</v>
      </c>
      <c r="J32" s="218" t="s">
        <v>931</v>
      </c>
      <c r="K32" s="218" t="s">
        <v>932</v>
      </c>
    </row>
    <row r="33" spans="1:18" ht="33" customHeight="1" x14ac:dyDescent="0.25">
      <c r="A33" s="740" t="s">
        <v>704</v>
      </c>
      <c r="B33" s="484">
        <f>HLOOKUP(B16,H22:I31,7,FALSE)</f>
        <v>0.71</v>
      </c>
      <c r="C33" s="50" t="s">
        <v>793</v>
      </c>
      <c r="D33" s="423" t="s">
        <v>706</v>
      </c>
      <c r="E33" s="394" t="s">
        <v>1290</v>
      </c>
    </row>
    <row r="34" spans="1:18" ht="30.75" x14ac:dyDescent="0.25">
      <c r="A34" s="740"/>
      <c r="B34" s="445">
        <f>(B26/(365*24))*B33</f>
        <v>81.050228310502277</v>
      </c>
      <c r="C34" s="50" t="s">
        <v>79</v>
      </c>
      <c r="D34" s="423" t="s">
        <v>707</v>
      </c>
      <c r="E34" s="469"/>
      <c r="H34" s="582"/>
      <c r="I34" s="582"/>
      <c r="J34" s="582"/>
      <c r="K34" s="582"/>
      <c r="L34" s="582"/>
      <c r="M34" s="582"/>
      <c r="N34" s="582"/>
      <c r="O34" s="582"/>
      <c r="P34" s="582"/>
      <c r="Q34" s="582"/>
      <c r="R34" s="582"/>
    </row>
    <row r="35" spans="1:18" ht="30" customHeight="1" x14ac:dyDescent="0.25">
      <c r="A35" s="745" t="s">
        <v>94</v>
      </c>
      <c r="B35" s="485">
        <f>HLOOKUP(B16,H22:I31,8,FALSE)</f>
        <v>0.65049999999999997</v>
      </c>
      <c r="C35" s="50" t="s">
        <v>161</v>
      </c>
      <c r="D35" s="423" t="s">
        <v>697</v>
      </c>
      <c r="E35" s="425"/>
    </row>
    <row r="36" spans="1:18" ht="30.75" customHeight="1" x14ac:dyDescent="0.25">
      <c r="A36" s="746"/>
      <c r="B36" s="373">
        <f>HLOOKUP(B16,H22:I31,9,FALSE)</f>
        <v>1</v>
      </c>
      <c r="C36" s="50" t="s">
        <v>79</v>
      </c>
      <c r="D36" s="425" t="s">
        <v>708</v>
      </c>
      <c r="E36" s="425"/>
    </row>
    <row r="37" spans="1:18" ht="28.5" customHeight="1" x14ac:dyDescent="0.25">
      <c r="A37" s="746"/>
      <c r="B37" s="125">
        <f>HLOOKUP(B16,H22:I31,10,FALSE)</f>
        <v>4806408</v>
      </c>
      <c r="C37" s="50" t="s">
        <v>165</v>
      </c>
      <c r="D37" s="425" t="s">
        <v>700</v>
      </c>
      <c r="E37" s="425"/>
    </row>
    <row r="38" spans="1:18" ht="28.5" customHeight="1" x14ac:dyDescent="0.25">
      <c r="A38" s="747"/>
      <c r="B38" s="125">
        <f>B37*((B34/B36)^B35)*B9/100</f>
        <v>83842702.530382246</v>
      </c>
      <c r="C38" s="50" t="s">
        <v>165</v>
      </c>
      <c r="D38" s="425" t="s">
        <v>1280</v>
      </c>
      <c r="E38" s="50"/>
    </row>
    <row r="39" spans="1:18" ht="30" x14ac:dyDescent="0.25">
      <c r="A39" s="422" t="s">
        <v>162</v>
      </c>
      <c r="B39" s="441">
        <v>1.5</v>
      </c>
      <c r="C39" s="50" t="s">
        <v>701</v>
      </c>
      <c r="D39" s="425" t="s">
        <v>162</v>
      </c>
      <c r="E39" s="394" t="s">
        <v>702</v>
      </c>
    </row>
    <row r="40" spans="1:18" ht="19.5" customHeight="1" x14ac:dyDescent="0.25">
      <c r="A40" s="744" t="s">
        <v>709</v>
      </c>
      <c r="B40" s="744"/>
      <c r="C40" s="744"/>
      <c r="D40" s="744"/>
      <c r="E40" s="744"/>
    </row>
    <row r="41" spans="1:18" ht="33.75" customHeight="1" x14ac:dyDescent="0.25">
      <c r="A41" s="740" t="s">
        <v>710</v>
      </c>
      <c r="B41" s="350">
        <v>2.3E-2</v>
      </c>
      <c r="C41" s="50" t="s">
        <v>705</v>
      </c>
      <c r="D41" s="423" t="s">
        <v>711</v>
      </c>
      <c r="E41" s="736" t="s">
        <v>1294</v>
      </c>
    </row>
    <row r="42" spans="1:18" ht="30.75" x14ac:dyDescent="0.25">
      <c r="A42" s="740"/>
      <c r="B42" s="447">
        <f>(B26/(365*24))*B41</f>
        <v>2.6255707762557079</v>
      </c>
      <c r="C42" s="50" t="s">
        <v>79</v>
      </c>
      <c r="D42" s="423" t="s">
        <v>707</v>
      </c>
      <c r="E42" s="736"/>
    </row>
    <row r="43" spans="1:18" ht="27.75" customHeight="1" x14ac:dyDescent="0.25">
      <c r="A43" s="745" t="s">
        <v>94</v>
      </c>
      <c r="B43" s="442">
        <v>0.71</v>
      </c>
      <c r="C43" s="50" t="s">
        <v>161</v>
      </c>
      <c r="D43" s="423" t="s">
        <v>697</v>
      </c>
      <c r="E43" s="748" t="s">
        <v>698</v>
      </c>
    </row>
    <row r="44" spans="1:18" ht="27.75" customHeight="1" x14ac:dyDescent="0.25">
      <c r="A44" s="746"/>
      <c r="B44" s="446">
        <v>1</v>
      </c>
      <c r="C44" s="50" t="s">
        <v>79</v>
      </c>
      <c r="D44" s="425" t="s">
        <v>708</v>
      </c>
      <c r="E44" s="748"/>
    </row>
    <row r="45" spans="1:18" ht="28.5" customHeight="1" x14ac:dyDescent="0.25">
      <c r="A45" s="746"/>
      <c r="B45" s="426">
        <v>5995914</v>
      </c>
      <c r="C45" s="50" t="s">
        <v>165</v>
      </c>
      <c r="D45" s="425" t="s">
        <v>700</v>
      </c>
      <c r="E45" s="748"/>
    </row>
    <row r="46" spans="1:18" ht="28.5" customHeight="1" x14ac:dyDescent="0.25">
      <c r="A46" s="747"/>
      <c r="B46" s="125">
        <f>B45*((B42/B44)^B43)*B9/100</f>
        <v>11898829.548826598</v>
      </c>
      <c r="C46" s="50" t="s">
        <v>165</v>
      </c>
      <c r="D46" s="425" t="s">
        <v>1280</v>
      </c>
      <c r="E46" s="50"/>
    </row>
    <row r="47" spans="1:18" ht="30" x14ac:dyDescent="0.25">
      <c r="A47" s="422" t="s">
        <v>162</v>
      </c>
      <c r="B47" s="441">
        <v>1.5</v>
      </c>
      <c r="C47" s="50" t="s">
        <v>701</v>
      </c>
      <c r="D47" s="425" t="s">
        <v>162</v>
      </c>
      <c r="E47" s="394" t="s">
        <v>702</v>
      </c>
    </row>
    <row r="48" spans="1:18" ht="19.5" customHeight="1" x14ac:dyDescent="0.25">
      <c r="A48" s="744" t="s">
        <v>713</v>
      </c>
      <c r="B48" s="744"/>
      <c r="C48" s="744"/>
      <c r="D48" s="744"/>
      <c r="E48" s="744"/>
    </row>
    <row r="49" spans="1:5" ht="30" x14ac:dyDescent="0.25">
      <c r="A49" s="749" t="s">
        <v>714</v>
      </c>
      <c r="B49" s="443">
        <v>1</v>
      </c>
      <c r="C49" s="50" t="s">
        <v>715</v>
      </c>
      <c r="D49" s="425" t="s">
        <v>716</v>
      </c>
      <c r="E49" s="435" t="s">
        <v>1289</v>
      </c>
    </row>
    <row r="50" spans="1:5" ht="29.25" customHeight="1" x14ac:dyDescent="0.25">
      <c r="A50" s="750"/>
      <c r="B50" s="465">
        <f>B49*B26</f>
        <v>1000000</v>
      </c>
      <c r="C50" s="50" t="s">
        <v>749</v>
      </c>
      <c r="D50" s="423" t="s">
        <v>707</v>
      </c>
      <c r="E50" s="435"/>
    </row>
    <row r="51" spans="1:5" ht="27.75" customHeight="1" x14ac:dyDescent="0.25">
      <c r="A51" s="745" t="s">
        <v>94</v>
      </c>
      <c r="B51" s="441">
        <v>0.63029999999999997</v>
      </c>
      <c r="C51" s="50" t="s">
        <v>161</v>
      </c>
      <c r="D51" s="423" t="s">
        <v>697</v>
      </c>
      <c r="E51" s="748" t="s">
        <v>698</v>
      </c>
    </row>
    <row r="52" spans="1:5" ht="26.25" customHeight="1" x14ac:dyDescent="0.25">
      <c r="A52" s="746"/>
      <c r="B52" s="448">
        <v>8760</v>
      </c>
      <c r="C52" s="50" t="s">
        <v>605</v>
      </c>
      <c r="D52" s="425" t="s">
        <v>717</v>
      </c>
      <c r="E52" s="748"/>
    </row>
    <row r="53" spans="1:5" ht="30" customHeight="1" x14ac:dyDescent="0.25">
      <c r="A53" s="746"/>
      <c r="B53" s="426">
        <v>59277</v>
      </c>
      <c r="C53" s="50" t="s">
        <v>165</v>
      </c>
      <c r="D53" s="425" t="s">
        <v>700</v>
      </c>
      <c r="E53" s="748"/>
    </row>
    <row r="54" spans="1:5" ht="30" customHeight="1" x14ac:dyDescent="0.25">
      <c r="A54" s="747"/>
      <c r="B54" s="125">
        <f>B53*((B50/B52)^B51)*B9/100</f>
        <v>1174156.2057907209</v>
      </c>
      <c r="C54" s="50" t="s">
        <v>165</v>
      </c>
      <c r="D54" s="425" t="s">
        <v>1280</v>
      </c>
      <c r="E54" s="50"/>
    </row>
    <row r="55" spans="1:5" ht="30" x14ac:dyDescent="0.25">
      <c r="A55" s="422" t="s">
        <v>162</v>
      </c>
      <c r="B55" s="449">
        <v>1.5</v>
      </c>
      <c r="C55" s="50" t="s">
        <v>701</v>
      </c>
      <c r="D55" s="425" t="s">
        <v>162</v>
      </c>
      <c r="E55" s="394" t="s">
        <v>702</v>
      </c>
    </row>
    <row r="56" spans="1:5" ht="33" customHeight="1" thickBot="1" x14ac:dyDescent="0.3">
      <c r="A56" s="450" t="s">
        <v>860</v>
      </c>
      <c r="B56" s="450"/>
      <c r="C56" s="450"/>
      <c r="D56" s="450"/>
      <c r="E56" s="450"/>
    </row>
    <row r="57" spans="1:5" ht="21" customHeight="1" x14ac:dyDescent="0.25">
      <c r="A57" s="431" t="s">
        <v>864</v>
      </c>
      <c r="B57" s="432"/>
      <c r="C57" s="432"/>
      <c r="D57" s="432"/>
      <c r="E57" s="433"/>
    </row>
    <row r="58" spans="1:5" ht="44.25" customHeight="1" x14ac:dyDescent="0.25">
      <c r="A58" s="474" t="s">
        <v>865</v>
      </c>
      <c r="B58" s="430">
        <v>380</v>
      </c>
      <c r="C58" s="50" t="s">
        <v>791</v>
      </c>
      <c r="D58" s="469" t="s">
        <v>887</v>
      </c>
      <c r="E58" s="462" t="s">
        <v>886</v>
      </c>
    </row>
    <row r="59" spans="1:5" ht="33.75" customHeight="1" x14ac:dyDescent="0.25">
      <c r="A59" s="474" t="s">
        <v>1264</v>
      </c>
      <c r="B59" s="430">
        <v>10</v>
      </c>
      <c r="C59" s="50" t="s">
        <v>791</v>
      </c>
      <c r="D59" s="469" t="s">
        <v>1265</v>
      </c>
      <c r="E59" s="429" t="s">
        <v>1266</v>
      </c>
    </row>
    <row r="60" spans="1:5" ht="34.5" customHeight="1" x14ac:dyDescent="0.25">
      <c r="A60" s="428" t="s">
        <v>877</v>
      </c>
      <c r="B60" s="424">
        <v>0.05</v>
      </c>
      <c r="C60" s="50" t="s">
        <v>884</v>
      </c>
      <c r="D60" s="425" t="s">
        <v>988</v>
      </c>
      <c r="E60" s="429" t="s">
        <v>883</v>
      </c>
    </row>
    <row r="61" spans="1:5" ht="35.25" customHeight="1" x14ac:dyDescent="0.25">
      <c r="A61" s="456" t="s">
        <v>880</v>
      </c>
      <c r="B61" s="368">
        <v>2.7E-2</v>
      </c>
      <c r="C61" s="50" t="s">
        <v>885</v>
      </c>
      <c r="D61" s="425" t="s">
        <v>881</v>
      </c>
      <c r="E61" s="429" t="s">
        <v>895</v>
      </c>
    </row>
    <row r="62" spans="1:5" ht="33" customHeight="1" x14ac:dyDescent="0.25">
      <c r="A62" s="500" t="s">
        <v>888</v>
      </c>
      <c r="B62" s="424">
        <v>0.2</v>
      </c>
      <c r="C62" s="50" t="s">
        <v>890</v>
      </c>
      <c r="D62" s="425" t="s">
        <v>889</v>
      </c>
      <c r="E62" s="429" t="s">
        <v>939</v>
      </c>
    </row>
    <row r="63" spans="1:5" ht="19.5" customHeight="1" x14ac:dyDescent="0.25">
      <c r="A63" s="744" t="s">
        <v>866</v>
      </c>
      <c r="B63" s="744"/>
      <c r="C63" s="744"/>
      <c r="D63" s="744"/>
      <c r="E63" s="744"/>
    </row>
    <row r="64" spans="1:5" ht="33" customHeight="1" x14ac:dyDescent="0.25">
      <c r="A64" s="454" t="s">
        <v>867</v>
      </c>
      <c r="B64" s="465">
        <f>B26</f>
        <v>1000000</v>
      </c>
      <c r="C64" s="50" t="s">
        <v>842</v>
      </c>
      <c r="D64" s="466" t="s">
        <v>707</v>
      </c>
      <c r="E64" s="435"/>
    </row>
    <row r="65" spans="1:5" ht="33" customHeight="1" x14ac:dyDescent="0.25">
      <c r="A65" s="745" t="s">
        <v>94</v>
      </c>
      <c r="B65" s="424">
        <v>0.8</v>
      </c>
      <c r="C65" s="50" t="s">
        <v>161</v>
      </c>
      <c r="D65" s="425" t="s">
        <v>697</v>
      </c>
      <c r="E65" s="498" t="s">
        <v>1261</v>
      </c>
    </row>
    <row r="66" spans="1:5" ht="30" customHeight="1" x14ac:dyDescent="0.25">
      <c r="A66" s="746"/>
      <c r="B66" s="603">
        <v>4920000</v>
      </c>
      <c r="C66" s="50" t="s">
        <v>842</v>
      </c>
      <c r="D66" s="425" t="s">
        <v>699</v>
      </c>
      <c r="E66" s="498" t="s">
        <v>1261</v>
      </c>
    </row>
    <row r="67" spans="1:5" ht="28.5" customHeight="1" x14ac:dyDescent="0.25">
      <c r="A67" s="746"/>
      <c r="B67" s="426">
        <v>575105392.15686274</v>
      </c>
      <c r="C67" s="50" t="s">
        <v>165</v>
      </c>
      <c r="D67" s="425" t="s">
        <v>700</v>
      </c>
      <c r="E67" s="498" t="s">
        <v>1261</v>
      </c>
    </row>
    <row r="68" spans="1:5" ht="28.5" customHeight="1" x14ac:dyDescent="0.25">
      <c r="A68" s="747"/>
      <c r="B68" s="125">
        <f>B67*((B64/B66)^B65)*B9/100</f>
        <v>160759022.69870147</v>
      </c>
      <c r="C68" s="50" t="s">
        <v>165</v>
      </c>
      <c r="D68" s="425" t="s">
        <v>1280</v>
      </c>
      <c r="E68" s="50"/>
    </row>
    <row r="69" spans="1:5" ht="29.25" customHeight="1" x14ac:dyDescent="0.25">
      <c r="A69" s="425" t="s">
        <v>719</v>
      </c>
      <c r="B69" s="499">
        <v>3</v>
      </c>
      <c r="C69" s="50" t="s">
        <v>701</v>
      </c>
      <c r="D69" s="425" t="s">
        <v>162</v>
      </c>
      <c r="E69" s="438" t="s">
        <v>876</v>
      </c>
    </row>
    <row r="70" spans="1:5" ht="22.5" customHeight="1" x14ac:dyDescent="0.25">
      <c r="A70" s="744" t="s">
        <v>1258</v>
      </c>
      <c r="B70" s="744"/>
      <c r="C70" s="744"/>
      <c r="D70" s="744"/>
      <c r="E70" s="744"/>
    </row>
    <row r="71" spans="1:5" ht="29.25" customHeight="1" x14ac:dyDescent="0.25">
      <c r="A71" s="454" t="s">
        <v>1259</v>
      </c>
      <c r="B71" s="465">
        <f>B26</f>
        <v>1000000</v>
      </c>
      <c r="C71" s="50" t="s">
        <v>842</v>
      </c>
      <c r="D71" s="466" t="s">
        <v>707</v>
      </c>
      <c r="E71" s="435"/>
    </row>
    <row r="72" spans="1:5" ht="29.25" customHeight="1" x14ac:dyDescent="0.25">
      <c r="A72" s="745" t="s">
        <v>94</v>
      </c>
      <c r="B72" s="424">
        <v>0.8</v>
      </c>
      <c r="C72" s="50" t="s">
        <v>161</v>
      </c>
      <c r="D72" s="425" t="s">
        <v>697</v>
      </c>
      <c r="E72" s="394" t="s">
        <v>1260</v>
      </c>
    </row>
    <row r="73" spans="1:5" ht="29.25" customHeight="1" x14ac:dyDescent="0.25">
      <c r="A73" s="746"/>
      <c r="B73" s="603">
        <v>4000000</v>
      </c>
      <c r="C73" s="50" t="s">
        <v>842</v>
      </c>
      <c r="D73" s="425" t="s">
        <v>699</v>
      </c>
      <c r="E73" s="394" t="s">
        <v>1260</v>
      </c>
    </row>
    <row r="74" spans="1:5" ht="29.25" customHeight="1" x14ac:dyDescent="0.25">
      <c r="A74" s="746"/>
      <c r="B74" s="426">
        <v>190077205.88235295</v>
      </c>
      <c r="C74" s="50" t="s">
        <v>165</v>
      </c>
      <c r="D74" s="425" t="s">
        <v>700</v>
      </c>
      <c r="E74" s="394" t="s">
        <v>1260</v>
      </c>
    </row>
    <row r="75" spans="1:5" ht="29.25" customHeight="1" x14ac:dyDescent="0.25">
      <c r="A75" s="747"/>
      <c r="B75" s="125">
        <f>B74*((B71/B73)^B72)*B9/100</f>
        <v>62702094.204843216</v>
      </c>
      <c r="C75" s="50" t="s">
        <v>165</v>
      </c>
      <c r="D75" s="425" t="s">
        <v>1280</v>
      </c>
      <c r="E75" s="50"/>
    </row>
    <row r="76" spans="1:5" ht="29.25" customHeight="1" x14ac:dyDescent="0.25">
      <c r="A76" s="425" t="s">
        <v>719</v>
      </c>
      <c r="B76" s="529">
        <v>8</v>
      </c>
      <c r="C76" s="50" t="s">
        <v>701</v>
      </c>
      <c r="D76" s="425" t="s">
        <v>162</v>
      </c>
      <c r="E76" s="394" t="s">
        <v>1260</v>
      </c>
    </row>
    <row r="77" spans="1:5" ht="30.75" customHeight="1" thickBot="1" x14ac:dyDescent="0.3">
      <c r="A77" s="450" t="s">
        <v>863</v>
      </c>
      <c r="B77" s="450"/>
      <c r="C77" s="450"/>
      <c r="D77" s="450"/>
      <c r="E77" s="450"/>
    </row>
    <row r="78" spans="1:5" ht="21" customHeight="1" x14ac:dyDescent="0.25">
      <c r="A78" s="431" t="s">
        <v>721</v>
      </c>
      <c r="B78" s="432"/>
      <c r="C78" s="432"/>
      <c r="D78" s="432"/>
      <c r="E78" s="433"/>
    </row>
    <row r="79" spans="1:5" ht="33.75" customHeight="1" x14ac:dyDescent="0.25">
      <c r="A79" s="456" t="s">
        <v>377</v>
      </c>
      <c r="B79" s="430">
        <v>385</v>
      </c>
      <c r="C79" s="50" t="s">
        <v>817</v>
      </c>
      <c r="D79" s="425" t="s">
        <v>754</v>
      </c>
      <c r="E79" s="462" t="s">
        <v>818</v>
      </c>
    </row>
    <row r="80" spans="1:5" ht="21" customHeight="1" x14ac:dyDescent="0.25">
      <c r="A80" s="744" t="s">
        <v>822</v>
      </c>
      <c r="B80" s="744"/>
      <c r="C80" s="744"/>
      <c r="D80" s="744"/>
      <c r="E80" s="744"/>
    </row>
    <row r="81" spans="1:5" ht="31.5" x14ac:dyDescent="0.25">
      <c r="A81" s="452" t="s">
        <v>722</v>
      </c>
      <c r="B81" s="439">
        <f>B20</f>
        <v>3.0000000000000001E-3</v>
      </c>
      <c r="C81" s="50" t="s">
        <v>792</v>
      </c>
      <c r="D81" s="314" t="s">
        <v>823</v>
      </c>
      <c r="E81" s="453"/>
    </row>
    <row r="82" spans="1:5" ht="30" customHeight="1" x14ac:dyDescent="0.25">
      <c r="A82" s="492" t="s">
        <v>821</v>
      </c>
      <c r="B82" s="202">
        <f>B81*B26</f>
        <v>3000</v>
      </c>
      <c r="C82" s="50" t="s">
        <v>723</v>
      </c>
      <c r="D82" s="314"/>
      <c r="E82" s="453"/>
    </row>
    <row r="83" spans="1:5" ht="30.75" customHeight="1" x14ac:dyDescent="0.25">
      <c r="A83" s="745" t="s">
        <v>94</v>
      </c>
      <c r="B83" s="442">
        <v>0.63570000000000004</v>
      </c>
      <c r="C83" s="50" t="s">
        <v>161</v>
      </c>
      <c r="D83" s="425" t="s">
        <v>697</v>
      </c>
      <c r="E83" s="736" t="s">
        <v>698</v>
      </c>
    </row>
    <row r="84" spans="1:5" ht="30.75" customHeight="1" x14ac:dyDescent="0.25">
      <c r="A84" s="746"/>
      <c r="B84" s="443">
        <v>8.76</v>
      </c>
      <c r="C84" s="50" t="s">
        <v>723</v>
      </c>
      <c r="D84" s="425" t="s">
        <v>699</v>
      </c>
      <c r="E84" s="736"/>
    </row>
    <row r="85" spans="1:5" ht="30" customHeight="1" x14ac:dyDescent="0.25">
      <c r="A85" s="746"/>
      <c r="B85" s="426">
        <v>29849</v>
      </c>
      <c r="C85" s="50" t="s">
        <v>165</v>
      </c>
      <c r="D85" s="425" t="s">
        <v>700</v>
      </c>
      <c r="E85" s="736"/>
    </row>
    <row r="86" spans="1:5" ht="30" customHeight="1" x14ac:dyDescent="0.25">
      <c r="A86" s="747"/>
      <c r="B86" s="125">
        <f>B85*((B82/B84)^B83)*B9/100</f>
        <v>1219511.5203825976</v>
      </c>
      <c r="C86" s="50" t="s">
        <v>165</v>
      </c>
      <c r="D86" s="425" t="s">
        <v>1280</v>
      </c>
      <c r="E86" s="394"/>
    </row>
    <row r="87" spans="1:5" ht="30" x14ac:dyDescent="0.25">
      <c r="A87" s="422" t="s">
        <v>162</v>
      </c>
      <c r="B87" s="449">
        <v>2.5</v>
      </c>
      <c r="C87" s="50" t="s">
        <v>701</v>
      </c>
      <c r="D87" s="425" t="s">
        <v>162</v>
      </c>
      <c r="E87" s="394" t="s">
        <v>724</v>
      </c>
    </row>
    <row r="88" spans="1:5" ht="22.5" customHeight="1" x14ac:dyDescent="0.25">
      <c r="A88" s="418" t="s">
        <v>875</v>
      </c>
      <c r="B88" s="418"/>
      <c r="C88" s="418"/>
      <c r="D88" s="418"/>
      <c r="E88" s="418"/>
    </row>
    <row r="89" spans="1:5" ht="45.75" customHeight="1" x14ac:dyDescent="0.25">
      <c r="A89" s="101" t="s">
        <v>1201</v>
      </c>
      <c r="B89" s="221">
        <v>12</v>
      </c>
      <c r="C89" s="101" t="s">
        <v>1030</v>
      </c>
      <c r="D89" s="524"/>
      <c r="E89" s="93" t="s">
        <v>1036</v>
      </c>
    </row>
    <row r="90" spans="1:5" ht="45.75" customHeight="1" x14ac:dyDescent="0.25">
      <c r="A90" s="101" t="s">
        <v>1027</v>
      </c>
      <c r="B90" s="27">
        <v>4.8</v>
      </c>
      <c r="C90" s="101" t="s">
        <v>1031</v>
      </c>
      <c r="D90" s="268" t="s">
        <v>1028</v>
      </c>
      <c r="E90" s="99" t="s">
        <v>1029</v>
      </c>
    </row>
    <row r="91" spans="1:5" ht="45.75" customHeight="1" x14ac:dyDescent="0.25">
      <c r="A91" s="112" t="s">
        <v>1020</v>
      </c>
      <c r="B91" s="523">
        <v>1920</v>
      </c>
      <c r="C91" s="112" t="s">
        <v>1021</v>
      </c>
      <c r="D91" s="524"/>
      <c r="E91" s="124" t="s">
        <v>1022</v>
      </c>
    </row>
    <row r="92" spans="1:5" ht="45.75" customHeight="1" x14ac:dyDescent="0.25">
      <c r="A92" s="112" t="s">
        <v>1024</v>
      </c>
      <c r="B92" s="616">
        <v>36</v>
      </c>
      <c r="C92" s="112" t="s">
        <v>1023</v>
      </c>
      <c r="D92" s="524"/>
      <c r="E92" s="93" t="s">
        <v>1025</v>
      </c>
    </row>
    <row r="93" spans="1:5" ht="40.5" customHeight="1" x14ac:dyDescent="0.25">
      <c r="A93" s="62" t="s">
        <v>802</v>
      </c>
      <c r="B93" s="227">
        <f>B89*B90*B91*B92</f>
        <v>3981311.9999999995</v>
      </c>
      <c r="C93" s="62" t="s">
        <v>261</v>
      </c>
      <c r="D93" s="524"/>
      <c r="E93" s="524"/>
    </row>
    <row r="94" spans="1:5" ht="25.5" customHeight="1" x14ac:dyDescent="0.25">
      <c r="A94" s="450" t="s">
        <v>725</v>
      </c>
      <c r="B94" s="450"/>
      <c r="C94" s="450"/>
      <c r="D94" s="450"/>
      <c r="E94" s="450"/>
    </row>
    <row r="95" spans="1:5" ht="27" customHeight="1" x14ac:dyDescent="0.25">
      <c r="A95" s="744" t="s">
        <v>726</v>
      </c>
      <c r="B95" s="744"/>
      <c r="C95" s="744"/>
      <c r="D95" s="744"/>
      <c r="E95" s="744"/>
    </row>
    <row r="96" spans="1:5" ht="27.75" customHeight="1" x14ac:dyDescent="0.25">
      <c r="A96" s="745" t="s">
        <v>94</v>
      </c>
      <c r="B96" s="442">
        <v>0.55840000000000001</v>
      </c>
      <c r="C96" s="50" t="s">
        <v>161</v>
      </c>
      <c r="D96" s="425" t="s">
        <v>697</v>
      </c>
      <c r="E96" s="736" t="s">
        <v>698</v>
      </c>
    </row>
    <row r="97" spans="1:5" ht="25.5" customHeight="1" x14ac:dyDescent="0.25">
      <c r="A97" s="746"/>
      <c r="B97" s="443">
        <v>8.76</v>
      </c>
      <c r="C97" s="50" t="s">
        <v>605</v>
      </c>
      <c r="D97" s="425" t="s">
        <v>750</v>
      </c>
      <c r="E97" s="736"/>
    </row>
    <row r="98" spans="1:5" ht="30" customHeight="1" x14ac:dyDescent="0.25">
      <c r="A98" s="746"/>
      <c r="B98" s="426">
        <v>68056</v>
      </c>
      <c r="C98" s="50" t="s">
        <v>165</v>
      </c>
      <c r="D98" s="425" t="s">
        <v>700</v>
      </c>
      <c r="E98" s="736"/>
    </row>
    <row r="99" spans="1:5" ht="30" customHeight="1" x14ac:dyDescent="0.25">
      <c r="A99" s="747"/>
      <c r="B99" s="125">
        <f>B98*((B12/B97)^B96)*B9/100</f>
        <v>45391248.35415218</v>
      </c>
      <c r="C99" s="50" t="s">
        <v>165</v>
      </c>
      <c r="D99" s="425" t="s">
        <v>1280</v>
      </c>
      <c r="E99" s="394"/>
    </row>
    <row r="100" spans="1:5" ht="21" customHeight="1" x14ac:dyDescent="0.25">
      <c r="A100" s="744" t="s">
        <v>727</v>
      </c>
      <c r="B100" s="744"/>
      <c r="C100" s="744"/>
      <c r="D100" s="744"/>
      <c r="E100" s="744"/>
    </row>
    <row r="101" spans="1:5" ht="25.5" customHeight="1" x14ac:dyDescent="0.25">
      <c r="A101" s="745" t="s">
        <v>94</v>
      </c>
      <c r="B101" s="442">
        <v>0.8</v>
      </c>
      <c r="C101" s="50" t="s">
        <v>161</v>
      </c>
      <c r="D101" s="425" t="s">
        <v>697</v>
      </c>
      <c r="E101" s="736" t="s">
        <v>698</v>
      </c>
    </row>
    <row r="102" spans="1:5" ht="26.25" customHeight="1" x14ac:dyDescent="0.25">
      <c r="A102" s="746"/>
      <c r="B102" s="443">
        <v>8.76</v>
      </c>
      <c r="C102" s="50" t="s">
        <v>605</v>
      </c>
      <c r="D102" s="425" t="s">
        <v>750</v>
      </c>
      <c r="E102" s="736"/>
    </row>
    <row r="103" spans="1:5" ht="27.75" customHeight="1" x14ac:dyDescent="0.25">
      <c r="A103" s="746"/>
      <c r="B103" s="426">
        <v>6160</v>
      </c>
      <c r="C103" s="50" t="s">
        <v>165</v>
      </c>
      <c r="D103" s="425" t="s">
        <v>700</v>
      </c>
      <c r="E103" s="736"/>
    </row>
    <row r="104" spans="1:5" ht="27.75" customHeight="1" x14ac:dyDescent="0.25">
      <c r="A104" s="747"/>
      <c r="B104" s="125">
        <f>B103*((B12/B102)^B101)*B9/100</f>
        <v>68482156.410435766</v>
      </c>
      <c r="C104" s="50" t="s">
        <v>165</v>
      </c>
      <c r="D104" s="425" t="s">
        <v>1280</v>
      </c>
      <c r="E104" s="394"/>
    </row>
    <row r="105" spans="1:5" x14ac:dyDescent="0.25">
      <c r="A105" s="744" t="s">
        <v>728</v>
      </c>
      <c r="B105" s="744"/>
      <c r="C105" s="744"/>
      <c r="D105" s="744"/>
      <c r="E105" s="744"/>
    </row>
    <row r="106" spans="1:5" ht="24.75" customHeight="1" x14ac:dyDescent="0.25">
      <c r="A106" s="745" t="s">
        <v>94</v>
      </c>
      <c r="B106" s="442">
        <v>0.55830000000000002</v>
      </c>
      <c r="C106" s="50" t="s">
        <v>161</v>
      </c>
      <c r="D106" s="425" t="s">
        <v>697</v>
      </c>
      <c r="E106" s="736" t="s">
        <v>698</v>
      </c>
    </row>
    <row r="107" spans="1:5" ht="24.75" customHeight="1" x14ac:dyDescent="0.25">
      <c r="A107" s="746"/>
      <c r="B107" s="443">
        <v>8.76</v>
      </c>
      <c r="C107" s="50" t="s">
        <v>605</v>
      </c>
      <c r="D107" s="425" t="s">
        <v>750</v>
      </c>
      <c r="E107" s="736"/>
    </row>
    <row r="108" spans="1:5" ht="25.5" customHeight="1" x14ac:dyDescent="0.25">
      <c r="A108" s="746"/>
      <c r="B108" s="426">
        <v>170142</v>
      </c>
      <c r="C108" s="50" t="s">
        <v>165</v>
      </c>
      <c r="D108" s="425" t="s">
        <v>700</v>
      </c>
      <c r="E108" s="736"/>
    </row>
    <row r="109" spans="1:5" ht="30" customHeight="1" x14ac:dyDescent="0.25">
      <c r="A109" s="747"/>
      <c r="B109" s="125">
        <f>B108*((B12/B107)^B106)*B9/100</f>
        <v>113347381.34453897</v>
      </c>
      <c r="C109" s="50" t="s">
        <v>165</v>
      </c>
      <c r="D109" s="112" t="s">
        <v>1280</v>
      </c>
      <c r="E109" s="113"/>
    </row>
    <row r="110" spans="1:5" x14ac:dyDescent="0.25">
      <c r="A110" s="103" t="s">
        <v>88</v>
      </c>
      <c r="B110" s="103"/>
      <c r="C110" s="103"/>
      <c r="D110" s="103"/>
      <c r="E110" s="117"/>
    </row>
    <row r="111" spans="1:5" ht="30.75" customHeight="1" x14ac:dyDescent="0.25">
      <c r="A111" s="92" t="s">
        <v>88</v>
      </c>
      <c r="B111" s="87">
        <v>0</v>
      </c>
      <c r="C111" s="218" t="s">
        <v>165</v>
      </c>
      <c r="D111" s="92" t="s">
        <v>259</v>
      </c>
      <c r="E111" s="92"/>
    </row>
    <row r="112" spans="1:5" ht="27.75" customHeight="1" x14ac:dyDescent="0.25">
      <c r="A112" s="450" t="s">
        <v>755</v>
      </c>
      <c r="B112" s="450"/>
      <c r="C112" s="450"/>
      <c r="D112" s="450"/>
      <c r="E112" s="450"/>
    </row>
    <row r="113" spans="1:5" ht="30.75" customHeight="1" x14ac:dyDescent="0.25">
      <c r="A113" s="434" t="s">
        <v>742</v>
      </c>
      <c r="B113" s="443">
        <v>0</v>
      </c>
      <c r="C113" s="50" t="s">
        <v>608</v>
      </c>
      <c r="D113" s="425" t="s">
        <v>810</v>
      </c>
      <c r="E113" s="394" t="s">
        <v>811</v>
      </c>
    </row>
    <row r="114" spans="1:5" ht="30.75" customHeight="1" x14ac:dyDescent="0.25">
      <c r="A114" s="417" t="s">
        <v>812</v>
      </c>
      <c r="B114" s="490">
        <f>HLOOKUP(B16,H22:I31,2,FALSE)</f>
        <v>0.03</v>
      </c>
      <c r="C114" s="50" t="s">
        <v>262</v>
      </c>
      <c r="D114" s="425"/>
      <c r="E114" s="491"/>
    </row>
    <row r="115" spans="1:5" ht="30.75" customHeight="1" x14ac:dyDescent="0.25">
      <c r="A115" s="452" t="s">
        <v>377</v>
      </c>
      <c r="B115" s="368">
        <v>8.3000000000000004E-2</v>
      </c>
      <c r="C115" s="50" t="s">
        <v>262</v>
      </c>
      <c r="D115" s="425" t="s">
        <v>756</v>
      </c>
      <c r="E115" s="394" t="s">
        <v>757</v>
      </c>
    </row>
    <row r="116" spans="1:5" ht="30.75" customHeight="1" x14ac:dyDescent="0.25">
      <c r="A116" s="313" t="s">
        <v>923</v>
      </c>
      <c r="B116" s="448">
        <v>80</v>
      </c>
      <c r="C116" s="50" t="s">
        <v>625</v>
      </c>
      <c r="D116" s="425"/>
      <c r="E116" s="429" t="s">
        <v>898</v>
      </c>
    </row>
    <row r="117" spans="1:5" ht="30.75" customHeight="1" x14ac:dyDescent="0.25">
      <c r="A117" s="313" t="s">
        <v>896</v>
      </c>
      <c r="B117" s="448">
        <v>170</v>
      </c>
      <c r="C117" s="50" t="s">
        <v>625</v>
      </c>
      <c r="D117" s="425"/>
      <c r="E117" s="429" t="s">
        <v>899</v>
      </c>
    </row>
    <row r="118" spans="1:5" ht="30.75" customHeight="1" x14ac:dyDescent="0.25">
      <c r="A118" s="313" t="s">
        <v>897</v>
      </c>
      <c r="B118" s="448">
        <v>30</v>
      </c>
      <c r="C118" s="50" t="s">
        <v>625</v>
      </c>
      <c r="D118" s="425" t="s">
        <v>901</v>
      </c>
      <c r="E118" s="462" t="s">
        <v>900</v>
      </c>
    </row>
    <row r="119" spans="1:5" ht="29.25" customHeight="1" x14ac:dyDescent="0.25">
      <c r="A119" s="450" t="s">
        <v>87</v>
      </c>
      <c r="B119" s="450"/>
      <c r="C119" s="450"/>
      <c r="D119" s="450"/>
      <c r="E119" s="450"/>
    </row>
    <row r="120" spans="1:5" ht="30.75" customHeight="1" x14ac:dyDescent="0.25">
      <c r="A120" s="425" t="s">
        <v>758</v>
      </c>
      <c r="B120" s="449">
        <v>0</v>
      </c>
      <c r="C120" s="50" t="s">
        <v>701</v>
      </c>
      <c r="D120" s="425" t="s">
        <v>759</v>
      </c>
      <c r="E120" s="50" t="s">
        <v>760</v>
      </c>
    </row>
    <row r="121" spans="1:5" ht="30.75" customHeight="1" x14ac:dyDescent="0.25">
      <c r="A121" s="425" t="s">
        <v>761</v>
      </c>
      <c r="B121" s="449">
        <v>0</v>
      </c>
      <c r="C121" s="50" t="s">
        <v>701</v>
      </c>
      <c r="D121" s="425" t="s">
        <v>762</v>
      </c>
      <c r="E121" s="50" t="s">
        <v>760</v>
      </c>
    </row>
    <row r="122" spans="1:5" ht="30.75" customHeight="1" x14ac:dyDescent="0.25">
      <c r="A122" s="425" t="s">
        <v>763</v>
      </c>
      <c r="B122" s="449">
        <v>0</v>
      </c>
      <c r="C122" s="50" t="s">
        <v>165</v>
      </c>
      <c r="D122" s="425" t="s">
        <v>764</v>
      </c>
      <c r="E122" s="50" t="s">
        <v>760</v>
      </c>
    </row>
    <row r="123" spans="1:5" ht="30.75" customHeight="1" x14ac:dyDescent="0.25">
      <c r="A123" s="425" t="s">
        <v>765</v>
      </c>
      <c r="B123" s="449">
        <v>0</v>
      </c>
      <c r="C123" s="50" t="s">
        <v>261</v>
      </c>
      <c r="D123" s="425" t="s">
        <v>766</v>
      </c>
      <c r="E123" s="50" t="s">
        <v>760</v>
      </c>
    </row>
    <row r="124" spans="1:5" ht="30.75" customHeight="1" x14ac:dyDescent="0.25">
      <c r="A124" s="92" t="s">
        <v>89</v>
      </c>
      <c r="B124" s="87">
        <v>0</v>
      </c>
      <c r="C124" s="218" t="s">
        <v>261</v>
      </c>
      <c r="D124" s="92" t="s">
        <v>259</v>
      </c>
      <c r="E124" s="92"/>
    </row>
    <row r="125" spans="1:5" ht="27" customHeight="1" x14ac:dyDescent="0.25">
      <c r="A125" s="118" t="s">
        <v>366</v>
      </c>
      <c r="B125" s="119"/>
      <c r="C125" s="119"/>
      <c r="D125" s="119"/>
      <c r="E125" s="120"/>
    </row>
    <row r="126" spans="1:5" x14ac:dyDescent="0.25">
      <c r="A126" s="103" t="s">
        <v>645</v>
      </c>
      <c r="B126" s="103"/>
      <c r="C126" s="103"/>
      <c r="D126" s="103"/>
      <c r="E126" s="117"/>
    </row>
    <row r="127" spans="1:5" ht="34.5" customHeight="1" x14ac:dyDescent="0.25">
      <c r="A127" s="121" t="s">
        <v>646</v>
      </c>
      <c r="B127" s="27">
        <v>0</v>
      </c>
      <c r="C127" s="121" t="s">
        <v>647</v>
      </c>
      <c r="D127" s="121" t="s">
        <v>651</v>
      </c>
      <c r="E127" s="126" t="s">
        <v>648</v>
      </c>
    </row>
    <row r="128" spans="1:5" ht="17.25" customHeight="1" x14ac:dyDescent="0.25">
      <c r="A128" s="103" t="s">
        <v>772</v>
      </c>
      <c r="B128" s="103"/>
      <c r="C128" s="103"/>
      <c r="D128" s="103"/>
      <c r="E128" s="117"/>
    </row>
    <row r="129" spans="1:7" ht="34.5" customHeight="1" x14ac:dyDescent="0.25">
      <c r="A129" s="463" t="s">
        <v>778</v>
      </c>
      <c r="B129" s="503">
        <f>HLOOKUP(B16,H22:I31,3,FALSE)</f>
        <v>0.186</v>
      </c>
      <c r="C129" s="422" t="s">
        <v>475</v>
      </c>
      <c r="D129" s="469" t="s">
        <v>935</v>
      </c>
      <c r="E129" s="108"/>
    </row>
    <row r="130" spans="1:7" ht="34.5" customHeight="1" x14ac:dyDescent="0.25">
      <c r="A130" s="463" t="s">
        <v>891</v>
      </c>
      <c r="B130" s="114">
        <v>2617</v>
      </c>
      <c r="C130" s="422" t="s">
        <v>936</v>
      </c>
      <c r="D130" s="469"/>
      <c r="E130" s="108" t="s">
        <v>937</v>
      </c>
    </row>
    <row r="131" spans="1:7" ht="34.5" customHeight="1" x14ac:dyDescent="0.25">
      <c r="A131" s="752" t="s">
        <v>1007</v>
      </c>
      <c r="B131" s="521">
        <f>HLOOKUP(B16,H22:I32,11,FALSE)</f>
        <v>2</v>
      </c>
      <c r="C131" s="422" t="s">
        <v>928</v>
      </c>
      <c r="D131" s="469"/>
      <c r="E131" s="108"/>
    </row>
    <row r="132" spans="1:7" ht="34.5" customHeight="1" x14ac:dyDescent="0.25">
      <c r="A132" s="753"/>
      <c r="B132" s="502">
        <f>B131*0.27</f>
        <v>0.54</v>
      </c>
      <c r="C132" s="422" t="s">
        <v>827</v>
      </c>
      <c r="D132" s="469"/>
      <c r="E132" s="394" t="s">
        <v>773</v>
      </c>
    </row>
    <row r="133" spans="1:7" ht="34.5" customHeight="1" x14ac:dyDescent="0.25">
      <c r="A133" s="745" t="s">
        <v>1003</v>
      </c>
      <c r="B133" s="475">
        <v>4</v>
      </c>
      <c r="C133" s="422" t="s">
        <v>928</v>
      </c>
      <c r="D133" s="469"/>
      <c r="E133" s="99" t="s">
        <v>933</v>
      </c>
    </row>
    <row r="134" spans="1:7" ht="34.5" customHeight="1" x14ac:dyDescent="0.25">
      <c r="A134" s="747"/>
      <c r="B134" s="502">
        <f>B133*0.27</f>
        <v>1.08</v>
      </c>
      <c r="C134" s="422" t="s">
        <v>827</v>
      </c>
      <c r="D134" s="468" t="s">
        <v>930</v>
      </c>
      <c r="E134" s="394" t="s">
        <v>773</v>
      </c>
    </row>
    <row r="135" spans="1:7" x14ac:dyDescent="0.25">
      <c r="A135" s="103" t="s">
        <v>767</v>
      </c>
      <c r="B135" s="103"/>
      <c r="C135" s="103"/>
      <c r="D135" s="103"/>
      <c r="E135" s="117"/>
    </row>
    <row r="136" spans="1:7" ht="34.5" customHeight="1" x14ac:dyDescent="0.25">
      <c r="A136" s="463" t="s">
        <v>377</v>
      </c>
      <c r="B136" s="368">
        <v>0.63</v>
      </c>
      <c r="C136" s="112" t="s">
        <v>415</v>
      </c>
      <c r="D136" s="267" t="s">
        <v>874</v>
      </c>
      <c r="E136" s="294" t="s">
        <v>420</v>
      </c>
    </row>
    <row r="137" spans="1:7" ht="35.25" customHeight="1" x14ac:dyDescent="0.25">
      <c r="A137" s="425" t="s">
        <v>768</v>
      </c>
      <c r="B137" s="449">
        <v>0</v>
      </c>
      <c r="C137" s="422" t="s">
        <v>604</v>
      </c>
      <c r="D137" s="468" t="s">
        <v>774</v>
      </c>
      <c r="E137" s="394" t="s">
        <v>769</v>
      </c>
    </row>
    <row r="138" spans="1:7" ht="37.5" customHeight="1" x14ac:dyDescent="0.25">
      <c r="A138" s="425" t="s">
        <v>770</v>
      </c>
      <c r="B138" s="449">
        <v>0</v>
      </c>
      <c r="C138" s="422" t="s">
        <v>604</v>
      </c>
      <c r="D138" s="467" t="s">
        <v>775</v>
      </c>
      <c r="E138" s="394" t="s">
        <v>771</v>
      </c>
    </row>
    <row r="139" spans="1:7" x14ac:dyDescent="0.25">
      <c r="A139" s="103" t="s">
        <v>382</v>
      </c>
      <c r="B139" s="103"/>
      <c r="C139" s="103"/>
      <c r="D139" s="103"/>
      <c r="E139" s="117"/>
    </row>
    <row r="140" spans="1:7" ht="27.75" customHeight="1" x14ac:dyDescent="0.25">
      <c r="A140" s="696" t="s">
        <v>824</v>
      </c>
      <c r="B140" s="281">
        <f>B136*B21*B26*(B13/100)</f>
        <v>39690000</v>
      </c>
      <c r="C140" s="112" t="s">
        <v>385</v>
      </c>
      <c r="D140" s="295"/>
      <c r="E140" s="124"/>
    </row>
    <row r="141" spans="1:7" ht="27.75" customHeight="1" x14ac:dyDescent="0.25">
      <c r="A141" s="697"/>
      <c r="B141" s="281">
        <f>B136*B21</f>
        <v>44.1</v>
      </c>
      <c r="C141" s="112" t="s">
        <v>827</v>
      </c>
      <c r="D141" s="92"/>
      <c r="E141" s="124"/>
    </row>
    <row r="142" spans="1:7" ht="27.75" customHeight="1" x14ac:dyDescent="0.25">
      <c r="A142" s="699" t="s">
        <v>868</v>
      </c>
      <c r="B142" s="281">
        <f>B136*B58*B64*(B13/100)</f>
        <v>215460000</v>
      </c>
      <c r="C142" s="112" t="s">
        <v>385</v>
      </c>
      <c r="D142" s="92"/>
      <c r="E142" s="124"/>
    </row>
    <row r="143" spans="1:7" ht="27.75" customHeight="1" x14ac:dyDescent="0.25">
      <c r="A143" s="699"/>
      <c r="B143" s="281">
        <f>B136*B58</f>
        <v>239.4</v>
      </c>
      <c r="C143" s="112" t="s">
        <v>827</v>
      </c>
      <c r="D143" s="92"/>
      <c r="E143" s="124"/>
      <c r="G143" s="349"/>
    </row>
    <row r="144" spans="1:7" ht="27.75" customHeight="1" x14ac:dyDescent="0.25">
      <c r="A144" s="696" t="s">
        <v>1273</v>
      </c>
      <c r="B144" s="281">
        <f>B136*B59*B71*(B13/100)</f>
        <v>5670000</v>
      </c>
      <c r="C144" s="112" t="s">
        <v>385</v>
      </c>
      <c r="D144" s="92"/>
      <c r="E144" s="124"/>
      <c r="G144" s="349"/>
    </row>
    <row r="145" spans="1:7" ht="27.75" customHeight="1" x14ac:dyDescent="0.25">
      <c r="A145" s="697"/>
      <c r="B145" s="281">
        <f>B136*B59</f>
        <v>6.3</v>
      </c>
      <c r="C145" s="112" t="s">
        <v>827</v>
      </c>
      <c r="D145" s="92"/>
      <c r="E145" s="124"/>
      <c r="G145" s="349"/>
    </row>
    <row r="146" spans="1:7" ht="27.75" customHeight="1" x14ac:dyDescent="0.25">
      <c r="A146" s="696" t="s">
        <v>825</v>
      </c>
      <c r="B146" s="281">
        <f>B136*B79*B82*(B13/100)</f>
        <v>654885</v>
      </c>
      <c r="C146" s="112" t="s">
        <v>385</v>
      </c>
      <c r="D146" s="92"/>
      <c r="E146" s="124"/>
    </row>
    <row r="147" spans="1:7" ht="27.75" customHeight="1" x14ac:dyDescent="0.25">
      <c r="A147" s="751"/>
      <c r="B147" s="606">
        <f>B136*B79*B81</f>
        <v>0.72765000000000002</v>
      </c>
      <c r="C147" s="264" t="s">
        <v>827</v>
      </c>
      <c r="D147" s="92"/>
      <c r="E147" s="124"/>
    </row>
    <row r="148" spans="1:7" ht="30.75" customHeight="1" x14ac:dyDescent="0.25">
      <c r="A148" s="699" t="s">
        <v>826</v>
      </c>
      <c r="B148" s="490">
        <f>(B129*B19*B26*(B13/100))-(B132*B26*(B13/100))</f>
        <v>464886000.00000006</v>
      </c>
      <c r="C148" s="112" t="s">
        <v>385</v>
      </c>
      <c r="D148" s="92"/>
      <c r="E148" s="124"/>
    </row>
    <row r="149" spans="1:7" ht="30.75" customHeight="1" x14ac:dyDescent="0.25">
      <c r="A149" s="699"/>
      <c r="B149" s="490">
        <f>B129*B19-B132</f>
        <v>516.54000000000008</v>
      </c>
      <c r="C149" s="112" t="s">
        <v>827</v>
      </c>
      <c r="D149" s="101"/>
      <c r="E149" s="99"/>
    </row>
    <row r="150" spans="1:7" ht="30.75" customHeight="1" x14ac:dyDescent="0.25">
      <c r="A150" s="699" t="s">
        <v>934</v>
      </c>
      <c r="B150" s="608">
        <f>(B130*B61*B64*(B13/100))-((B134-B132)*B64*(B13/100))</f>
        <v>63107100</v>
      </c>
      <c r="C150" s="112" t="s">
        <v>385</v>
      </c>
      <c r="D150" s="101" t="s">
        <v>1005</v>
      </c>
      <c r="E150" s="99"/>
    </row>
    <row r="151" spans="1:7" ht="30.75" customHeight="1" x14ac:dyDescent="0.25">
      <c r="A151" s="699"/>
      <c r="B151" s="490">
        <f>B130*B61-(B134-B132)</f>
        <v>70.119</v>
      </c>
      <c r="C151" s="112" t="s">
        <v>827</v>
      </c>
      <c r="D151" s="101" t="s">
        <v>1005</v>
      </c>
      <c r="E151" s="99"/>
    </row>
    <row r="152" spans="1:7" ht="30.75" customHeight="1" x14ac:dyDescent="0.25">
      <c r="A152" s="699" t="s">
        <v>768</v>
      </c>
      <c r="B152" s="490">
        <f>B137*B24*B26*(B13/100)</f>
        <v>0</v>
      </c>
      <c r="C152" s="112" t="s">
        <v>385</v>
      </c>
      <c r="D152" s="101"/>
      <c r="E152" s="99"/>
    </row>
    <row r="153" spans="1:7" ht="30.75" customHeight="1" x14ac:dyDescent="0.25">
      <c r="A153" s="699"/>
      <c r="B153" s="490">
        <f>B137*B24</f>
        <v>0</v>
      </c>
      <c r="C153" s="112" t="s">
        <v>827</v>
      </c>
      <c r="D153" s="101"/>
      <c r="E153" s="99"/>
    </row>
    <row r="154" spans="1:7" ht="30.75" customHeight="1" x14ac:dyDescent="0.25">
      <c r="A154" s="699" t="s">
        <v>770</v>
      </c>
      <c r="B154" s="490">
        <f>B138*B24*B26*(B13/100)</f>
        <v>0</v>
      </c>
      <c r="C154" s="112" t="s">
        <v>385</v>
      </c>
      <c r="D154" s="101"/>
      <c r="E154" s="99"/>
    </row>
    <row r="155" spans="1:7" ht="30.75" customHeight="1" x14ac:dyDescent="0.25">
      <c r="A155" s="699"/>
      <c r="B155" s="490">
        <f>B138*B24</f>
        <v>0</v>
      </c>
      <c r="C155" s="112" t="s">
        <v>827</v>
      </c>
      <c r="D155" s="101"/>
      <c r="E155" s="99"/>
    </row>
    <row r="156" spans="1:7" ht="32.25" customHeight="1" x14ac:dyDescent="0.25">
      <c r="A156" s="392" t="s">
        <v>528</v>
      </c>
      <c r="B156" s="607">
        <f>B141+B143+B145+B147+B153+B155</f>
        <v>290.52764999999999</v>
      </c>
      <c r="C156" s="392" t="s">
        <v>827</v>
      </c>
      <c r="D156" s="92"/>
      <c r="E156" s="124"/>
    </row>
    <row r="157" spans="1:7" ht="33" customHeight="1" x14ac:dyDescent="0.25">
      <c r="A157" s="112" t="s">
        <v>529</v>
      </c>
      <c r="B157" s="281">
        <f>B149+B151</f>
        <v>586.65900000000011</v>
      </c>
      <c r="C157" s="112" t="s">
        <v>827</v>
      </c>
      <c r="D157" s="92"/>
      <c r="E157" s="124"/>
    </row>
    <row r="158" spans="1:7" ht="35.25" customHeight="1" x14ac:dyDescent="0.25">
      <c r="A158" s="112" t="s">
        <v>530</v>
      </c>
      <c r="B158" s="281">
        <f>B156+B157</f>
        <v>877.1866500000001</v>
      </c>
      <c r="C158" s="112" t="s">
        <v>827</v>
      </c>
      <c r="D158" s="92"/>
      <c r="E158" s="124"/>
    </row>
    <row r="159" spans="1:7" ht="22.5" customHeight="1" x14ac:dyDescent="0.25">
      <c r="A159" s="103" t="s">
        <v>841</v>
      </c>
      <c r="B159" s="103"/>
      <c r="C159" s="103"/>
      <c r="D159" s="103"/>
      <c r="E159" s="117"/>
    </row>
    <row r="160" spans="1:7" ht="38.25" customHeight="1" x14ac:dyDescent="0.25">
      <c r="A160" s="92" t="s">
        <v>841</v>
      </c>
      <c r="B160" s="109">
        <f>B12*(B13/100)</f>
        <v>900000</v>
      </c>
      <c r="C160" s="92" t="s">
        <v>842</v>
      </c>
      <c r="D160" s="92" t="s">
        <v>660</v>
      </c>
      <c r="E160" s="92"/>
    </row>
    <row r="161" spans="1:5" ht="25.5" customHeight="1" x14ac:dyDescent="0.25">
      <c r="A161" s="118" t="s">
        <v>251</v>
      </c>
      <c r="B161" s="119"/>
      <c r="C161" s="119"/>
      <c r="D161" s="119"/>
      <c r="E161" s="120"/>
    </row>
    <row r="162" spans="1:5" ht="22.5" customHeight="1" x14ac:dyDescent="0.25">
      <c r="A162" s="103" t="s">
        <v>94</v>
      </c>
      <c r="B162" s="103"/>
      <c r="C162" s="103"/>
      <c r="D162" s="103"/>
      <c r="E162" s="117"/>
    </row>
    <row r="163" spans="1:5" ht="29.25" customHeight="1" x14ac:dyDescent="0.25">
      <c r="A163" s="92" t="s">
        <v>836</v>
      </c>
      <c r="B163" s="109">
        <f>B30*(B8/100)</f>
        <v>7810032.4515034379</v>
      </c>
      <c r="C163" s="92" t="s">
        <v>261</v>
      </c>
      <c r="D163" s="92"/>
      <c r="E163" s="92"/>
    </row>
    <row r="164" spans="1:5" ht="30.75" customHeight="1" x14ac:dyDescent="0.25">
      <c r="A164" s="92" t="s">
        <v>828</v>
      </c>
      <c r="B164" s="109">
        <f>B38*(B8/100)</f>
        <v>6756581.8575754473</v>
      </c>
      <c r="C164" s="92" t="s">
        <v>261</v>
      </c>
      <c r="D164" s="92"/>
      <c r="E164" s="92"/>
    </row>
    <row r="165" spans="1:5" ht="30.75" customHeight="1" x14ac:dyDescent="0.25">
      <c r="A165" s="92" t="s">
        <v>829</v>
      </c>
      <c r="B165" s="109">
        <f>B46*(B8/100)</f>
        <v>958883.87933167338</v>
      </c>
      <c r="C165" s="92" t="s">
        <v>261</v>
      </c>
      <c r="D165" s="92"/>
      <c r="E165" s="92"/>
    </row>
    <row r="166" spans="1:5" ht="30.75" customHeight="1" x14ac:dyDescent="0.25">
      <c r="A166" s="92" t="s">
        <v>830</v>
      </c>
      <c r="B166" s="94">
        <f>B54*(B8/100)</f>
        <v>94621.025784926343</v>
      </c>
      <c r="C166" s="92" t="s">
        <v>261</v>
      </c>
      <c r="D166" s="92"/>
      <c r="E166" s="92"/>
    </row>
    <row r="167" spans="1:5" ht="33.75" customHeight="1" x14ac:dyDescent="0.25">
      <c r="A167" s="92" t="s">
        <v>869</v>
      </c>
      <c r="B167" s="94">
        <f>B68*(B8/100)</f>
        <v>12954991.471249441</v>
      </c>
      <c r="C167" s="92" t="s">
        <v>261</v>
      </c>
      <c r="D167" s="92"/>
      <c r="E167" s="92"/>
    </row>
    <row r="168" spans="1:5" ht="33.75" customHeight="1" x14ac:dyDescent="0.25">
      <c r="A168" s="92" t="s">
        <v>1267</v>
      </c>
      <c r="B168" s="94">
        <f>B75*(B8/100)</f>
        <v>5052936.2645832021</v>
      </c>
      <c r="C168" s="92" t="s">
        <v>261</v>
      </c>
      <c r="D168" s="92"/>
      <c r="E168" s="92"/>
    </row>
    <row r="169" spans="1:5" ht="33" customHeight="1" x14ac:dyDescent="0.25">
      <c r="A169" s="92" t="s">
        <v>837</v>
      </c>
      <c r="B169" s="94">
        <f>B86*(B8/100)</f>
        <v>98276.047468000717</v>
      </c>
      <c r="C169" s="92" t="s">
        <v>261</v>
      </c>
      <c r="D169" s="92"/>
      <c r="E169" s="92"/>
    </row>
    <row r="170" spans="1:5" ht="33" customHeight="1" x14ac:dyDescent="0.25">
      <c r="A170" s="92" t="s">
        <v>838</v>
      </c>
      <c r="B170" s="94">
        <f>B99*(B8/100)</f>
        <v>3657917.4557407694</v>
      </c>
      <c r="C170" s="92" t="s">
        <v>261</v>
      </c>
      <c r="D170" s="92"/>
      <c r="E170" s="92"/>
    </row>
    <row r="171" spans="1:5" ht="33" customHeight="1" x14ac:dyDescent="0.25">
      <c r="A171" s="92" t="s">
        <v>839</v>
      </c>
      <c r="B171" s="94">
        <f>B104*(B8/100)</f>
        <v>5518730.6898024073</v>
      </c>
      <c r="C171" s="92" t="s">
        <v>261</v>
      </c>
      <c r="D171" s="92"/>
      <c r="E171" s="92"/>
    </row>
    <row r="172" spans="1:5" ht="31.5" customHeight="1" x14ac:dyDescent="0.25">
      <c r="A172" s="92" t="s">
        <v>840</v>
      </c>
      <c r="B172" s="94">
        <f>B109*(B8/100)</f>
        <v>9134257.8099588156</v>
      </c>
      <c r="C172" s="92" t="s">
        <v>261</v>
      </c>
      <c r="D172" s="92"/>
      <c r="E172" s="92"/>
    </row>
    <row r="173" spans="1:5" ht="31.5" customHeight="1" x14ac:dyDescent="0.25">
      <c r="A173" s="92" t="s">
        <v>758</v>
      </c>
      <c r="B173" s="94">
        <f>SUM(B163:B172)*(B120/100)</f>
        <v>0</v>
      </c>
      <c r="C173" s="92" t="s">
        <v>261</v>
      </c>
      <c r="D173" s="92"/>
      <c r="E173" s="92"/>
    </row>
    <row r="174" spans="1:5" ht="31.5" customHeight="1" x14ac:dyDescent="0.25">
      <c r="A174" s="92" t="s">
        <v>761</v>
      </c>
      <c r="B174" s="94">
        <f>SUM(B163:B172)*(B121/100)</f>
        <v>0</v>
      </c>
      <c r="C174" s="92" t="s">
        <v>261</v>
      </c>
      <c r="D174" s="92"/>
      <c r="E174" s="92"/>
    </row>
    <row r="175" spans="1:5" ht="31.5" customHeight="1" x14ac:dyDescent="0.25">
      <c r="A175" s="92" t="s">
        <v>763</v>
      </c>
      <c r="B175" s="94">
        <f>B122*(B8/100)</f>
        <v>0</v>
      </c>
      <c r="C175" s="92" t="s">
        <v>261</v>
      </c>
      <c r="D175" s="92"/>
      <c r="E175" s="92"/>
    </row>
    <row r="176" spans="1:5" x14ac:dyDescent="0.25">
      <c r="A176" s="103" t="s">
        <v>843</v>
      </c>
      <c r="B176" s="103"/>
      <c r="C176" s="103"/>
      <c r="D176" s="103"/>
      <c r="E176" s="117"/>
    </row>
    <row r="177" spans="1:5" ht="31.5" customHeight="1" x14ac:dyDescent="0.25">
      <c r="A177" s="121" t="s">
        <v>1037</v>
      </c>
      <c r="B177" s="227">
        <f>B93</f>
        <v>3981311.9999999995</v>
      </c>
      <c r="C177" s="121" t="s">
        <v>261</v>
      </c>
      <c r="D177" s="121"/>
      <c r="E177" s="122"/>
    </row>
    <row r="178" spans="1:5" ht="31.5" customHeight="1" x14ac:dyDescent="0.25">
      <c r="A178" s="121" t="s">
        <v>804</v>
      </c>
      <c r="B178" s="125">
        <f>(B31/100)*B30</f>
        <v>1453725.2150283507</v>
      </c>
      <c r="C178" s="121" t="s">
        <v>261</v>
      </c>
      <c r="D178" s="121"/>
      <c r="E178" s="122"/>
    </row>
    <row r="179" spans="1:5" ht="31.5" customHeight="1" x14ac:dyDescent="0.25">
      <c r="A179" s="121" t="s">
        <v>805</v>
      </c>
      <c r="B179" s="125">
        <f>(B39/100)*B38</f>
        <v>1257640.5379557337</v>
      </c>
      <c r="C179" s="121" t="s">
        <v>261</v>
      </c>
      <c r="D179" s="121"/>
      <c r="E179" s="122"/>
    </row>
    <row r="180" spans="1:5" ht="33" customHeight="1" x14ac:dyDescent="0.25">
      <c r="A180" s="121" t="s">
        <v>806</v>
      </c>
      <c r="B180" s="125">
        <f>(B47/100)*B46</f>
        <v>178482.44323239895</v>
      </c>
      <c r="C180" s="121" t="s">
        <v>261</v>
      </c>
      <c r="D180" s="121"/>
      <c r="E180" s="122"/>
    </row>
    <row r="181" spans="1:5" ht="31.5" customHeight="1" x14ac:dyDescent="0.25">
      <c r="A181" s="121" t="s">
        <v>807</v>
      </c>
      <c r="B181" s="125">
        <f>(B55/100)*B54</f>
        <v>17612.343086860812</v>
      </c>
      <c r="C181" s="121" t="s">
        <v>261</v>
      </c>
      <c r="D181" s="121"/>
      <c r="E181" s="122"/>
    </row>
    <row r="182" spans="1:5" ht="31.5" customHeight="1" x14ac:dyDescent="0.25">
      <c r="A182" s="121" t="s">
        <v>870</v>
      </c>
      <c r="B182" s="125">
        <f>(B69/100)*B68</f>
        <v>4822770.6809610436</v>
      </c>
      <c r="C182" s="121" t="s">
        <v>261</v>
      </c>
      <c r="D182" s="121"/>
      <c r="E182" s="122"/>
    </row>
    <row r="183" spans="1:5" ht="31.5" customHeight="1" x14ac:dyDescent="0.25">
      <c r="A183" s="121" t="s">
        <v>1268</v>
      </c>
      <c r="B183" s="125">
        <f>(B76/100)*B75</f>
        <v>5016167.5363874575</v>
      </c>
      <c r="C183" s="121" t="s">
        <v>261</v>
      </c>
      <c r="D183" s="121"/>
      <c r="E183" s="122"/>
    </row>
    <row r="184" spans="1:5" ht="31.5" x14ac:dyDescent="0.25">
      <c r="A184" s="486" t="s">
        <v>808</v>
      </c>
      <c r="B184" s="125">
        <f>(B87/100)*B86</f>
        <v>30487.788009564942</v>
      </c>
      <c r="C184" s="121" t="s">
        <v>261</v>
      </c>
      <c r="D184" s="121"/>
      <c r="E184" s="122"/>
    </row>
    <row r="185" spans="1:5" ht="30" customHeight="1" x14ac:dyDescent="0.25">
      <c r="A185" s="425" t="s">
        <v>765</v>
      </c>
      <c r="B185" s="375">
        <f>B123</f>
        <v>0</v>
      </c>
      <c r="C185" s="121" t="s">
        <v>261</v>
      </c>
      <c r="D185" s="121"/>
      <c r="E185" s="122"/>
    </row>
    <row r="186" spans="1:5" ht="27.75" customHeight="1" x14ac:dyDescent="0.25">
      <c r="A186" s="92" t="s">
        <v>89</v>
      </c>
      <c r="B186" s="375">
        <f>B124</f>
        <v>0</v>
      </c>
      <c r="C186" s="121" t="s">
        <v>261</v>
      </c>
      <c r="D186" s="121"/>
      <c r="E186" s="122"/>
    </row>
    <row r="187" spans="1:5" x14ac:dyDescent="0.25">
      <c r="A187" s="103" t="s">
        <v>844</v>
      </c>
      <c r="B187" s="103"/>
      <c r="C187" s="103"/>
      <c r="D187" s="103"/>
      <c r="E187" s="117"/>
    </row>
    <row r="188" spans="1:5" ht="29.25" customHeight="1" x14ac:dyDescent="0.25">
      <c r="A188" s="428" t="s">
        <v>742</v>
      </c>
      <c r="B188" s="128">
        <f>B113*B24*B26*(B13/100)</f>
        <v>0</v>
      </c>
      <c r="C188" s="92" t="s">
        <v>261</v>
      </c>
      <c r="D188" s="92"/>
      <c r="E188" s="92"/>
    </row>
    <row r="189" spans="1:5" ht="30.75" customHeight="1" x14ac:dyDescent="0.25">
      <c r="A189" s="487" t="s">
        <v>849</v>
      </c>
      <c r="B189" s="128">
        <f>B114*B19*B26*(B13/100)</f>
        <v>75059999.999999985</v>
      </c>
      <c r="C189" s="92" t="s">
        <v>261</v>
      </c>
      <c r="D189" s="92"/>
      <c r="E189" s="92"/>
    </row>
    <row r="190" spans="1:5" ht="25.5" customHeight="1" x14ac:dyDescent="0.25">
      <c r="A190" s="488" t="s">
        <v>813</v>
      </c>
      <c r="B190" s="128">
        <f>B115*B21*B26*(B13/100)</f>
        <v>5229000.0000000009</v>
      </c>
      <c r="C190" s="92" t="s">
        <v>261</v>
      </c>
      <c r="D190" s="92"/>
      <c r="E190" s="92"/>
    </row>
    <row r="191" spans="1:5" ht="30.75" customHeight="1" x14ac:dyDescent="0.25">
      <c r="A191" s="313" t="s">
        <v>871</v>
      </c>
      <c r="B191" s="128">
        <f>B115*B58*B64*(B13/100)</f>
        <v>28386000.000000004</v>
      </c>
      <c r="C191" s="92" t="s">
        <v>261</v>
      </c>
      <c r="D191" s="92"/>
      <c r="E191" s="92"/>
    </row>
    <row r="192" spans="1:5" ht="30.75" customHeight="1" x14ac:dyDescent="0.25">
      <c r="A192" s="313" t="s">
        <v>1269</v>
      </c>
      <c r="B192" s="128">
        <f>B115*B59*B71*(B13/100)</f>
        <v>747000.00000000012</v>
      </c>
      <c r="C192" s="92" t="s">
        <v>261</v>
      </c>
      <c r="D192" s="92"/>
      <c r="E192" s="92"/>
    </row>
    <row r="193" spans="1:5" ht="30.75" customHeight="1" x14ac:dyDescent="0.25">
      <c r="A193" s="313" t="s">
        <v>892</v>
      </c>
      <c r="B193" s="128">
        <f>B116*B60*B64*(B13/100)</f>
        <v>3600000</v>
      </c>
      <c r="C193" s="92" t="s">
        <v>261</v>
      </c>
      <c r="D193" s="92"/>
      <c r="E193" s="92"/>
    </row>
    <row r="194" spans="1:5" ht="30.75" customHeight="1" x14ac:dyDescent="0.25">
      <c r="A194" s="313" t="s">
        <v>891</v>
      </c>
      <c r="B194" s="128">
        <f>B117*B61*B64*(B13/100)</f>
        <v>4131000</v>
      </c>
      <c r="C194" s="92" t="s">
        <v>261</v>
      </c>
      <c r="D194" s="92"/>
      <c r="E194" s="92"/>
    </row>
    <row r="195" spans="1:5" ht="30.75" customHeight="1" x14ac:dyDescent="0.25">
      <c r="A195" s="313" t="s">
        <v>894</v>
      </c>
      <c r="B195" s="128">
        <f>B118*B62*B64*(B13/100)</f>
        <v>5400000</v>
      </c>
      <c r="C195" s="92" t="s">
        <v>261</v>
      </c>
      <c r="D195" s="92"/>
      <c r="E195" s="92"/>
    </row>
    <row r="196" spans="1:5" ht="27.75" customHeight="1" x14ac:dyDescent="0.25">
      <c r="A196" s="313" t="s">
        <v>815</v>
      </c>
      <c r="B196" s="128">
        <f>B115*B79*B82*(B13/100)</f>
        <v>86278.5</v>
      </c>
      <c r="C196" s="92" t="s">
        <v>261</v>
      </c>
      <c r="D196" s="92"/>
      <c r="E196" s="92"/>
    </row>
    <row r="197" spans="1:5" ht="30" customHeight="1" x14ac:dyDescent="0.25">
      <c r="A197" s="313" t="s">
        <v>765</v>
      </c>
      <c r="B197" s="489">
        <f>B123*(B8/100)</f>
        <v>0</v>
      </c>
      <c r="C197" s="92" t="s">
        <v>261</v>
      </c>
      <c r="D197" s="92"/>
      <c r="E197" s="92"/>
    </row>
    <row r="198" spans="1:5" ht="32.25" customHeight="1" x14ac:dyDescent="0.25">
      <c r="A198" s="92" t="s">
        <v>89</v>
      </c>
      <c r="B198" s="109">
        <f>B124*(B8/100)</f>
        <v>0</v>
      </c>
      <c r="C198" s="92" t="s">
        <v>261</v>
      </c>
      <c r="D198" s="92"/>
      <c r="E198" s="92"/>
    </row>
    <row r="199" spans="1:5" ht="30.75" customHeight="1" x14ac:dyDescent="0.25">
      <c r="A199" s="92" t="s">
        <v>649</v>
      </c>
      <c r="B199" s="109">
        <f>B127*B157*B160/1000</f>
        <v>0</v>
      </c>
      <c r="C199" s="92" t="s">
        <v>261</v>
      </c>
      <c r="D199" s="92" t="s">
        <v>650</v>
      </c>
      <c r="E199" s="92"/>
    </row>
    <row r="200" spans="1:5" x14ac:dyDescent="0.25">
      <c r="A200" s="103" t="s">
        <v>495</v>
      </c>
      <c r="B200" s="103"/>
      <c r="C200" s="103"/>
      <c r="D200" s="103"/>
      <c r="E200" s="117"/>
    </row>
    <row r="201" spans="1:5" ht="30.75" customHeight="1" x14ac:dyDescent="0.25">
      <c r="A201" s="268" t="s">
        <v>846</v>
      </c>
      <c r="B201" s="493">
        <f>B19+B21</f>
        <v>2850</v>
      </c>
      <c r="C201" s="92" t="s">
        <v>791</v>
      </c>
      <c r="D201" s="92"/>
      <c r="E201" s="218"/>
    </row>
    <row r="202" spans="1:5" ht="30.75" customHeight="1" x14ac:dyDescent="0.25">
      <c r="A202" s="268" t="s">
        <v>848</v>
      </c>
      <c r="B202" s="495">
        <f>B79*B81</f>
        <v>1.155</v>
      </c>
      <c r="C202" s="92" t="s">
        <v>791</v>
      </c>
      <c r="D202" s="92"/>
      <c r="E202" s="218"/>
    </row>
    <row r="203" spans="1:5" ht="30.75" customHeight="1" x14ac:dyDescent="0.25">
      <c r="A203" s="101" t="s">
        <v>872</v>
      </c>
      <c r="B203" s="493">
        <f>B58</f>
        <v>380</v>
      </c>
      <c r="C203" s="92" t="s">
        <v>791</v>
      </c>
      <c r="D203" s="92"/>
      <c r="E203" s="218"/>
    </row>
    <row r="204" spans="1:5" ht="30.75" customHeight="1" x14ac:dyDescent="0.25">
      <c r="A204" s="101" t="s">
        <v>1270</v>
      </c>
      <c r="B204" s="493">
        <f>B59</f>
        <v>10</v>
      </c>
      <c r="C204" s="92" t="s">
        <v>791</v>
      </c>
      <c r="D204" s="92"/>
      <c r="E204" s="218"/>
    </row>
    <row r="205" spans="1:5" ht="30.75" customHeight="1" x14ac:dyDescent="0.25">
      <c r="A205" s="268" t="s">
        <v>845</v>
      </c>
      <c r="B205" s="604">
        <f>SUM(B201:B204)</f>
        <v>3241.1550000000002</v>
      </c>
      <c r="C205" s="92" t="s">
        <v>791</v>
      </c>
      <c r="D205" s="92"/>
      <c r="E205" s="218"/>
    </row>
    <row r="206" spans="1:5" x14ac:dyDescent="0.25">
      <c r="A206" s="103" t="s">
        <v>258</v>
      </c>
      <c r="B206" s="103"/>
      <c r="C206" s="103"/>
      <c r="D206" s="103"/>
      <c r="E206" s="117"/>
    </row>
    <row r="207" spans="1:5" ht="36" customHeight="1" x14ac:dyDescent="0.25">
      <c r="A207" s="123" t="s">
        <v>908</v>
      </c>
      <c r="B207" s="197">
        <f t="shared" ref="B207:B219" si="0">B163/$B$160</f>
        <v>8.6778138350038194</v>
      </c>
      <c r="C207" s="92" t="s">
        <v>858</v>
      </c>
      <c r="D207" s="113"/>
      <c r="E207" s="455"/>
    </row>
    <row r="208" spans="1:5" ht="34.5" customHeight="1" x14ac:dyDescent="0.25">
      <c r="A208" s="123" t="s">
        <v>909</v>
      </c>
      <c r="B208" s="197">
        <f t="shared" si="0"/>
        <v>7.50731317508383</v>
      </c>
      <c r="C208" s="92" t="s">
        <v>858</v>
      </c>
      <c r="D208" s="113"/>
      <c r="E208" s="455"/>
    </row>
    <row r="209" spans="1:5" ht="31.5" x14ac:dyDescent="0.25">
      <c r="A209" s="123" t="s">
        <v>910</v>
      </c>
      <c r="B209" s="197">
        <f t="shared" si="0"/>
        <v>1.0654265325907482</v>
      </c>
      <c r="C209" s="92" t="s">
        <v>858</v>
      </c>
      <c r="D209" s="113"/>
      <c r="E209" s="455"/>
    </row>
    <row r="210" spans="1:5" ht="33.75" customHeight="1" x14ac:dyDescent="0.25">
      <c r="A210" s="123" t="s">
        <v>911</v>
      </c>
      <c r="B210" s="197">
        <f t="shared" si="0"/>
        <v>0.10513447309436261</v>
      </c>
      <c r="C210" s="92" t="s">
        <v>858</v>
      </c>
      <c r="D210" s="113"/>
      <c r="E210" s="455"/>
    </row>
    <row r="211" spans="1:5" ht="30.75" customHeight="1" x14ac:dyDescent="0.25">
      <c r="A211" s="123" t="s">
        <v>921</v>
      </c>
      <c r="B211" s="197">
        <f t="shared" si="0"/>
        <v>14.394434968054934</v>
      </c>
      <c r="C211" s="92" t="s">
        <v>858</v>
      </c>
      <c r="D211" s="113"/>
      <c r="E211" s="455"/>
    </row>
    <row r="212" spans="1:5" ht="30.75" customHeight="1" x14ac:dyDescent="0.25">
      <c r="A212" s="123" t="s">
        <v>1271</v>
      </c>
      <c r="B212" s="197">
        <f t="shared" si="0"/>
        <v>5.6143736273146692</v>
      </c>
      <c r="C212" s="92" t="s">
        <v>858</v>
      </c>
      <c r="D212" s="113"/>
      <c r="E212" s="455"/>
    </row>
    <row r="213" spans="1:5" ht="33.75" customHeight="1" x14ac:dyDescent="0.25">
      <c r="A213" s="123" t="s">
        <v>913</v>
      </c>
      <c r="B213" s="197">
        <f t="shared" si="0"/>
        <v>0.10919560829777858</v>
      </c>
      <c r="C213" s="92" t="s">
        <v>858</v>
      </c>
      <c r="D213" s="113"/>
      <c r="E213" s="455"/>
    </row>
    <row r="214" spans="1:5" ht="32.25" customHeight="1" x14ac:dyDescent="0.25">
      <c r="A214" s="123" t="s">
        <v>914</v>
      </c>
      <c r="B214" s="197">
        <f t="shared" si="0"/>
        <v>4.0643527286008547</v>
      </c>
      <c r="C214" s="92" t="s">
        <v>858</v>
      </c>
      <c r="D214" s="113"/>
      <c r="E214" s="455"/>
    </row>
    <row r="215" spans="1:5" ht="34.5" customHeight="1" x14ac:dyDescent="0.25">
      <c r="A215" s="123" t="s">
        <v>915</v>
      </c>
      <c r="B215" s="197">
        <f t="shared" si="0"/>
        <v>6.1319229886693414</v>
      </c>
      <c r="C215" s="92" t="s">
        <v>858</v>
      </c>
      <c r="D215" s="113"/>
      <c r="E215" s="455"/>
    </row>
    <row r="216" spans="1:5" ht="33.75" customHeight="1" x14ac:dyDescent="0.25">
      <c r="A216" s="123" t="s">
        <v>916</v>
      </c>
      <c r="B216" s="197">
        <f t="shared" si="0"/>
        <v>10.149175344398683</v>
      </c>
      <c r="C216" s="92" t="s">
        <v>858</v>
      </c>
      <c r="D216" s="113"/>
      <c r="E216" s="455"/>
    </row>
    <row r="217" spans="1:5" ht="36" customHeight="1" x14ac:dyDescent="0.25">
      <c r="A217" s="123" t="s">
        <v>917</v>
      </c>
      <c r="B217" s="197">
        <f t="shared" si="0"/>
        <v>0</v>
      </c>
      <c r="C217" s="92" t="s">
        <v>858</v>
      </c>
      <c r="D217" s="113"/>
      <c r="E217" s="455"/>
    </row>
    <row r="218" spans="1:5" ht="32.25" customHeight="1" x14ac:dyDescent="0.25">
      <c r="A218" s="123" t="s">
        <v>918</v>
      </c>
      <c r="B218" s="197">
        <f t="shared" si="0"/>
        <v>0</v>
      </c>
      <c r="C218" s="92" t="s">
        <v>858</v>
      </c>
      <c r="D218" s="113"/>
      <c r="E218" s="455"/>
    </row>
    <row r="219" spans="1:5" ht="33.75" customHeight="1" x14ac:dyDescent="0.25">
      <c r="A219" s="123" t="s">
        <v>919</v>
      </c>
      <c r="B219" s="197">
        <f t="shared" si="0"/>
        <v>0</v>
      </c>
      <c r="C219" s="92" t="s">
        <v>858</v>
      </c>
      <c r="D219" s="113"/>
      <c r="E219" s="455"/>
    </row>
    <row r="220" spans="1:5" ht="33.75" customHeight="1" x14ac:dyDescent="0.25">
      <c r="A220" s="486" t="s">
        <v>1038</v>
      </c>
      <c r="B220" s="197">
        <f>B177/$B$160</f>
        <v>4.4236799999999992</v>
      </c>
      <c r="C220" s="92" t="s">
        <v>858</v>
      </c>
      <c r="D220" s="113"/>
      <c r="E220" s="455"/>
    </row>
    <row r="221" spans="1:5" ht="33.75" customHeight="1" x14ac:dyDescent="0.25">
      <c r="A221" s="486" t="s">
        <v>904</v>
      </c>
      <c r="B221" s="197">
        <f>(B178+B179+B180+B181+B182+B183+B184)/$B$160</f>
        <v>14.196540605179345</v>
      </c>
      <c r="C221" s="92" t="s">
        <v>858</v>
      </c>
      <c r="D221" s="113"/>
      <c r="E221" s="455"/>
    </row>
    <row r="222" spans="1:5" ht="38.25" customHeight="1" x14ac:dyDescent="0.25">
      <c r="A222" s="123" t="s">
        <v>855</v>
      </c>
      <c r="B222" s="197">
        <f>B185/$B$160</f>
        <v>0</v>
      </c>
      <c r="C222" s="92" t="s">
        <v>858</v>
      </c>
      <c r="D222" s="113"/>
      <c r="E222" s="455"/>
    </row>
    <row r="223" spans="1:5" ht="34.5" customHeight="1" x14ac:dyDescent="0.25">
      <c r="A223" s="123" t="s">
        <v>856</v>
      </c>
      <c r="B223" s="197">
        <f>B186/$B$160</f>
        <v>0</v>
      </c>
      <c r="C223" s="92" t="s">
        <v>858</v>
      </c>
      <c r="D223" s="113"/>
      <c r="E223" s="455"/>
    </row>
    <row r="224" spans="1:5" ht="30.75" customHeight="1" x14ac:dyDescent="0.25">
      <c r="A224" s="496" t="s">
        <v>920</v>
      </c>
      <c r="B224" s="197">
        <f>B188/$B$160</f>
        <v>0</v>
      </c>
      <c r="C224" s="92" t="s">
        <v>858</v>
      </c>
      <c r="D224" s="113"/>
      <c r="E224" s="455"/>
    </row>
    <row r="225" spans="1:7" ht="33.75" customHeight="1" x14ac:dyDescent="0.25">
      <c r="A225" s="496" t="s">
        <v>851</v>
      </c>
      <c r="B225" s="197">
        <f>B189/$B$160</f>
        <v>83.399999999999977</v>
      </c>
      <c r="C225" s="92" t="s">
        <v>858</v>
      </c>
      <c r="D225" s="113"/>
      <c r="E225" s="455"/>
    </row>
    <row r="226" spans="1:7" ht="35.25" customHeight="1" x14ac:dyDescent="0.25">
      <c r="A226" s="497" t="s">
        <v>852</v>
      </c>
      <c r="B226" s="197">
        <f>B190/$B$160</f>
        <v>5.8100000000000014</v>
      </c>
      <c r="C226" s="92" t="s">
        <v>858</v>
      </c>
      <c r="D226" s="113"/>
      <c r="E226" s="455"/>
    </row>
    <row r="227" spans="1:7" ht="33.75" customHeight="1" x14ac:dyDescent="0.25">
      <c r="A227" s="314" t="s">
        <v>922</v>
      </c>
      <c r="B227" s="197">
        <f>B191/$B$160</f>
        <v>31.540000000000003</v>
      </c>
      <c r="C227" s="92" t="s">
        <v>858</v>
      </c>
      <c r="D227" s="113"/>
      <c r="E227" s="455"/>
    </row>
    <row r="228" spans="1:7" ht="33.75" customHeight="1" x14ac:dyDescent="0.25">
      <c r="A228" s="314" t="s">
        <v>1272</v>
      </c>
      <c r="B228" s="197">
        <f>B192/$B$160</f>
        <v>0.83000000000000018</v>
      </c>
      <c r="C228" s="92" t="s">
        <v>858</v>
      </c>
      <c r="D228" s="113"/>
      <c r="E228" s="455"/>
      <c r="G228" s="326"/>
    </row>
    <row r="229" spans="1:7" ht="33.75" customHeight="1" x14ac:dyDescent="0.25">
      <c r="A229" s="313" t="s">
        <v>905</v>
      </c>
      <c r="B229" s="197">
        <f t="shared" ref="B229:B235" si="1">B193/$B$160</f>
        <v>4</v>
      </c>
      <c r="C229" s="92" t="s">
        <v>858</v>
      </c>
      <c r="D229" s="113"/>
      <c r="E229" s="455"/>
    </row>
    <row r="230" spans="1:7" ht="33.75" customHeight="1" x14ac:dyDescent="0.25">
      <c r="A230" s="313" t="s">
        <v>906</v>
      </c>
      <c r="B230" s="197">
        <f t="shared" si="1"/>
        <v>4.59</v>
      </c>
      <c r="C230" s="92" t="s">
        <v>858</v>
      </c>
      <c r="D230" s="113"/>
      <c r="E230" s="455"/>
    </row>
    <row r="231" spans="1:7" ht="33.75" customHeight="1" x14ac:dyDescent="0.25">
      <c r="A231" s="313" t="s">
        <v>907</v>
      </c>
      <c r="B231" s="197">
        <f t="shared" si="1"/>
        <v>6</v>
      </c>
      <c r="C231" s="92" t="s">
        <v>858</v>
      </c>
      <c r="D231" s="113"/>
      <c r="E231" s="455"/>
    </row>
    <row r="232" spans="1:7" ht="33" customHeight="1" x14ac:dyDescent="0.25">
      <c r="A232" s="314" t="s">
        <v>854</v>
      </c>
      <c r="B232" s="197">
        <f t="shared" si="1"/>
        <v>9.5865000000000006E-2</v>
      </c>
      <c r="C232" s="92" t="s">
        <v>858</v>
      </c>
      <c r="D232" s="113"/>
      <c r="E232" s="455"/>
    </row>
    <row r="233" spans="1:7" ht="36" customHeight="1" x14ac:dyDescent="0.25">
      <c r="A233" s="314" t="s">
        <v>855</v>
      </c>
      <c r="B233" s="197">
        <f t="shared" si="1"/>
        <v>0</v>
      </c>
      <c r="C233" s="92" t="s">
        <v>858</v>
      </c>
      <c r="D233" s="113"/>
      <c r="E233" s="455"/>
    </row>
    <row r="234" spans="1:7" ht="33.75" customHeight="1" x14ac:dyDescent="0.25">
      <c r="A234" s="123" t="s">
        <v>856</v>
      </c>
      <c r="B234" s="197">
        <f t="shared" si="1"/>
        <v>0</v>
      </c>
      <c r="C234" s="92" t="s">
        <v>858</v>
      </c>
      <c r="D234" s="113"/>
      <c r="E234" s="455"/>
    </row>
    <row r="235" spans="1:7" ht="34.5" customHeight="1" x14ac:dyDescent="0.25">
      <c r="A235" s="123" t="s">
        <v>857</v>
      </c>
      <c r="B235" s="197">
        <f t="shared" si="1"/>
        <v>0</v>
      </c>
      <c r="C235" s="92" t="s">
        <v>858</v>
      </c>
      <c r="D235" s="113"/>
      <c r="E235" s="455"/>
    </row>
    <row r="236" spans="1:7" ht="38.25" customHeight="1" x14ac:dyDescent="0.25">
      <c r="A236" s="123" t="s">
        <v>903</v>
      </c>
      <c r="B236" s="130">
        <f>SUM(B207:B235)</f>
        <v>212.70522888628835</v>
      </c>
      <c r="C236" s="92" t="s">
        <v>858</v>
      </c>
      <c r="D236" s="92"/>
      <c r="E236" s="92"/>
    </row>
    <row r="237" spans="1:7" ht="34.5" customHeight="1" x14ac:dyDescent="0.25">
      <c r="A237" s="123" t="s">
        <v>903</v>
      </c>
      <c r="B237" s="130">
        <f>B236/B5</f>
        <v>303.86461269469766</v>
      </c>
      <c r="C237" s="92" t="s">
        <v>873</v>
      </c>
      <c r="D237" s="92"/>
      <c r="E237" s="92"/>
    </row>
    <row r="238" spans="1:7" x14ac:dyDescent="0.25">
      <c r="A238" s="270"/>
      <c r="B238" s="326"/>
    </row>
    <row r="239" spans="1:7" x14ac:dyDescent="0.25">
      <c r="B239" s="326"/>
    </row>
    <row r="242" spans="2:2" x14ac:dyDescent="0.25">
      <c r="B242" s="326"/>
    </row>
  </sheetData>
  <mergeCells count="45">
    <mergeCell ref="A152:A153"/>
    <mergeCell ref="A154:A155"/>
    <mergeCell ref="A133:A134"/>
    <mergeCell ref="A150:A151"/>
    <mergeCell ref="A106:A109"/>
    <mergeCell ref="E106:E108"/>
    <mergeCell ref="A140:A141"/>
    <mergeCell ref="A142:A143"/>
    <mergeCell ref="A146:A147"/>
    <mergeCell ref="A148:A149"/>
    <mergeCell ref="A131:A132"/>
    <mergeCell ref="A144:A145"/>
    <mergeCell ref="A105:E105"/>
    <mergeCell ref="A63:E63"/>
    <mergeCell ref="A65:A68"/>
    <mergeCell ref="A80:E80"/>
    <mergeCell ref="A83:A86"/>
    <mergeCell ref="E83:E85"/>
    <mergeCell ref="A95:E95"/>
    <mergeCell ref="A96:A99"/>
    <mergeCell ref="E96:E98"/>
    <mergeCell ref="A100:E100"/>
    <mergeCell ref="A101:A104"/>
    <mergeCell ref="E101:E103"/>
    <mergeCell ref="A70:E70"/>
    <mergeCell ref="A72:A75"/>
    <mergeCell ref="A43:A46"/>
    <mergeCell ref="E43:E45"/>
    <mergeCell ref="A48:E48"/>
    <mergeCell ref="A49:A50"/>
    <mergeCell ref="A51:A54"/>
    <mergeCell ref="E51:E53"/>
    <mergeCell ref="A41:A42"/>
    <mergeCell ref="E41:E42"/>
    <mergeCell ref="G21:I21"/>
    <mergeCell ref="J21:K21"/>
    <mergeCell ref="A16:A19"/>
    <mergeCell ref="A22:A24"/>
    <mergeCell ref="A25:E25"/>
    <mergeCell ref="A27:A30"/>
    <mergeCell ref="E27:E29"/>
    <mergeCell ref="A32:E32"/>
    <mergeCell ref="A33:A34"/>
    <mergeCell ref="A35:A38"/>
    <mergeCell ref="A40:E40"/>
  </mergeCells>
  <dataValidations count="1">
    <dataValidation type="list" allowBlank="1" showInputMessage="1" showErrorMessage="1" sqref="B16" xr:uid="{3DA91F9D-1F19-4005-93CD-0D9B36517539}">
      <formula1>$H$22:$I$22</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B34A8-3BB4-4418-92CC-BBBA820DCA0A}">
  <sheetPr>
    <tabColor rgb="FFFFC000"/>
  </sheetPr>
  <dimension ref="A1:R209"/>
  <sheetViews>
    <sheetView topLeftCell="A19" zoomScale="60" zoomScaleNormal="60" workbookViewId="0">
      <selection activeCell="E33" sqref="E33"/>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7" width="32.42578125" style="45" customWidth="1"/>
    <col min="8" max="8" width="23.85546875" style="45" customWidth="1"/>
    <col min="9" max="9" width="20.5703125" style="45" customWidth="1"/>
    <col min="10" max="11" width="44.85546875" style="45" customWidth="1"/>
    <col min="12" max="12" width="24.28515625" style="45" customWidth="1"/>
    <col min="13" max="13" width="21.7109375" style="45" customWidth="1"/>
    <col min="14" max="14" width="20.140625" style="45" customWidth="1"/>
    <col min="15" max="15" width="13.28515625" style="45" customWidth="1"/>
    <col min="16" max="16" width="14.7109375" style="45" customWidth="1"/>
    <col min="17" max="18" width="14.42578125" style="45" customWidth="1"/>
    <col min="19" max="16384" width="9.140625" style="45"/>
  </cols>
  <sheetData>
    <row r="1" spans="1:18" ht="17.25" thickTop="1" thickBot="1" x14ac:dyDescent="0.3">
      <c r="A1" s="74" t="s">
        <v>156</v>
      </c>
      <c r="B1" s="75"/>
      <c r="C1" s="75"/>
      <c r="D1" s="75"/>
      <c r="E1" s="75"/>
    </row>
    <row r="2" spans="1:18" ht="17.25" thickTop="1" thickBot="1" x14ac:dyDescent="0.3">
      <c r="A2" s="46"/>
      <c r="B2" s="46"/>
      <c r="C2" s="46"/>
      <c r="D2" s="46"/>
      <c r="E2" s="46"/>
    </row>
    <row r="3" spans="1:18" x14ac:dyDescent="0.25">
      <c r="A3" s="53" t="s">
        <v>152</v>
      </c>
      <c r="B3" s="54" t="s">
        <v>41</v>
      </c>
      <c r="C3" s="54" t="s">
        <v>40</v>
      </c>
      <c r="D3" s="55" t="s">
        <v>42</v>
      </c>
      <c r="E3" s="56" t="s">
        <v>43</v>
      </c>
    </row>
    <row r="4" spans="1:18" ht="16.5" thickBot="1" x14ac:dyDescent="0.3">
      <c r="A4" s="209" t="s">
        <v>44</v>
      </c>
      <c r="B4" s="210"/>
      <c r="C4" s="210"/>
      <c r="D4" s="210"/>
      <c r="E4" s="211"/>
      <c r="H4" s="266"/>
      <c r="I4" s="266"/>
      <c r="J4" s="266"/>
      <c r="K4" s="266"/>
      <c r="L4" s="266"/>
      <c r="M4" s="266"/>
      <c r="N4" s="266"/>
      <c r="O4" s="266"/>
      <c r="P4" s="266"/>
      <c r="Q4" s="266"/>
      <c r="R4" s="266"/>
    </row>
    <row r="5" spans="1:18" ht="33.75" customHeight="1" x14ac:dyDescent="0.25">
      <c r="A5" s="212" t="s">
        <v>644</v>
      </c>
      <c r="B5" s="213">
        <f>0.7</f>
        <v>0.7</v>
      </c>
      <c r="C5" s="214" t="s">
        <v>45</v>
      </c>
      <c r="D5" s="215"/>
      <c r="E5" s="310">
        <f>0.7</f>
        <v>0.7</v>
      </c>
    </row>
    <row r="6" spans="1:18" ht="30.75" customHeight="1" x14ac:dyDescent="0.25">
      <c r="A6" s="144" t="s">
        <v>46</v>
      </c>
      <c r="B6" s="216">
        <v>7</v>
      </c>
      <c r="C6" s="146" t="s">
        <v>47</v>
      </c>
      <c r="D6" s="147" t="s">
        <v>48</v>
      </c>
      <c r="E6" s="309">
        <v>7</v>
      </c>
    </row>
    <row r="7" spans="1:18" ht="30" customHeight="1" x14ac:dyDescent="0.25">
      <c r="A7" s="193" t="s">
        <v>49</v>
      </c>
      <c r="B7" s="27">
        <v>30</v>
      </c>
      <c r="C7" s="179" t="s">
        <v>50</v>
      </c>
      <c r="D7" s="248"/>
      <c r="E7" s="238"/>
      <c r="H7" s="582"/>
    </row>
    <row r="8" spans="1:18" ht="33" customHeight="1" x14ac:dyDescent="0.25">
      <c r="A8" s="144" t="s">
        <v>52</v>
      </c>
      <c r="B8" s="575">
        <f>(($B$6/100)*(1+$B$6/100)^$B$7)/(((1+$B$6/100)^$B$7)-1)*100</f>
        <v>8.0586403511111193</v>
      </c>
      <c r="C8" s="62" t="s">
        <v>47</v>
      </c>
      <c r="D8" s="62" t="s">
        <v>53</v>
      </c>
      <c r="E8" s="578"/>
    </row>
    <row r="9" spans="1:18" ht="33" customHeight="1" thickBot="1" x14ac:dyDescent="0.3">
      <c r="A9" s="150" t="s">
        <v>1210</v>
      </c>
      <c r="B9" s="630">
        <v>100</v>
      </c>
      <c r="C9" s="151" t="s">
        <v>1211</v>
      </c>
      <c r="D9" s="576" t="s">
        <v>1212</v>
      </c>
      <c r="E9" s="577" t="s">
        <v>1281</v>
      </c>
      <c r="H9" s="582"/>
      <c r="I9" s="582"/>
      <c r="J9" s="582"/>
      <c r="K9" s="582"/>
      <c r="L9" s="582"/>
      <c r="M9" s="582"/>
      <c r="N9" s="582"/>
      <c r="O9" s="582"/>
      <c r="P9" s="582"/>
      <c r="Q9" s="582"/>
    </row>
    <row r="10" spans="1:18" ht="16.5" thickBot="1" x14ac:dyDescent="0.3">
      <c r="H10" s="582"/>
      <c r="I10" s="582"/>
      <c r="J10" s="582"/>
      <c r="K10" s="582"/>
      <c r="L10" s="582"/>
      <c r="M10" s="582"/>
      <c r="N10" s="582"/>
      <c r="O10" s="582"/>
      <c r="P10" s="582"/>
      <c r="Q10" s="582"/>
      <c r="R10" s="582"/>
    </row>
    <row r="11" spans="1:18" ht="16.5" thickBot="1" x14ac:dyDescent="0.3">
      <c r="A11" s="172" t="s">
        <v>181</v>
      </c>
      <c r="B11" s="89"/>
      <c r="C11" s="89"/>
      <c r="D11" s="89"/>
      <c r="E11" s="90"/>
    </row>
    <row r="12" spans="1:18" ht="29.25" customHeight="1" x14ac:dyDescent="0.25">
      <c r="A12" s="417" t="s">
        <v>690</v>
      </c>
      <c r="B12" s="216">
        <v>1000000</v>
      </c>
      <c r="C12" s="92" t="s">
        <v>605</v>
      </c>
      <c r="D12" s="92" t="s">
        <v>1040</v>
      </c>
      <c r="E12" s="93"/>
    </row>
    <row r="13" spans="1:18" ht="30" customHeight="1" thickBot="1" x14ac:dyDescent="0.3">
      <c r="A13" s="313" t="s">
        <v>498</v>
      </c>
      <c r="B13" s="96">
        <v>90</v>
      </c>
      <c r="C13" s="92" t="s">
        <v>47</v>
      </c>
      <c r="D13" s="92" t="s">
        <v>497</v>
      </c>
      <c r="E13" s="52"/>
    </row>
    <row r="14" spans="1:18" ht="16.5" thickBot="1" x14ac:dyDescent="0.3">
      <c r="A14" s="172" t="s">
        <v>691</v>
      </c>
      <c r="B14" s="440"/>
      <c r="C14" s="119"/>
      <c r="D14" s="119"/>
      <c r="E14" s="120"/>
    </row>
    <row r="15" spans="1:18" ht="21.75" customHeight="1" x14ac:dyDescent="0.25">
      <c r="A15" s="431" t="s">
        <v>740</v>
      </c>
      <c r="B15" s="432"/>
      <c r="C15" s="432"/>
      <c r="D15" s="432"/>
      <c r="E15" s="433"/>
      <c r="H15" s="582"/>
    </row>
    <row r="16" spans="1:18" ht="35.25" customHeight="1" x14ac:dyDescent="0.25">
      <c r="A16" s="685" t="s">
        <v>778</v>
      </c>
      <c r="B16" s="534" t="s">
        <v>658</v>
      </c>
      <c r="C16" s="50" t="s">
        <v>45</v>
      </c>
      <c r="D16" s="425" t="s">
        <v>739</v>
      </c>
      <c r="E16" s="394"/>
      <c r="H16" s="611"/>
      <c r="I16" s="611"/>
      <c r="J16" s="611"/>
      <c r="K16" s="611"/>
      <c r="L16" s="611"/>
      <c r="M16" s="611"/>
      <c r="N16" s="611"/>
      <c r="O16" s="611"/>
      <c r="P16" s="611"/>
      <c r="Q16" s="611"/>
    </row>
    <row r="17" spans="1:18" ht="33" customHeight="1" x14ac:dyDescent="0.25">
      <c r="A17" s="685"/>
      <c r="B17" s="364">
        <f>HLOOKUP(B16,H22:I31,4,FALSE)</f>
        <v>0.2</v>
      </c>
      <c r="C17" s="50" t="s">
        <v>787</v>
      </c>
      <c r="D17" s="469" t="s">
        <v>796</v>
      </c>
      <c r="E17" s="394" t="s">
        <v>798</v>
      </c>
    </row>
    <row r="18" spans="1:18" ht="32.25" customHeight="1" x14ac:dyDescent="0.25">
      <c r="A18" s="685"/>
      <c r="B18" s="483">
        <f>HLOOKUP(B16,H22:I31,5,FALSE)</f>
        <v>13.9</v>
      </c>
      <c r="C18" s="50" t="s">
        <v>797</v>
      </c>
      <c r="D18" s="469" t="s">
        <v>796</v>
      </c>
      <c r="E18" s="394" t="s">
        <v>798</v>
      </c>
      <c r="H18" s="582"/>
      <c r="I18" s="582"/>
      <c r="J18" s="582"/>
      <c r="K18" s="582"/>
      <c r="L18" s="582"/>
      <c r="M18" s="582"/>
      <c r="N18" s="582"/>
      <c r="O18" s="582"/>
      <c r="P18" s="582"/>
      <c r="Q18" s="582"/>
      <c r="R18" s="582"/>
    </row>
    <row r="19" spans="1:18" ht="32.25" customHeight="1" x14ac:dyDescent="0.25">
      <c r="A19" s="685"/>
      <c r="B19" s="481">
        <f>B18*1000*B17</f>
        <v>2780</v>
      </c>
      <c r="C19" s="50" t="s">
        <v>791</v>
      </c>
      <c r="D19" s="469" t="s">
        <v>796</v>
      </c>
      <c r="E19" s="394" t="s">
        <v>798</v>
      </c>
      <c r="H19" s="582"/>
      <c r="I19" s="582"/>
      <c r="J19" s="582"/>
      <c r="K19" s="582"/>
      <c r="L19" s="582"/>
      <c r="M19" s="582"/>
      <c r="N19" s="582"/>
      <c r="O19" s="582"/>
      <c r="P19" s="582"/>
      <c r="Q19" s="582"/>
      <c r="R19" s="582"/>
    </row>
    <row r="20" spans="1:18" ht="33.75" customHeight="1" x14ac:dyDescent="0.25">
      <c r="A20" s="459" t="s">
        <v>746</v>
      </c>
      <c r="B20" s="364">
        <f>HLOOKUP(B16,H22:I31,6,FALSE)</f>
        <v>3.0000000000000001E-3</v>
      </c>
      <c r="C20" s="419" t="s">
        <v>792</v>
      </c>
      <c r="D20" s="461" t="s">
        <v>747</v>
      </c>
      <c r="E20" s="394" t="s">
        <v>798</v>
      </c>
      <c r="H20" s="582"/>
      <c r="I20" s="582"/>
      <c r="J20" s="582"/>
      <c r="K20" s="582"/>
      <c r="L20" s="582"/>
      <c r="M20" s="582"/>
      <c r="N20" s="582"/>
      <c r="O20" s="582"/>
      <c r="P20" s="582"/>
      <c r="Q20" s="582"/>
    </row>
    <row r="21" spans="1:18" ht="33.75" customHeight="1" x14ac:dyDescent="0.25">
      <c r="A21" s="456" t="s">
        <v>377</v>
      </c>
      <c r="B21" s="430">
        <v>70</v>
      </c>
      <c r="C21" s="50" t="s">
        <v>791</v>
      </c>
      <c r="D21" s="425" t="s">
        <v>741</v>
      </c>
      <c r="E21" s="435" t="s">
        <v>799</v>
      </c>
      <c r="G21" s="705" t="s">
        <v>780</v>
      </c>
      <c r="H21" s="706"/>
      <c r="I21" s="706"/>
      <c r="J21" s="706" t="s">
        <v>427</v>
      </c>
      <c r="K21" s="706"/>
    </row>
    <row r="22" spans="1:18" ht="30" customHeight="1" x14ac:dyDescent="0.25">
      <c r="A22" s="754" t="s">
        <v>776</v>
      </c>
      <c r="B22" s="430">
        <v>67</v>
      </c>
      <c r="C22" s="50" t="s">
        <v>693</v>
      </c>
      <c r="D22" s="425" t="s">
        <v>743</v>
      </c>
      <c r="E22" s="435" t="s">
        <v>744</v>
      </c>
      <c r="G22" s="218" t="s">
        <v>390</v>
      </c>
      <c r="H22" s="218" t="s">
        <v>658</v>
      </c>
      <c r="I22" s="124" t="s">
        <v>659</v>
      </c>
      <c r="J22" s="124" t="s">
        <v>662</v>
      </c>
      <c r="K22" s="124" t="s">
        <v>462</v>
      </c>
    </row>
    <row r="23" spans="1:18" ht="30" customHeight="1" x14ac:dyDescent="0.25">
      <c r="A23" s="755"/>
      <c r="B23" s="441">
        <v>95</v>
      </c>
      <c r="C23" s="50" t="s">
        <v>693</v>
      </c>
      <c r="D23" s="470" t="s">
        <v>777</v>
      </c>
      <c r="E23" s="435"/>
      <c r="G23" s="93" t="s">
        <v>407</v>
      </c>
      <c r="H23" s="363">
        <v>0.03</v>
      </c>
      <c r="I23" s="363">
        <v>0.186</v>
      </c>
      <c r="J23" s="124" t="s">
        <v>801</v>
      </c>
      <c r="K23" s="93" t="s">
        <v>464</v>
      </c>
    </row>
    <row r="24" spans="1:18" ht="33" customHeight="1" x14ac:dyDescent="0.25">
      <c r="A24" s="756"/>
      <c r="B24" s="457">
        <f>(((B23/100)*B26)/(B22/100))/B26</f>
        <v>1.4179104477611939</v>
      </c>
      <c r="C24" s="394" t="s">
        <v>795</v>
      </c>
      <c r="D24" s="458" t="s">
        <v>745</v>
      </c>
      <c r="E24" s="482"/>
      <c r="G24" s="108" t="s">
        <v>408</v>
      </c>
      <c r="H24" s="363">
        <v>0.186</v>
      </c>
      <c r="I24" s="304">
        <v>0</v>
      </c>
      <c r="J24" s="124" t="s">
        <v>664</v>
      </c>
      <c r="K24" s="99" t="s">
        <v>800</v>
      </c>
    </row>
    <row r="25" spans="1:18" ht="36" customHeight="1" x14ac:dyDescent="0.25">
      <c r="A25" s="744" t="s">
        <v>692</v>
      </c>
      <c r="B25" s="744"/>
      <c r="C25" s="744"/>
      <c r="D25" s="744"/>
      <c r="E25" s="744"/>
      <c r="G25" s="108" t="s">
        <v>786</v>
      </c>
      <c r="H25" s="401">
        <v>0.2</v>
      </c>
      <c r="I25" s="476">
        <v>6.2E-2</v>
      </c>
      <c r="J25" s="400" t="s">
        <v>1291</v>
      </c>
      <c r="K25" s="498" t="s">
        <v>1292</v>
      </c>
    </row>
    <row r="26" spans="1:18" ht="33" customHeight="1" x14ac:dyDescent="0.25">
      <c r="A26" s="463" t="s">
        <v>748</v>
      </c>
      <c r="B26" s="464">
        <f>B12</f>
        <v>1000000</v>
      </c>
      <c r="C26" s="218" t="s">
        <v>605</v>
      </c>
      <c r="D26" s="421" t="s">
        <v>695</v>
      </c>
      <c r="E26" s="394"/>
      <c r="G26" s="93" t="s">
        <v>788</v>
      </c>
      <c r="H26" s="297">
        <v>13.9</v>
      </c>
      <c r="I26" s="297">
        <v>33.299999999999997</v>
      </c>
      <c r="J26" s="93" t="s">
        <v>789</v>
      </c>
      <c r="K26" s="93" t="s">
        <v>790</v>
      </c>
    </row>
    <row r="27" spans="1:18" ht="32.25" customHeight="1" x14ac:dyDescent="0.25">
      <c r="A27" s="745" t="s">
        <v>696</v>
      </c>
      <c r="B27" s="442">
        <v>0.65380000000000005</v>
      </c>
      <c r="C27" s="50" t="s">
        <v>161</v>
      </c>
      <c r="D27" s="423" t="s">
        <v>697</v>
      </c>
      <c r="E27" s="748" t="s">
        <v>698</v>
      </c>
      <c r="G27" s="93" t="s">
        <v>784</v>
      </c>
      <c r="H27" s="355">
        <v>3.0000000000000001E-3</v>
      </c>
      <c r="I27" s="477">
        <v>5.5E-2</v>
      </c>
      <c r="J27" s="435" t="s">
        <v>794</v>
      </c>
      <c r="K27" s="394" t="s">
        <v>1293</v>
      </c>
    </row>
    <row r="28" spans="1:18" ht="26.25" customHeight="1" x14ac:dyDescent="0.25">
      <c r="A28" s="746"/>
      <c r="B28" s="443">
        <v>8.76</v>
      </c>
      <c r="C28" s="50" t="s">
        <v>605</v>
      </c>
      <c r="D28" s="425" t="s">
        <v>699</v>
      </c>
      <c r="E28" s="748"/>
      <c r="G28" s="93" t="s">
        <v>779</v>
      </c>
      <c r="H28" s="409">
        <v>0.71</v>
      </c>
      <c r="I28" s="478">
        <v>0.25</v>
      </c>
      <c r="J28" s="52"/>
      <c r="K28" s="52"/>
    </row>
    <row r="29" spans="1:18" ht="28.5" customHeight="1" x14ac:dyDescent="0.25">
      <c r="A29" s="746"/>
      <c r="B29" s="426">
        <v>47841</v>
      </c>
      <c r="C29" s="50" t="s">
        <v>165</v>
      </c>
      <c r="D29" s="425" t="s">
        <v>700</v>
      </c>
      <c r="E29" s="748"/>
      <c r="G29" s="93" t="s">
        <v>781</v>
      </c>
      <c r="H29" s="506">
        <v>0.65049999999999997</v>
      </c>
      <c r="I29" s="479">
        <v>0.78480000000000005</v>
      </c>
      <c r="J29" s="218" t="s">
        <v>698</v>
      </c>
      <c r="K29" s="218" t="s">
        <v>698</v>
      </c>
    </row>
    <row r="30" spans="1:18" ht="28.5" customHeight="1" x14ac:dyDescent="0.25">
      <c r="A30" s="747"/>
      <c r="B30" s="125">
        <f>B29*((B12/B28)^B27)*B9/100</f>
        <v>96915014.335223392</v>
      </c>
      <c r="C30" s="50" t="s">
        <v>165</v>
      </c>
      <c r="D30" s="425" t="s">
        <v>1280</v>
      </c>
      <c r="E30" s="50"/>
      <c r="G30" s="93" t="s">
        <v>782</v>
      </c>
      <c r="H30" s="410">
        <v>1</v>
      </c>
      <c r="I30" s="410">
        <v>1</v>
      </c>
      <c r="J30" s="218" t="s">
        <v>698</v>
      </c>
      <c r="K30" s="218" t="s">
        <v>698</v>
      </c>
    </row>
    <row r="31" spans="1:18" ht="31.5" x14ac:dyDescent="0.25">
      <c r="A31" s="422" t="s">
        <v>162</v>
      </c>
      <c r="B31" s="441">
        <v>1.5</v>
      </c>
      <c r="C31" s="50" t="s">
        <v>701</v>
      </c>
      <c r="D31" s="425" t="s">
        <v>162</v>
      </c>
      <c r="E31" s="394" t="s">
        <v>702</v>
      </c>
      <c r="G31" s="108" t="s">
        <v>783</v>
      </c>
      <c r="H31" s="507">
        <v>4806408</v>
      </c>
      <c r="I31" s="508">
        <v>223082</v>
      </c>
      <c r="J31" s="341" t="s">
        <v>698</v>
      </c>
      <c r="K31" s="341" t="s">
        <v>698</v>
      </c>
    </row>
    <row r="32" spans="1:18" ht="34.5" customHeight="1" x14ac:dyDescent="0.25">
      <c r="A32" s="744" t="s">
        <v>785</v>
      </c>
      <c r="B32" s="744"/>
      <c r="C32" s="744"/>
      <c r="D32" s="744"/>
      <c r="E32" s="744"/>
      <c r="G32" s="372" t="s">
        <v>927</v>
      </c>
      <c r="H32" s="297">
        <v>2</v>
      </c>
      <c r="I32" s="297">
        <v>0</v>
      </c>
      <c r="J32" s="218" t="s">
        <v>931</v>
      </c>
      <c r="K32" s="218" t="s">
        <v>932</v>
      </c>
    </row>
    <row r="33" spans="1:5" ht="33" customHeight="1" x14ac:dyDescent="0.25">
      <c r="A33" s="740" t="s">
        <v>1200</v>
      </c>
      <c r="B33" s="484">
        <f>HLOOKUP(B16,H22:I31,7,FALSE)</f>
        <v>0.71</v>
      </c>
      <c r="C33" s="50" t="s">
        <v>793</v>
      </c>
      <c r="D33" s="423" t="s">
        <v>706</v>
      </c>
      <c r="E33" s="394" t="s">
        <v>1290</v>
      </c>
    </row>
    <row r="34" spans="1:5" ht="30.75" x14ac:dyDescent="0.25">
      <c r="A34" s="740"/>
      <c r="B34" s="445">
        <f>(B26/(365*24))*B33</f>
        <v>81.050228310502277</v>
      </c>
      <c r="C34" s="50" t="s">
        <v>79</v>
      </c>
      <c r="D34" s="423" t="s">
        <v>707</v>
      </c>
      <c r="E34" s="469"/>
    </row>
    <row r="35" spans="1:5" ht="30" customHeight="1" x14ac:dyDescent="0.25">
      <c r="A35" s="745" t="s">
        <v>94</v>
      </c>
      <c r="B35" s="485">
        <f>HLOOKUP(B16,H22:I31,8,FALSE)</f>
        <v>0.65049999999999997</v>
      </c>
      <c r="C35" s="50" t="s">
        <v>161</v>
      </c>
      <c r="D35" s="423" t="s">
        <v>697</v>
      </c>
      <c r="E35" s="425"/>
    </row>
    <row r="36" spans="1:5" ht="30.75" customHeight="1" x14ac:dyDescent="0.25">
      <c r="A36" s="746"/>
      <c r="B36" s="373">
        <f>HLOOKUP(B16,H22:I31,9,FALSE)</f>
        <v>1</v>
      </c>
      <c r="C36" s="50" t="s">
        <v>79</v>
      </c>
      <c r="D36" s="425" t="s">
        <v>708</v>
      </c>
      <c r="E36" s="425"/>
    </row>
    <row r="37" spans="1:5" ht="28.5" customHeight="1" x14ac:dyDescent="0.25">
      <c r="A37" s="746"/>
      <c r="B37" s="125">
        <f>HLOOKUP(B16,H22:I31,10,FALSE)</f>
        <v>4806408</v>
      </c>
      <c r="C37" s="50" t="s">
        <v>165</v>
      </c>
      <c r="D37" s="425" t="s">
        <v>700</v>
      </c>
      <c r="E37" s="425"/>
    </row>
    <row r="38" spans="1:5" ht="28.5" customHeight="1" x14ac:dyDescent="0.25">
      <c r="A38" s="747"/>
      <c r="B38" s="125">
        <f>B37*((B34/B36)^B35)*B9/100</f>
        <v>83842702.530382246</v>
      </c>
      <c r="C38" s="50" t="s">
        <v>165</v>
      </c>
      <c r="D38" s="425" t="s">
        <v>1280</v>
      </c>
      <c r="E38" s="50"/>
    </row>
    <row r="39" spans="1:5" ht="30" x14ac:dyDescent="0.25">
      <c r="A39" s="422" t="s">
        <v>162</v>
      </c>
      <c r="B39" s="441">
        <v>1.5</v>
      </c>
      <c r="C39" s="50" t="s">
        <v>701</v>
      </c>
      <c r="D39" s="425" t="s">
        <v>162</v>
      </c>
      <c r="E39" s="394" t="s">
        <v>702</v>
      </c>
    </row>
    <row r="40" spans="1:5" x14ac:dyDescent="0.25">
      <c r="A40" s="744" t="s">
        <v>709</v>
      </c>
      <c r="B40" s="744"/>
      <c r="C40" s="744"/>
      <c r="D40" s="744"/>
      <c r="E40" s="744"/>
    </row>
    <row r="41" spans="1:5" ht="33.75" customHeight="1" x14ac:dyDescent="0.25">
      <c r="A41" s="740" t="s">
        <v>710</v>
      </c>
      <c r="B41" s="350">
        <v>2.3E-2</v>
      </c>
      <c r="C41" s="50" t="s">
        <v>705</v>
      </c>
      <c r="D41" s="423" t="s">
        <v>711</v>
      </c>
      <c r="E41" s="736" t="s">
        <v>1294</v>
      </c>
    </row>
    <row r="42" spans="1:5" ht="30.75" x14ac:dyDescent="0.25">
      <c r="A42" s="740"/>
      <c r="B42" s="447">
        <f>(B26/(365*24))*B41</f>
        <v>2.6255707762557079</v>
      </c>
      <c r="C42" s="50" t="s">
        <v>79</v>
      </c>
      <c r="D42" s="423" t="s">
        <v>707</v>
      </c>
      <c r="E42" s="736"/>
    </row>
    <row r="43" spans="1:5" ht="27.75" customHeight="1" x14ac:dyDescent="0.25">
      <c r="A43" s="745" t="s">
        <v>94</v>
      </c>
      <c r="B43" s="442">
        <v>0.71</v>
      </c>
      <c r="C43" s="50" t="s">
        <v>161</v>
      </c>
      <c r="D43" s="423" t="s">
        <v>697</v>
      </c>
      <c r="E43" s="748" t="s">
        <v>698</v>
      </c>
    </row>
    <row r="44" spans="1:5" ht="27.75" customHeight="1" x14ac:dyDescent="0.25">
      <c r="A44" s="746"/>
      <c r="B44" s="446">
        <v>1</v>
      </c>
      <c r="C44" s="50" t="s">
        <v>79</v>
      </c>
      <c r="D44" s="425" t="s">
        <v>708</v>
      </c>
      <c r="E44" s="748"/>
    </row>
    <row r="45" spans="1:5" ht="28.5" customHeight="1" x14ac:dyDescent="0.25">
      <c r="A45" s="746"/>
      <c r="B45" s="426">
        <v>5995914</v>
      </c>
      <c r="C45" s="50" t="s">
        <v>165</v>
      </c>
      <c r="D45" s="425" t="s">
        <v>700</v>
      </c>
      <c r="E45" s="748"/>
    </row>
    <row r="46" spans="1:5" ht="28.5" customHeight="1" x14ac:dyDescent="0.25">
      <c r="A46" s="747"/>
      <c r="B46" s="125">
        <f>B45*((B42/B44)^B43)*B9/100</f>
        <v>11898829.548826598</v>
      </c>
      <c r="C46" s="50" t="s">
        <v>165</v>
      </c>
      <c r="D46" s="425" t="s">
        <v>1280</v>
      </c>
      <c r="E46" s="50"/>
    </row>
    <row r="47" spans="1:5" ht="30" x14ac:dyDescent="0.25">
      <c r="A47" s="422" t="s">
        <v>162</v>
      </c>
      <c r="B47" s="441">
        <v>1.5</v>
      </c>
      <c r="C47" s="50" t="s">
        <v>701</v>
      </c>
      <c r="D47" s="425" t="s">
        <v>162</v>
      </c>
      <c r="E47" s="394" t="s">
        <v>702</v>
      </c>
    </row>
    <row r="48" spans="1:5" x14ac:dyDescent="0.25">
      <c r="A48" s="744" t="s">
        <v>713</v>
      </c>
      <c r="B48" s="744"/>
      <c r="C48" s="744"/>
      <c r="D48" s="744"/>
      <c r="E48" s="744"/>
    </row>
    <row r="49" spans="1:5" ht="30" x14ac:dyDescent="0.25">
      <c r="A49" s="749" t="s">
        <v>714</v>
      </c>
      <c r="B49" s="443">
        <v>1</v>
      </c>
      <c r="C49" s="50" t="s">
        <v>715</v>
      </c>
      <c r="D49" s="425" t="s">
        <v>716</v>
      </c>
      <c r="E49" s="435" t="s">
        <v>1289</v>
      </c>
    </row>
    <row r="50" spans="1:5" ht="29.25" customHeight="1" x14ac:dyDescent="0.25">
      <c r="A50" s="750"/>
      <c r="B50" s="465">
        <f>B49*B26</f>
        <v>1000000</v>
      </c>
      <c r="C50" s="50" t="s">
        <v>749</v>
      </c>
      <c r="D50" s="423" t="s">
        <v>707</v>
      </c>
      <c r="E50" s="435"/>
    </row>
    <row r="51" spans="1:5" ht="27.75" customHeight="1" x14ac:dyDescent="0.25">
      <c r="A51" s="745" t="s">
        <v>94</v>
      </c>
      <c r="B51" s="441">
        <v>0.63029999999999997</v>
      </c>
      <c r="C51" s="50" t="s">
        <v>161</v>
      </c>
      <c r="D51" s="423" t="s">
        <v>697</v>
      </c>
      <c r="E51" s="748" t="s">
        <v>698</v>
      </c>
    </row>
    <row r="52" spans="1:5" ht="26.25" customHeight="1" x14ac:dyDescent="0.25">
      <c r="A52" s="746"/>
      <c r="B52" s="448">
        <v>8760</v>
      </c>
      <c r="C52" s="50" t="s">
        <v>605</v>
      </c>
      <c r="D52" s="425" t="s">
        <v>717</v>
      </c>
      <c r="E52" s="748"/>
    </row>
    <row r="53" spans="1:5" ht="30" customHeight="1" x14ac:dyDescent="0.25">
      <c r="A53" s="746"/>
      <c r="B53" s="426">
        <v>59277</v>
      </c>
      <c r="C53" s="50" t="s">
        <v>165</v>
      </c>
      <c r="D53" s="425" t="s">
        <v>700</v>
      </c>
      <c r="E53" s="748"/>
    </row>
    <row r="54" spans="1:5" ht="30" customHeight="1" x14ac:dyDescent="0.25">
      <c r="A54" s="747"/>
      <c r="B54" s="125">
        <f>B53*((B50/B52)^B51)*B9/100</f>
        <v>1174156.2057907209</v>
      </c>
      <c r="C54" s="50" t="s">
        <v>165</v>
      </c>
      <c r="D54" s="425" t="s">
        <v>1280</v>
      </c>
      <c r="E54" s="50"/>
    </row>
    <row r="55" spans="1:5" ht="30" x14ac:dyDescent="0.25">
      <c r="A55" s="422" t="s">
        <v>162</v>
      </c>
      <c r="B55" s="449">
        <v>1.5</v>
      </c>
      <c r="C55" s="50" t="s">
        <v>701</v>
      </c>
      <c r="D55" s="425" t="s">
        <v>162</v>
      </c>
      <c r="E55" s="394" t="s">
        <v>702</v>
      </c>
    </row>
    <row r="56" spans="1:5" ht="16.5" thickBot="1" x14ac:dyDescent="0.3">
      <c r="A56" s="450" t="s">
        <v>862</v>
      </c>
      <c r="B56" s="450"/>
      <c r="C56" s="450"/>
      <c r="D56" s="450"/>
      <c r="E56" s="450"/>
    </row>
    <row r="57" spans="1:5" x14ac:dyDescent="0.25">
      <c r="A57" s="431" t="s">
        <v>751</v>
      </c>
      <c r="B57" s="432"/>
      <c r="C57" s="432"/>
      <c r="D57" s="432"/>
      <c r="E57" s="433"/>
    </row>
    <row r="58" spans="1:5" ht="30" x14ac:dyDescent="0.25">
      <c r="A58" s="456" t="s">
        <v>752</v>
      </c>
      <c r="B58" s="430">
        <v>10</v>
      </c>
      <c r="C58" s="50" t="s">
        <v>819</v>
      </c>
      <c r="D58" s="425" t="s">
        <v>753</v>
      </c>
      <c r="E58" s="462" t="s">
        <v>816</v>
      </c>
    </row>
    <row r="59" spans="1:5" x14ac:dyDescent="0.25">
      <c r="A59" s="744" t="s">
        <v>831</v>
      </c>
      <c r="B59" s="744"/>
      <c r="C59" s="744"/>
      <c r="D59" s="744"/>
      <c r="E59" s="744"/>
    </row>
    <row r="60" spans="1:5" ht="33.75" customHeight="1" x14ac:dyDescent="0.25">
      <c r="A60" s="454" t="s">
        <v>832</v>
      </c>
      <c r="B60" s="465">
        <f>B26</f>
        <v>1000000</v>
      </c>
      <c r="C60" s="50" t="s">
        <v>820</v>
      </c>
      <c r="D60" s="466" t="s">
        <v>707</v>
      </c>
      <c r="E60" s="435"/>
    </row>
    <row r="61" spans="1:5" ht="33" customHeight="1" x14ac:dyDescent="0.25">
      <c r="A61" s="745" t="s">
        <v>94</v>
      </c>
      <c r="B61" s="446">
        <v>0.9</v>
      </c>
      <c r="C61" s="50" t="s">
        <v>161</v>
      </c>
      <c r="D61" s="425" t="s">
        <v>697</v>
      </c>
      <c r="E61" s="50" t="s">
        <v>291</v>
      </c>
    </row>
    <row r="62" spans="1:5" ht="30" customHeight="1" x14ac:dyDescent="0.25">
      <c r="A62" s="746"/>
      <c r="B62" s="448">
        <v>438000</v>
      </c>
      <c r="C62" s="50" t="s">
        <v>694</v>
      </c>
      <c r="D62" s="425" t="s">
        <v>699</v>
      </c>
      <c r="E62" s="435" t="s">
        <v>718</v>
      </c>
    </row>
    <row r="63" spans="1:5" ht="28.5" customHeight="1" x14ac:dyDescent="0.25">
      <c r="A63" s="746"/>
      <c r="B63" s="451">
        <v>80000</v>
      </c>
      <c r="C63" s="50" t="s">
        <v>165</v>
      </c>
      <c r="D63" s="425" t="s">
        <v>700</v>
      </c>
      <c r="E63" s="50">
        <v>114286</v>
      </c>
    </row>
    <row r="64" spans="1:5" ht="28.5" customHeight="1" x14ac:dyDescent="0.25">
      <c r="A64" s="747"/>
      <c r="B64" s="125">
        <f>B63*((B60/B62)^B61)*B9/100</f>
        <v>168175.71684869868</v>
      </c>
      <c r="C64" s="50" t="s">
        <v>165</v>
      </c>
      <c r="D64" s="425" t="s">
        <v>1280</v>
      </c>
      <c r="E64" s="50"/>
    </row>
    <row r="65" spans="1:5" ht="29.25" customHeight="1" x14ac:dyDescent="0.25">
      <c r="A65" s="425" t="s">
        <v>719</v>
      </c>
      <c r="B65" s="449">
        <v>1.5</v>
      </c>
      <c r="C65" s="50" t="s">
        <v>701</v>
      </c>
      <c r="D65" s="425" t="s">
        <v>162</v>
      </c>
      <c r="E65" s="394" t="s">
        <v>720</v>
      </c>
    </row>
    <row r="66" spans="1:5" ht="16.5" thickBot="1" x14ac:dyDescent="0.3">
      <c r="A66" s="450" t="s">
        <v>861</v>
      </c>
      <c r="B66" s="450"/>
      <c r="C66" s="450"/>
      <c r="D66" s="450"/>
      <c r="E66" s="450"/>
    </row>
    <row r="67" spans="1:5" x14ac:dyDescent="0.25">
      <c r="A67" s="431" t="s">
        <v>721</v>
      </c>
      <c r="B67" s="432"/>
      <c r="C67" s="432"/>
      <c r="D67" s="432"/>
      <c r="E67" s="433"/>
    </row>
    <row r="68" spans="1:5" ht="30" x14ac:dyDescent="0.25">
      <c r="A68" s="456" t="s">
        <v>377</v>
      </c>
      <c r="B68" s="430">
        <v>385</v>
      </c>
      <c r="C68" s="50" t="s">
        <v>817</v>
      </c>
      <c r="D68" s="425" t="s">
        <v>754</v>
      </c>
      <c r="E68" s="462" t="s">
        <v>818</v>
      </c>
    </row>
    <row r="69" spans="1:5" x14ac:dyDescent="0.25">
      <c r="A69" s="744" t="s">
        <v>822</v>
      </c>
      <c r="B69" s="744"/>
      <c r="C69" s="744"/>
      <c r="D69" s="744"/>
      <c r="E69" s="744"/>
    </row>
    <row r="70" spans="1:5" ht="31.5" x14ac:dyDescent="0.25">
      <c r="A70" s="452" t="s">
        <v>722</v>
      </c>
      <c r="B70" s="439">
        <f>B20</f>
        <v>3.0000000000000001E-3</v>
      </c>
      <c r="C70" s="50" t="s">
        <v>792</v>
      </c>
      <c r="D70" s="314" t="s">
        <v>823</v>
      </c>
      <c r="E70" s="453"/>
    </row>
    <row r="71" spans="1:5" ht="30" customHeight="1" x14ac:dyDescent="0.25">
      <c r="A71" s="492" t="s">
        <v>821</v>
      </c>
      <c r="B71" s="202">
        <f>B70*B26</f>
        <v>3000</v>
      </c>
      <c r="C71" s="50" t="s">
        <v>723</v>
      </c>
      <c r="D71" s="314"/>
      <c r="E71" s="453"/>
    </row>
    <row r="72" spans="1:5" ht="30.75" customHeight="1" x14ac:dyDescent="0.25">
      <c r="A72" s="745" t="s">
        <v>94</v>
      </c>
      <c r="B72" s="442">
        <v>0.63570000000000004</v>
      </c>
      <c r="C72" s="50" t="s">
        <v>161</v>
      </c>
      <c r="D72" s="425" t="s">
        <v>697</v>
      </c>
      <c r="E72" s="736" t="s">
        <v>698</v>
      </c>
    </row>
    <row r="73" spans="1:5" ht="30.75" customHeight="1" x14ac:dyDescent="0.25">
      <c r="A73" s="746"/>
      <c r="B73" s="443">
        <v>8.76</v>
      </c>
      <c r="C73" s="50" t="s">
        <v>723</v>
      </c>
      <c r="D73" s="425" t="s">
        <v>699</v>
      </c>
      <c r="E73" s="736"/>
    </row>
    <row r="74" spans="1:5" ht="30" customHeight="1" x14ac:dyDescent="0.25">
      <c r="A74" s="746"/>
      <c r="B74" s="426">
        <v>29849</v>
      </c>
      <c r="C74" s="50" t="s">
        <v>165</v>
      </c>
      <c r="D74" s="425" t="s">
        <v>700</v>
      </c>
      <c r="E74" s="736"/>
    </row>
    <row r="75" spans="1:5" ht="30" customHeight="1" x14ac:dyDescent="0.25">
      <c r="A75" s="747"/>
      <c r="B75" s="125">
        <f>B74*((B71/B73)^B72)*B9/100</f>
        <v>1219511.5203825976</v>
      </c>
      <c r="C75" s="50" t="s">
        <v>165</v>
      </c>
      <c r="D75" s="425" t="s">
        <v>1280</v>
      </c>
      <c r="E75" s="394"/>
    </row>
    <row r="76" spans="1:5" ht="30" x14ac:dyDescent="0.25">
      <c r="A76" s="422" t="s">
        <v>162</v>
      </c>
      <c r="B76" s="449">
        <v>2.5</v>
      </c>
      <c r="C76" s="50" t="s">
        <v>701</v>
      </c>
      <c r="D76" s="425" t="s">
        <v>162</v>
      </c>
      <c r="E76" s="394" t="s">
        <v>724</v>
      </c>
    </row>
    <row r="77" spans="1:5" x14ac:dyDescent="0.25">
      <c r="A77" s="418" t="s">
        <v>809</v>
      </c>
      <c r="B77" s="418"/>
      <c r="C77" s="418"/>
      <c r="D77" s="418"/>
      <c r="E77" s="418"/>
    </row>
    <row r="78" spans="1:5" ht="35.25" customHeight="1" x14ac:dyDescent="0.25">
      <c r="A78" s="101" t="s">
        <v>1035</v>
      </c>
      <c r="B78" s="221">
        <v>8</v>
      </c>
      <c r="C78" s="101" t="s">
        <v>1030</v>
      </c>
      <c r="D78" s="524"/>
      <c r="E78" s="93" t="s">
        <v>1209</v>
      </c>
    </row>
    <row r="79" spans="1:5" ht="30.75" customHeight="1" x14ac:dyDescent="0.25">
      <c r="A79" s="101" t="s">
        <v>1027</v>
      </c>
      <c r="B79" s="27">
        <v>4.8</v>
      </c>
      <c r="C79" s="101" t="s">
        <v>1031</v>
      </c>
      <c r="D79" s="268" t="s">
        <v>1028</v>
      </c>
      <c r="E79" s="610" t="s">
        <v>1029</v>
      </c>
    </row>
    <row r="80" spans="1:5" ht="33.75" customHeight="1" x14ac:dyDescent="0.25">
      <c r="A80" s="112" t="s">
        <v>1020</v>
      </c>
      <c r="B80" s="523">
        <v>1920</v>
      </c>
      <c r="C80" s="112" t="s">
        <v>1021</v>
      </c>
      <c r="D80" s="524"/>
      <c r="E80" s="124" t="s">
        <v>1022</v>
      </c>
    </row>
    <row r="81" spans="1:8" ht="33" customHeight="1" x14ac:dyDescent="0.25">
      <c r="A81" s="112" t="s">
        <v>1024</v>
      </c>
      <c r="B81" s="616">
        <v>36</v>
      </c>
      <c r="C81" s="112" t="s">
        <v>1023</v>
      </c>
      <c r="D81" s="524"/>
      <c r="E81" s="93" t="s">
        <v>1025</v>
      </c>
    </row>
    <row r="82" spans="1:8" ht="31.5" customHeight="1" x14ac:dyDescent="0.25">
      <c r="A82" s="62" t="s">
        <v>802</v>
      </c>
      <c r="B82" s="227">
        <f>B78*B79*B80*B81</f>
        <v>2654208</v>
      </c>
      <c r="C82" s="62" t="s">
        <v>261</v>
      </c>
      <c r="D82" s="524"/>
      <c r="E82" s="524"/>
    </row>
    <row r="83" spans="1:8" x14ac:dyDescent="0.25">
      <c r="A83" s="450" t="s">
        <v>725</v>
      </c>
      <c r="B83" s="450"/>
      <c r="C83" s="450"/>
      <c r="D83" s="450"/>
      <c r="E83" s="450"/>
    </row>
    <row r="84" spans="1:8" x14ac:dyDescent="0.25">
      <c r="A84" s="744" t="s">
        <v>726</v>
      </c>
      <c r="B84" s="744"/>
      <c r="C84" s="744"/>
      <c r="D84" s="744"/>
      <c r="E84" s="744"/>
    </row>
    <row r="85" spans="1:8" ht="27.75" customHeight="1" x14ac:dyDescent="0.25">
      <c r="A85" s="745" t="s">
        <v>94</v>
      </c>
      <c r="B85" s="442">
        <v>0.55840000000000001</v>
      </c>
      <c r="C85" s="50" t="s">
        <v>161</v>
      </c>
      <c r="D85" s="425" t="s">
        <v>697</v>
      </c>
      <c r="E85" s="736" t="s">
        <v>698</v>
      </c>
    </row>
    <row r="86" spans="1:8" ht="25.5" customHeight="1" x14ac:dyDescent="0.25">
      <c r="A86" s="746"/>
      <c r="B86" s="443">
        <v>8.76</v>
      </c>
      <c r="C86" s="50" t="s">
        <v>605</v>
      </c>
      <c r="D86" s="425" t="s">
        <v>750</v>
      </c>
      <c r="E86" s="736"/>
    </row>
    <row r="87" spans="1:8" ht="30" customHeight="1" x14ac:dyDescent="0.25">
      <c r="A87" s="746"/>
      <c r="B87" s="426">
        <v>68056</v>
      </c>
      <c r="C87" s="50" t="s">
        <v>165</v>
      </c>
      <c r="D87" s="425" t="s">
        <v>700</v>
      </c>
      <c r="E87" s="736"/>
    </row>
    <row r="88" spans="1:8" ht="30" customHeight="1" x14ac:dyDescent="0.25">
      <c r="A88" s="747"/>
      <c r="B88" s="125">
        <f>B87*((B12/B86)^B85)*B9/100</f>
        <v>45391248.35415218</v>
      </c>
      <c r="C88" s="50" t="s">
        <v>165</v>
      </c>
      <c r="D88" s="425" t="s">
        <v>1280</v>
      </c>
      <c r="E88" s="394"/>
    </row>
    <row r="89" spans="1:8" x14ac:dyDescent="0.25">
      <c r="A89" s="744" t="s">
        <v>727</v>
      </c>
      <c r="B89" s="744"/>
      <c r="C89" s="744"/>
      <c r="D89" s="744"/>
      <c r="E89" s="744"/>
      <c r="G89" s="97"/>
      <c r="H89" s="289"/>
    </row>
    <row r="90" spans="1:8" ht="25.5" customHeight="1" x14ac:dyDescent="0.25">
      <c r="A90" s="745" t="s">
        <v>94</v>
      </c>
      <c r="B90" s="442">
        <v>0.8</v>
      </c>
      <c r="C90" s="50" t="s">
        <v>161</v>
      </c>
      <c r="D90" s="425" t="s">
        <v>697</v>
      </c>
      <c r="E90" s="736" t="s">
        <v>698</v>
      </c>
      <c r="G90" s="263"/>
      <c r="H90" s="525"/>
    </row>
    <row r="91" spans="1:8" ht="26.25" customHeight="1" x14ac:dyDescent="0.25">
      <c r="A91" s="746"/>
      <c r="B91" s="443">
        <v>8.76</v>
      </c>
      <c r="C91" s="50" t="s">
        <v>605</v>
      </c>
      <c r="D91" s="425" t="s">
        <v>750</v>
      </c>
      <c r="E91" s="736"/>
      <c r="G91" s="263"/>
      <c r="H91" s="526"/>
    </row>
    <row r="92" spans="1:8" ht="27.75" customHeight="1" x14ac:dyDescent="0.25">
      <c r="A92" s="746"/>
      <c r="B92" s="426">
        <v>6160</v>
      </c>
      <c r="C92" s="50" t="s">
        <v>165</v>
      </c>
      <c r="D92" s="425" t="s">
        <v>700</v>
      </c>
      <c r="E92" s="736"/>
      <c r="G92" s="97"/>
      <c r="H92" s="527"/>
    </row>
    <row r="93" spans="1:8" ht="27.75" customHeight="1" x14ac:dyDescent="0.25">
      <c r="A93" s="747"/>
      <c r="B93" s="125">
        <f>B92*((B12/B91)^B90)*B9/100</f>
        <v>68482156.410435766</v>
      </c>
      <c r="C93" s="50" t="s">
        <v>165</v>
      </c>
      <c r="D93" s="425" t="s">
        <v>1280</v>
      </c>
      <c r="E93" s="394"/>
    </row>
    <row r="94" spans="1:8" x14ac:dyDescent="0.25">
      <c r="A94" s="744" t="s">
        <v>728</v>
      </c>
      <c r="B94" s="744"/>
      <c r="C94" s="744"/>
      <c r="D94" s="744"/>
      <c r="E94" s="744"/>
    </row>
    <row r="95" spans="1:8" ht="24.75" customHeight="1" x14ac:dyDescent="0.25">
      <c r="A95" s="745" t="s">
        <v>94</v>
      </c>
      <c r="B95" s="442">
        <v>0.55830000000000002</v>
      </c>
      <c r="C95" s="50" t="s">
        <v>161</v>
      </c>
      <c r="D95" s="425" t="s">
        <v>697</v>
      </c>
      <c r="E95" s="736" t="s">
        <v>698</v>
      </c>
    </row>
    <row r="96" spans="1:8" ht="24.75" customHeight="1" x14ac:dyDescent="0.25">
      <c r="A96" s="746"/>
      <c r="B96" s="443">
        <v>8.76</v>
      </c>
      <c r="C96" s="50" t="s">
        <v>605</v>
      </c>
      <c r="D96" s="425" t="s">
        <v>750</v>
      </c>
      <c r="E96" s="736"/>
    </row>
    <row r="97" spans="1:5" ht="25.5" customHeight="1" x14ac:dyDescent="0.25">
      <c r="A97" s="746"/>
      <c r="B97" s="426">
        <v>170142</v>
      </c>
      <c r="C97" s="50" t="s">
        <v>165</v>
      </c>
      <c r="D97" s="425" t="s">
        <v>700</v>
      </c>
      <c r="E97" s="736"/>
    </row>
    <row r="98" spans="1:5" ht="30" customHeight="1" x14ac:dyDescent="0.25">
      <c r="A98" s="747"/>
      <c r="B98" s="125">
        <f>B97*((B12/B96)^B95)*B9/100</f>
        <v>113347381.34453897</v>
      </c>
      <c r="C98" s="50" t="s">
        <v>165</v>
      </c>
      <c r="D98" s="112" t="s">
        <v>1280</v>
      </c>
      <c r="E98" s="113"/>
    </row>
    <row r="99" spans="1:5" x14ac:dyDescent="0.25">
      <c r="A99" s="103" t="s">
        <v>88</v>
      </c>
      <c r="B99" s="103"/>
      <c r="C99" s="103"/>
      <c r="D99" s="103"/>
      <c r="E99" s="117"/>
    </row>
    <row r="100" spans="1:5" ht="30.75" customHeight="1" x14ac:dyDescent="0.25">
      <c r="A100" s="92" t="s">
        <v>88</v>
      </c>
      <c r="B100" s="87">
        <v>0</v>
      </c>
      <c r="C100" s="218" t="s">
        <v>165</v>
      </c>
      <c r="D100" s="92" t="s">
        <v>259</v>
      </c>
      <c r="E100" s="92"/>
    </row>
    <row r="101" spans="1:5" ht="15.75" customHeight="1" x14ac:dyDescent="0.25">
      <c r="A101" s="450" t="s">
        <v>755</v>
      </c>
      <c r="B101" s="450"/>
      <c r="C101" s="450"/>
      <c r="D101" s="450"/>
      <c r="E101" s="450"/>
    </row>
    <row r="102" spans="1:5" ht="30.75" customHeight="1" x14ac:dyDescent="0.25">
      <c r="A102" s="434" t="s">
        <v>742</v>
      </c>
      <c r="B102" s="443">
        <v>0</v>
      </c>
      <c r="C102" s="50" t="s">
        <v>608</v>
      </c>
      <c r="D102" s="425" t="s">
        <v>810</v>
      </c>
      <c r="E102" s="394" t="s">
        <v>811</v>
      </c>
    </row>
    <row r="103" spans="1:5" ht="30.75" customHeight="1" x14ac:dyDescent="0.25">
      <c r="A103" s="417" t="s">
        <v>812</v>
      </c>
      <c r="B103" s="490">
        <f>HLOOKUP(B16,H22:I32,2,FALSE)</f>
        <v>0.03</v>
      </c>
      <c r="C103" s="50" t="s">
        <v>262</v>
      </c>
      <c r="D103" s="425"/>
      <c r="E103" s="491"/>
    </row>
    <row r="104" spans="1:5" ht="30.75" customHeight="1" x14ac:dyDescent="0.25">
      <c r="A104" s="452" t="s">
        <v>377</v>
      </c>
      <c r="B104" s="368">
        <v>8.3000000000000004E-2</v>
      </c>
      <c r="C104" s="50" t="s">
        <v>262</v>
      </c>
      <c r="D104" s="425" t="s">
        <v>756</v>
      </c>
      <c r="E104" s="394" t="s">
        <v>757</v>
      </c>
    </row>
    <row r="105" spans="1:5" x14ac:dyDescent="0.25">
      <c r="A105" s="450" t="s">
        <v>87</v>
      </c>
      <c r="B105" s="450"/>
      <c r="C105" s="450"/>
      <c r="D105" s="450"/>
      <c r="E105" s="450"/>
    </row>
    <row r="106" spans="1:5" ht="30.75" customHeight="1" x14ac:dyDescent="0.25">
      <c r="A106" s="425" t="s">
        <v>758</v>
      </c>
      <c r="B106" s="449">
        <v>0</v>
      </c>
      <c r="C106" s="50" t="s">
        <v>701</v>
      </c>
      <c r="D106" s="425" t="s">
        <v>759</v>
      </c>
      <c r="E106" s="50" t="s">
        <v>760</v>
      </c>
    </row>
    <row r="107" spans="1:5" ht="30.75" customHeight="1" x14ac:dyDescent="0.25">
      <c r="A107" s="425" t="s">
        <v>761</v>
      </c>
      <c r="B107" s="449">
        <v>0</v>
      </c>
      <c r="C107" s="50" t="s">
        <v>701</v>
      </c>
      <c r="D107" s="425" t="s">
        <v>762</v>
      </c>
      <c r="E107" s="50" t="s">
        <v>760</v>
      </c>
    </row>
    <row r="108" spans="1:5" ht="30.75" customHeight="1" x14ac:dyDescent="0.25">
      <c r="A108" s="425" t="s">
        <v>763</v>
      </c>
      <c r="B108" s="449">
        <v>0</v>
      </c>
      <c r="C108" s="50" t="s">
        <v>165</v>
      </c>
      <c r="D108" s="425" t="s">
        <v>764</v>
      </c>
      <c r="E108" s="50" t="s">
        <v>760</v>
      </c>
    </row>
    <row r="109" spans="1:5" ht="30.75" customHeight="1" x14ac:dyDescent="0.25">
      <c r="A109" s="425" t="s">
        <v>765</v>
      </c>
      <c r="B109" s="449">
        <v>0</v>
      </c>
      <c r="C109" s="50" t="s">
        <v>261</v>
      </c>
      <c r="D109" s="425" t="s">
        <v>766</v>
      </c>
      <c r="E109" s="50" t="s">
        <v>760</v>
      </c>
    </row>
    <row r="110" spans="1:5" ht="30.75" customHeight="1" x14ac:dyDescent="0.25">
      <c r="A110" s="92" t="s">
        <v>89</v>
      </c>
      <c r="B110" s="87">
        <v>0</v>
      </c>
      <c r="C110" s="218" t="s">
        <v>261</v>
      </c>
      <c r="D110" s="92" t="s">
        <v>259</v>
      </c>
      <c r="E110" s="50" t="s">
        <v>760</v>
      </c>
    </row>
    <row r="111" spans="1:5" x14ac:dyDescent="0.25">
      <c r="A111" s="118" t="s">
        <v>366</v>
      </c>
      <c r="B111" s="119"/>
      <c r="C111" s="119"/>
      <c r="D111" s="119"/>
      <c r="E111" s="120"/>
    </row>
    <row r="112" spans="1:5" x14ac:dyDescent="0.25">
      <c r="A112" s="103" t="s">
        <v>645</v>
      </c>
      <c r="B112" s="103"/>
      <c r="C112" s="103"/>
      <c r="D112" s="103"/>
      <c r="E112" s="117"/>
    </row>
    <row r="113" spans="1:5" ht="34.5" customHeight="1" x14ac:dyDescent="0.25">
      <c r="A113" s="121" t="s">
        <v>646</v>
      </c>
      <c r="B113" s="27">
        <v>0</v>
      </c>
      <c r="C113" s="121" t="s">
        <v>647</v>
      </c>
      <c r="D113" s="121" t="s">
        <v>651</v>
      </c>
      <c r="E113" s="122" t="s">
        <v>648</v>
      </c>
    </row>
    <row r="114" spans="1:5" ht="16.5" customHeight="1" x14ac:dyDescent="0.25">
      <c r="A114" s="103" t="s">
        <v>772</v>
      </c>
      <c r="B114" s="103"/>
      <c r="C114" s="103"/>
      <c r="D114" s="103"/>
      <c r="E114" s="117"/>
    </row>
    <row r="115" spans="1:5" ht="34.5" customHeight="1" x14ac:dyDescent="0.25">
      <c r="A115" s="463" t="s">
        <v>778</v>
      </c>
      <c r="B115" s="503">
        <f>HLOOKUP(B16,H22:I32,3,FALSE)</f>
        <v>0.186</v>
      </c>
      <c r="C115" s="422" t="s">
        <v>475</v>
      </c>
      <c r="D115" s="469" t="s">
        <v>814</v>
      </c>
      <c r="E115" s="108"/>
    </row>
    <row r="116" spans="1:5" ht="34.5" customHeight="1" x14ac:dyDescent="0.25">
      <c r="A116" s="745" t="s">
        <v>929</v>
      </c>
      <c r="B116" s="427">
        <f>HLOOKUP(B16,H22:I32,11,FALSE)</f>
        <v>2</v>
      </c>
      <c r="C116" s="422" t="s">
        <v>928</v>
      </c>
      <c r="D116" s="469"/>
      <c r="E116" s="108"/>
    </row>
    <row r="117" spans="1:5" ht="34.5" customHeight="1" x14ac:dyDescent="0.25">
      <c r="A117" s="747"/>
      <c r="B117" s="503">
        <f>B116*0.27</f>
        <v>0.54</v>
      </c>
      <c r="C117" s="422" t="s">
        <v>827</v>
      </c>
      <c r="D117" s="468" t="s">
        <v>930</v>
      </c>
      <c r="E117" s="394" t="s">
        <v>773</v>
      </c>
    </row>
    <row r="118" spans="1:5" x14ac:dyDescent="0.25">
      <c r="A118" s="103" t="s">
        <v>767</v>
      </c>
      <c r="B118" s="103"/>
      <c r="C118" s="103"/>
      <c r="D118" s="103"/>
      <c r="E118" s="117"/>
    </row>
    <row r="119" spans="1:5" ht="34.5" customHeight="1" x14ac:dyDescent="0.25">
      <c r="A119" s="463" t="s">
        <v>377</v>
      </c>
      <c r="B119" s="368">
        <v>0.63</v>
      </c>
      <c r="C119" s="112" t="s">
        <v>415</v>
      </c>
      <c r="D119" s="267" t="s">
        <v>874</v>
      </c>
      <c r="E119" s="294" t="s">
        <v>420</v>
      </c>
    </row>
    <row r="120" spans="1:5" ht="30" x14ac:dyDescent="0.25">
      <c r="A120" s="425" t="s">
        <v>768</v>
      </c>
      <c r="B120" s="449">
        <v>0</v>
      </c>
      <c r="C120" s="422" t="s">
        <v>604</v>
      </c>
      <c r="D120" s="468" t="s">
        <v>774</v>
      </c>
      <c r="E120" s="394" t="s">
        <v>769</v>
      </c>
    </row>
    <row r="121" spans="1:5" ht="37.5" customHeight="1" x14ac:dyDescent="0.25">
      <c r="A121" s="425" t="s">
        <v>770</v>
      </c>
      <c r="B121" s="449">
        <v>0</v>
      </c>
      <c r="C121" s="422" t="s">
        <v>604</v>
      </c>
      <c r="D121" s="467" t="s">
        <v>775</v>
      </c>
      <c r="E121" s="394" t="s">
        <v>771</v>
      </c>
    </row>
    <row r="122" spans="1:5" x14ac:dyDescent="0.25">
      <c r="A122" s="103" t="s">
        <v>382</v>
      </c>
      <c r="B122" s="103"/>
      <c r="C122" s="103"/>
      <c r="D122" s="103"/>
      <c r="E122" s="117"/>
    </row>
    <row r="123" spans="1:5" ht="27.75" customHeight="1" x14ac:dyDescent="0.25">
      <c r="A123" s="696" t="s">
        <v>824</v>
      </c>
      <c r="B123" s="227">
        <f>B119*B21*B26*(B13/100)</f>
        <v>39690000</v>
      </c>
      <c r="C123" s="112" t="s">
        <v>385</v>
      </c>
      <c r="D123" s="295"/>
      <c r="E123" s="124"/>
    </row>
    <row r="124" spans="1:5" ht="27.75" customHeight="1" x14ac:dyDescent="0.25">
      <c r="A124" s="697"/>
      <c r="B124" s="373">
        <f>B119*B21</f>
        <v>44.1</v>
      </c>
      <c r="C124" s="112" t="s">
        <v>827</v>
      </c>
      <c r="D124" s="92"/>
      <c r="E124" s="124"/>
    </row>
    <row r="125" spans="1:5" ht="27.75" customHeight="1" x14ac:dyDescent="0.25">
      <c r="A125" s="699" t="s">
        <v>834</v>
      </c>
      <c r="B125" s="227">
        <f>B119*B58*B60*(B13/100)</f>
        <v>5670000</v>
      </c>
      <c r="C125" s="112" t="s">
        <v>385</v>
      </c>
      <c r="D125" s="92"/>
      <c r="E125" s="124"/>
    </row>
    <row r="126" spans="1:5" ht="27.75" customHeight="1" x14ac:dyDescent="0.25">
      <c r="A126" s="699"/>
      <c r="B126" s="373">
        <f>B119*B58</f>
        <v>6.3</v>
      </c>
      <c r="C126" s="112" t="s">
        <v>827</v>
      </c>
      <c r="D126" s="92"/>
      <c r="E126" s="124"/>
    </row>
    <row r="127" spans="1:5" ht="27.75" customHeight="1" x14ac:dyDescent="0.25">
      <c r="A127" s="696" t="s">
        <v>825</v>
      </c>
      <c r="B127" s="373">
        <f>B119*B68*B71*(B13/100)</f>
        <v>654885</v>
      </c>
      <c r="C127" s="112" t="s">
        <v>385</v>
      </c>
      <c r="D127" s="92"/>
      <c r="E127" s="124"/>
    </row>
    <row r="128" spans="1:5" ht="27.75" customHeight="1" x14ac:dyDescent="0.25">
      <c r="A128" s="697"/>
      <c r="B128" s="373">
        <f>B119*B68*B70</f>
        <v>0.72765000000000002</v>
      </c>
      <c r="C128" s="112" t="s">
        <v>827</v>
      </c>
      <c r="D128" s="92"/>
      <c r="E128" s="124"/>
    </row>
    <row r="129" spans="1:5" ht="30.75" customHeight="1" x14ac:dyDescent="0.25">
      <c r="A129" s="693" t="s">
        <v>826</v>
      </c>
      <c r="B129" s="125">
        <f>(B115*B19*B26*(B13/100))-(B117*B26*(B13/100))</f>
        <v>464886000.00000006</v>
      </c>
      <c r="C129" s="112" t="s">
        <v>385</v>
      </c>
      <c r="D129" s="101" t="s">
        <v>1005</v>
      </c>
      <c r="E129" s="124"/>
    </row>
    <row r="130" spans="1:5" ht="30.75" customHeight="1" x14ac:dyDescent="0.25">
      <c r="A130" s="694"/>
      <c r="B130" s="374">
        <f>B115*B19-B117</f>
        <v>516.54000000000008</v>
      </c>
      <c r="C130" s="112" t="s">
        <v>827</v>
      </c>
      <c r="D130" s="101" t="s">
        <v>1005</v>
      </c>
      <c r="E130" s="99"/>
    </row>
    <row r="131" spans="1:5" ht="30.75" customHeight="1" x14ac:dyDescent="0.25">
      <c r="A131" s="693" t="s">
        <v>768</v>
      </c>
      <c r="B131" s="125">
        <f>B120*B24*B26*(B13/100)</f>
        <v>0</v>
      </c>
      <c r="C131" s="112" t="s">
        <v>385</v>
      </c>
      <c r="D131" s="101"/>
      <c r="E131" s="99"/>
    </row>
    <row r="132" spans="1:5" ht="30.75" customHeight="1" x14ac:dyDescent="0.25">
      <c r="A132" s="694"/>
      <c r="B132" s="374">
        <f>B120*B24</f>
        <v>0</v>
      </c>
      <c r="C132" s="112" t="s">
        <v>827</v>
      </c>
      <c r="D132" s="101"/>
      <c r="E132" s="99"/>
    </row>
    <row r="133" spans="1:5" ht="30.75" customHeight="1" x14ac:dyDescent="0.25">
      <c r="A133" s="693" t="s">
        <v>770</v>
      </c>
      <c r="B133" s="125">
        <f>B121*B24*B26*(B13/100)</f>
        <v>0</v>
      </c>
      <c r="C133" s="112" t="s">
        <v>385</v>
      </c>
      <c r="D133" s="101"/>
      <c r="E133" s="99"/>
    </row>
    <row r="134" spans="1:5" ht="30.75" customHeight="1" x14ac:dyDescent="0.25">
      <c r="A134" s="694"/>
      <c r="B134" s="374">
        <f>B121*B24</f>
        <v>0</v>
      </c>
      <c r="C134" s="112" t="s">
        <v>827</v>
      </c>
      <c r="D134" s="101"/>
      <c r="E134" s="99"/>
    </row>
    <row r="135" spans="1:5" ht="30.75" customHeight="1" x14ac:dyDescent="0.25">
      <c r="A135" s="112" t="s">
        <v>528</v>
      </c>
      <c r="B135" s="374">
        <f>B124+B126+B128+B132+B134</f>
        <v>51.127649999999996</v>
      </c>
      <c r="C135" s="112" t="s">
        <v>827</v>
      </c>
      <c r="D135" s="92"/>
      <c r="E135" s="124"/>
    </row>
    <row r="136" spans="1:5" ht="26.25" customHeight="1" x14ac:dyDescent="0.25">
      <c r="A136" s="112" t="s">
        <v>529</v>
      </c>
      <c r="B136" s="374">
        <f>B130</f>
        <v>516.54000000000008</v>
      </c>
      <c r="C136" s="112" t="s">
        <v>827</v>
      </c>
      <c r="D136" s="92"/>
      <c r="E136" s="124"/>
    </row>
    <row r="137" spans="1:5" ht="30" customHeight="1" x14ac:dyDescent="0.25">
      <c r="A137" s="112" t="s">
        <v>530</v>
      </c>
      <c r="B137" s="375">
        <f>B135+B136</f>
        <v>567.66765000000009</v>
      </c>
      <c r="C137" s="112" t="s">
        <v>827</v>
      </c>
      <c r="D137" s="92"/>
      <c r="E137" s="124"/>
    </row>
    <row r="138" spans="1:5" x14ac:dyDescent="0.25">
      <c r="A138" s="103" t="s">
        <v>841</v>
      </c>
      <c r="B138" s="103"/>
      <c r="C138" s="103"/>
      <c r="D138" s="103"/>
      <c r="E138" s="117"/>
    </row>
    <row r="139" spans="1:5" ht="30" customHeight="1" x14ac:dyDescent="0.25">
      <c r="A139" s="92" t="s">
        <v>841</v>
      </c>
      <c r="B139" s="109">
        <f>B12*(B13/100)</f>
        <v>900000</v>
      </c>
      <c r="C139" s="92" t="s">
        <v>842</v>
      </c>
      <c r="D139" s="92" t="s">
        <v>660</v>
      </c>
      <c r="E139" s="92"/>
    </row>
    <row r="140" spans="1:5" x14ac:dyDescent="0.25">
      <c r="A140" s="118" t="s">
        <v>251</v>
      </c>
      <c r="B140" s="119"/>
      <c r="C140" s="119"/>
      <c r="D140" s="119"/>
      <c r="E140" s="120"/>
    </row>
    <row r="141" spans="1:5" x14ac:dyDescent="0.25">
      <c r="A141" s="103" t="s">
        <v>94</v>
      </c>
      <c r="B141" s="103"/>
      <c r="C141" s="103"/>
      <c r="D141" s="103"/>
      <c r="E141" s="117"/>
    </row>
    <row r="142" spans="1:5" ht="29.25" customHeight="1" x14ac:dyDescent="0.25">
      <c r="A142" s="92" t="s">
        <v>836</v>
      </c>
      <c r="B142" s="109">
        <f>B30*(B8/100)</f>
        <v>7810032.4515034379</v>
      </c>
      <c r="C142" s="92" t="s">
        <v>261</v>
      </c>
      <c r="D142" s="92"/>
      <c r="E142" s="92"/>
    </row>
    <row r="143" spans="1:5" ht="30.75" customHeight="1" x14ac:dyDescent="0.25">
      <c r="A143" s="92" t="s">
        <v>828</v>
      </c>
      <c r="B143" s="109">
        <f>B38*(B8/100)</f>
        <v>6756581.8575754473</v>
      </c>
      <c r="C143" s="92" t="s">
        <v>261</v>
      </c>
      <c r="D143" s="92"/>
      <c r="E143" s="92"/>
    </row>
    <row r="144" spans="1:5" ht="30.75" customHeight="1" x14ac:dyDescent="0.25">
      <c r="A144" s="92" t="s">
        <v>829</v>
      </c>
      <c r="B144" s="109">
        <f>B46*(B8/100)</f>
        <v>958883.87933167338</v>
      </c>
      <c r="C144" s="92" t="s">
        <v>261</v>
      </c>
      <c r="D144" s="92"/>
      <c r="E144" s="92"/>
    </row>
    <row r="145" spans="1:5" ht="30.75" customHeight="1" x14ac:dyDescent="0.25">
      <c r="A145" s="92" t="s">
        <v>830</v>
      </c>
      <c r="B145" s="94">
        <f>B54*(B8/100)</f>
        <v>94621.025784926343</v>
      </c>
      <c r="C145" s="92" t="s">
        <v>261</v>
      </c>
      <c r="D145" s="92"/>
      <c r="E145" s="92"/>
    </row>
    <row r="146" spans="1:5" ht="33.75" customHeight="1" x14ac:dyDescent="0.25">
      <c r="A146" s="92" t="s">
        <v>835</v>
      </c>
      <c r="B146" s="94">
        <f>B64*(B8/100)</f>
        <v>13552.676178739614</v>
      </c>
      <c r="C146" s="92" t="s">
        <v>261</v>
      </c>
      <c r="D146" s="92"/>
      <c r="E146" s="92"/>
    </row>
    <row r="147" spans="1:5" ht="33" customHeight="1" x14ac:dyDescent="0.25">
      <c r="A147" s="92" t="s">
        <v>837</v>
      </c>
      <c r="B147" s="94">
        <f>B75*(B8/100)</f>
        <v>98276.047468000717</v>
      </c>
      <c r="C147" s="92" t="s">
        <v>261</v>
      </c>
      <c r="D147" s="92"/>
      <c r="E147" s="92"/>
    </row>
    <row r="148" spans="1:5" ht="33" customHeight="1" x14ac:dyDescent="0.25">
      <c r="A148" s="92" t="s">
        <v>838</v>
      </c>
      <c r="B148" s="94">
        <f>B88*(B8/100)</f>
        <v>3657917.4557407694</v>
      </c>
      <c r="C148" s="92" t="s">
        <v>261</v>
      </c>
      <c r="D148" s="92"/>
      <c r="E148" s="92"/>
    </row>
    <row r="149" spans="1:5" ht="33" customHeight="1" x14ac:dyDescent="0.25">
      <c r="A149" s="92" t="s">
        <v>839</v>
      </c>
      <c r="B149" s="94">
        <f>B93*(B8/100)</f>
        <v>5518730.6898024073</v>
      </c>
      <c r="C149" s="92" t="s">
        <v>261</v>
      </c>
      <c r="D149" s="92"/>
      <c r="E149" s="92"/>
    </row>
    <row r="150" spans="1:5" ht="31.5" customHeight="1" x14ac:dyDescent="0.25">
      <c r="A150" s="92" t="s">
        <v>840</v>
      </c>
      <c r="B150" s="94">
        <f>B98*(B8/100)</f>
        <v>9134257.8099588156</v>
      </c>
      <c r="C150" s="92" t="s">
        <v>261</v>
      </c>
      <c r="D150" s="92"/>
      <c r="E150" s="92"/>
    </row>
    <row r="151" spans="1:5" ht="31.5" customHeight="1" x14ac:dyDescent="0.25">
      <c r="A151" s="92" t="s">
        <v>758</v>
      </c>
      <c r="B151" s="94">
        <f>SUM(B142:B150)*(B106/100)</f>
        <v>0</v>
      </c>
      <c r="C151" s="92" t="s">
        <v>261</v>
      </c>
      <c r="D151" s="92"/>
      <c r="E151" s="92"/>
    </row>
    <row r="152" spans="1:5" ht="31.5" customHeight="1" x14ac:dyDescent="0.25">
      <c r="A152" s="92" t="s">
        <v>761</v>
      </c>
      <c r="B152" s="94">
        <f>SUM(B142:B150)*(B107/100)</f>
        <v>0</v>
      </c>
      <c r="C152" s="92" t="s">
        <v>261</v>
      </c>
      <c r="D152" s="92"/>
      <c r="E152" s="92"/>
    </row>
    <row r="153" spans="1:5" ht="31.5" customHeight="1" x14ac:dyDescent="0.25">
      <c r="A153" s="92" t="s">
        <v>763</v>
      </c>
      <c r="B153" s="94">
        <f>B108*(B8/100)</f>
        <v>0</v>
      </c>
      <c r="C153" s="92" t="s">
        <v>261</v>
      </c>
      <c r="D153" s="92"/>
      <c r="E153" s="92"/>
    </row>
    <row r="154" spans="1:5" x14ac:dyDescent="0.25">
      <c r="A154" s="103" t="s">
        <v>843</v>
      </c>
      <c r="B154" s="103"/>
      <c r="C154" s="103"/>
      <c r="D154" s="103"/>
      <c r="E154" s="117"/>
    </row>
    <row r="155" spans="1:5" ht="31.5" customHeight="1" x14ac:dyDescent="0.25">
      <c r="A155" s="121" t="s">
        <v>803</v>
      </c>
      <c r="B155" s="227">
        <f>B82</f>
        <v>2654208</v>
      </c>
      <c r="C155" s="121" t="s">
        <v>261</v>
      </c>
      <c r="D155" s="121"/>
      <c r="E155" s="122"/>
    </row>
    <row r="156" spans="1:5" ht="31.5" customHeight="1" x14ac:dyDescent="0.25">
      <c r="A156" s="121" t="s">
        <v>804</v>
      </c>
      <c r="B156" s="125">
        <f>(B31/100)*B30</f>
        <v>1453725.2150283507</v>
      </c>
      <c r="C156" s="121" t="s">
        <v>261</v>
      </c>
      <c r="D156" s="121"/>
      <c r="E156" s="122"/>
    </row>
    <row r="157" spans="1:5" ht="31.5" customHeight="1" x14ac:dyDescent="0.25">
      <c r="A157" s="121" t="s">
        <v>805</v>
      </c>
      <c r="B157" s="125">
        <f>(B39/100)*B38</f>
        <v>1257640.5379557337</v>
      </c>
      <c r="C157" s="121" t="s">
        <v>261</v>
      </c>
      <c r="D157" s="121"/>
      <c r="E157" s="122"/>
    </row>
    <row r="158" spans="1:5" ht="33" customHeight="1" x14ac:dyDescent="0.25">
      <c r="A158" s="121" t="s">
        <v>806</v>
      </c>
      <c r="B158" s="125">
        <f>(B47/100)*B46</f>
        <v>178482.44323239895</v>
      </c>
      <c r="C158" s="121" t="s">
        <v>261</v>
      </c>
      <c r="D158" s="121"/>
      <c r="E158" s="122"/>
    </row>
    <row r="159" spans="1:5" ht="31.5" customHeight="1" x14ac:dyDescent="0.25">
      <c r="A159" s="121" t="s">
        <v>807</v>
      </c>
      <c r="B159" s="125">
        <f>(B55/100)*B54</f>
        <v>17612.343086860812</v>
      </c>
      <c r="C159" s="121" t="s">
        <v>261</v>
      </c>
      <c r="D159" s="121"/>
      <c r="E159" s="122"/>
    </row>
    <row r="160" spans="1:5" ht="31.5" customHeight="1" x14ac:dyDescent="0.25">
      <c r="A160" s="121" t="s">
        <v>833</v>
      </c>
      <c r="B160" s="375">
        <f>(B65/100)*B64</f>
        <v>2522.6357527304799</v>
      </c>
      <c r="C160" s="121" t="s">
        <v>261</v>
      </c>
      <c r="D160" s="121"/>
      <c r="E160" s="122"/>
    </row>
    <row r="161" spans="1:5" ht="31.5" x14ac:dyDescent="0.25">
      <c r="A161" s="486" t="s">
        <v>808</v>
      </c>
      <c r="B161" s="375">
        <f>(B76/100)*B75</f>
        <v>30487.788009564942</v>
      </c>
      <c r="C161" s="121" t="s">
        <v>261</v>
      </c>
      <c r="D161" s="121"/>
      <c r="E161" s="122"/>
    </row>
    <row r="162" spans="1:5" ht="30" customHeight="1" x14ac:dyDescent="0.25">
      <c r="A162" s="425" t="s">
        <v>765</v>
      </c>
      <c r="B162" s="375">
        <f>B109</f>
        <v>0</v>
      </c>
      <c r="C162" s="121" t="s">
        <v>261</v>
      </c>
      <c r="D162" s="121"/>
      <c r="E162" s="122"/>
    </row>
    <row r="163" spans="1:5" ht="27.75" customHeight="1" x14ac:dyDescent="0.25">
      <c r="A163" s="92" t="s">
        <v>89</v>
      </c>
      <c r="B163" s="375">
        <f>B110</f>
        <v>0</v>
      </c>
      <c r="C163" s="121" t="s">
        <v>261</v>
      </c>
      <c r="D163" s="121"/>
      <c r="E163" s="122"/>
    </row>
    <row r="164" spans="1:5" x14ac:dyDescent="0.25">
      <c r="A164" s="103" t="s">
        <v>844</v>
      </c>
      <c r="B164" s="103"/>
      <c r="C164" s="103"/>
      <c r="D164" s="103"/>
      <c r="E164" s="117"/>
    </row>
    <row r="165" spans="1:5" ht="33.75" customHeight="1" x14ac:dyDescent="0.25">
      <c r="A165" s="428" t="s">
        <v>742</v>
      </c>
      <c r="B165" s="128">
        <f>B102*B24*B26*(B13/100)</f>
        <v>0</v>
      </c>
      <c r="C165" s="92" t="s">
        <v>261</v>
      </c>
      <c r="D165" s="92"/>
      <c r="E165" s="92"/>
    </row>
    <row r="166" spans="1:5" ht="30.75" customHeight="1" x14ac:dyDescent="0.25">
      <c r="A166" s="487" t="s">
        <v>849</v>
      </c>
      <c r="B166" s="128">
        <f>B103*B19*B26*(B13/100)</f>
        <v>75059999.999999985</v>
      </c>
      <c r="C166" s="92" t="s">
        <v>261</v>
      </c>
      <c r="D166" s="92"/>
      <c r="E166" s="92"/>
    </row>
    <row r="167" spans="1:5" ht="25.5" customHeight="1" x14ac:dyDescent="0.25">
      <c r="A167" s="488" t="s">
        <v>813</v>
      </c>
      <c r="B167" s="128">
        <f>B104*B21*B26*(B13/100)</f>
        <v>5229000.0000000009</v>
      </c>
      <c r="C167" s="92" t="s">
        <v>261</v>
      </c>
      <c r="D167" s="92"/>
      <c r="E167" s="92"/>
    </row>
    <row r="168" spans="1:5" ht="30.75" customHeight="1" x14ac:dyDescent="0.25">
      <c r="A168" s="313" t="s">
        <v>850</v>
      </c>
      <c r="B168" s="128">
        <f>B104*B58*B60*(B13/100)</f>
        <v>747000.00000000012</v>
      </c>
      <c r="C168" s="92" t="s">
        <v>261</v>
      </c>
      <c r="D168" s="92"/>
      <c r="E168" s="92"/>
    </row>
    <row r="169" spans="1:5" ht="27.75" customHeight="1" x14ac:dyDescent="0.25">
      <c r="A169" s="313" t="s">
        <v>815</v>
      </c>
      <c r="B169" s="128">
        <f>B104*B68*B71*(B13/100)</f>
        <v>86278.5</v>
      </c>
      <c r="C169" s="92" t="s">
        <v>261</v>
      </c>
      <c r="D169" s="92"/>
      <c r="E169" s="92"/>
    </row>
    <row r="170" spans="1:5" ht="30" customHeight="1" x14ac:dyDescent="0.25">
      <c r="A170" s="313" t="s">
        <v>765</v>
      </c>
      <c r="B170" s="489">
        <f>B109*(B8/100)</f>
        <v>0</v>
      </c>
      <c r="C170" s="92" t="s">
        <v>261</v>
      </c>
      <c r="D170" s="92"/>
      <c r="E170" s="92"/>
    </row>
    <row r="171" spans="1:5" ht="32.25" customHeight="1" x14ac:dyDescent="0.25">
      <c r="A171" s="92" t="s">
        <v>89</v>
      </c>
      <c r="B171" s="109">
        <f>B110*(B8/100)</f>
        <v>0</v>
      </c>
      <c r="C171" s="92" t="s">
        <v>261</v>
      </c>
      <c r="D171" s="92"/>
      <c r="E171" s="92"/>
    </row>
    <row r="172" spans="1:5" ht="30.75" customHeight="1" x14ac:dyDescent="0.25">
      <c r="A172" s="92" t="s">
        <v>649</v>
      </c>
      <c r="B172" s="109">
        <f>B113*B136*B139/1000</f>
        <v>0</v>
      </c>
      <c r="C172" s="92" t="s">
        <v>261</v>
      </c>
      <c r="D172" s="92" t="s">
        <v>650</v>
      </c>
      <c r="E172" s="92"/>
    </row>
    <row r="173" spans="1:5" x14ac:dyDescent="0.25">
      <c r="A173" s="103" t="s">
        <v>495</v>
      </c>
      <c r="B173" s="103"/>
      <c r="C173" s="103"/>
      <c r="D173" s="103"/>
      <c r="E173" s="117"/>
    </row>
    <row r="174" spans="1:5" ht="30.75" customHeight="1" x14ac:dyDescent="0.25">
      <c r="A174" s="268" t="s">
        <v>846</v>
      </c>
      <c r="B174" s="493">
        <f>B19+B21</f>
        <v>2850</v>
      </c>
      <c r="C174" s="92" t="s">
        <v>791</v>
      </c>
      <c r="D174" s="92"/>
      <c r="E174" s="218"/>
    </row>
    <row r="175" spans="1:5" ht="30.75" customHeight="1" x14ac:dyDescent="0.25">
      <c r="A175" s="268" t="s">
        <v>848</v>
      </c>
      <c r="B175" s="495">
        <f>B68*B70</f>
        <v>1.155</v>
      </c>
      <c r="C175" s="92" t="s">
        <v>791</v>
      </c>
      <c r="D175" s="92"/>
      <c r="E175" s="218"/>
    </row>
    <row r="176" spans="1:5" ht="30.75" customHeight="1" x14ac:dyDescent="0.25">
      <c r="A176" s="101" t="s">
        <v>847</v>
      </c>
      <c r="B176" s="493">
        <f>B58</f>
        <v>10</v>
      </c>
      <c r="C176" s="92" t="s">
        <v>791</v>
      </c>
      <c r="D176" s="92"/>
      <c r="E176" s="218"/>
    </row>
    <row r="177" spans="1:5" ht="30.75" customHeight="1" x14ac:dyDescent="0.25">
      <c r="A177" s="268" t="s">
        <v>845</v>
      </c>
      <c r="B177" s="494">
        <f>SUM(B174:B176)</f>
        <v>2861.1550000000002</v>
      </c>
      <c r="C177" s="92" t="s">
        <v>791</v>
      </c>
      <c r="D177" s="92"/>
      <c r="E177" s="218"/>
    </row>
    <row r="178" spans="1:5" x14ac:dyDescent="0.25">
      <c r="A178" s="103" t="s">
        <v>258</v>
      </c>
      <c r="B178" s="103"/>
      <c r="C178" s="103"/>
      <c r="D178" s="103"/>
      <c r="E178" s="117"/>
    </row>
    <row r="179" spans="1:5" ht="36" customHeight="1" x14ac:dyDescent="0.25">
      <c r="A179" s="123" t="s">
        <v>908</v>
      </c>
      <c r="B179" s="439">
        <f>B142/$B$139</f>
        <v>8.6778138350038194</v>
      </c>
      <c r="C179" s="92" t="s">
        <v>858</v>
      </c>
      <c r="D179" s="113"/>
      <c r="E179" s="455"/>
    </row>
    <row r="180" spans="1:5" ht="31.5" x14ac:dyDescent="0.25">
      <c r="A180" s="123" t="s">
        <v>909</v>
      </c>
      <c r="B180" s="439">
        <f t="shared" ref="B180:B190" si="0">B143/$B$139</f>
        <v>7.50731317508383</v>
      </c>
      <c r="C180" s="92" t="s">
        <v>858</v>
      </c>
      <c r="D180" s="113"/>
      <c r="E180" s="455"/>
    </row>
    <row r="181" spans="1:5" ht="31.5" x14ac:dyDescent="0.25">
      <c r="A181" s="123" t="s">
        <v>910</v>
      </c>
      <c r="B181" s="439">
        <f t="shared" si="0"/>
        <v>1.0654265325907482</v>
      </c>
      <c r="C181" s="92" t="s">
        <v>858</v>
      </c>
      <c r="D181" s="113"/>
      <c r="E181" s="455"/>
    </row>
    <row r="182" spans="1:5" ht="37.5" customHeight="1" x14ac:dyDescent="0.25">
      <c r="A182" s="123" t="s">
        <v>911</v>
      </c>
      <c r="B182" s="439">
        <f t="shared" si="0"/>
        <v>0.10513447309436261</v>
      </c>
      <c r="C182" s="92" t="s">
        <v>858</v>
      </c>
      <c r="D182" s="113"/>
      <c r="E182" s="455"/>
    </row>
    <row r="183" spans="1:5" ht="36" customHeight="1" x14ac:dyDescent="0.25">
      <c r="A183" s="123" t="s">
        <v>912</v>
      </c>
      <c r="B183" s="439">
        <f t="shared" si="0"/>
        <v>1.505852908748846E-2</v>
      </c>
      <c r="C183" s="92" t="s">
        <v>858</v>
      </c>
      <c r="D183" s="113"/>
      <c r="E183" s="455"/>
    </row>
    <row r="184" spans="1:5" ht="36" customHeight="1" x14ac:dyDescent="0.25">
      <c r="A184" s="123" t="s">
        <v>913</v>
      </c>
      <c r="B184" s="439">
        <f t="shared" si="0"/>
        <v>0.10919560829777858</v>
      </c>
      <c r="C184" s="92" t="s">
        <v>858</v>
      </c>
      <c r="D184" s="113"/>
      <c r="E184" s="455"/>
    </row>
    <row r="185" spans="1:5" ht="31.5" x14ac:dyDescent="0.25">
      <c r="A185" s="123" t="s">
        <v>914</v>
      </c>
      <c r="B185" s="439">
        <f t="shared" si="0"/>
        <v>4.0643527286008547</v>
      </c>
      <c r="C185" s="92" t="s">
        <v>858</v>
      </c>
      <c r="D185" s="113"/>
      <c r="E185" s="455"/>
    </row>
    <row r="186" spans="1:5" ht="31.5" x14ac:dyDescent="0.25">
      <c r="A186" s="123" t="s">
        <v>915</v>
      </c>
      <c r="B186" s="439">
        <f t="shared" si="0"/>
        <v>6.1319229886693414</v>
      </c>
      <c r="C186" s="92" t="s">
        <v>858</v>
      </c>
      <c r="D186" s="113"/>
      <c r="E186" s="455"/>
    </row>
    <row r="187" spans="1:5" ht="31.5" x14ac:dyDescent="0.25">
      <c r="A187" s="123" t="s">
        <v>916</v>
      </c>
      <c r="B187" s="197">
        <f t="shared" si="0"/>
        <v>10.149175344398683</v>
      </c>
      <c r="C187" s="92" t="s">
        <v>858</v>
      </c>
      <c r="D187" s="113"/>
      <c r="E187" s="455"/>
    </row>
    <row r="188" spans="1:5" ht="36" customHeight="1" x14ac:dyDescent="0.25">
      <c r="A188" s="123" t="s">
        <v>917</v>
      </c>
      <c r="B188" s="197">
        <f t="shared" si="0"/>
        <v>0</v>
      </c>
      <c r="C188" s="92" t="s">
        <v>858</v>
      </c>
      <c r="D188" s="113"/>
      <c r="E188" s="455"/>
    </row>
    <row r="189" spans="1:5" x14ac:dyDescent="0.25">
      <c r="A189" s="123" t="s">
        <v>918</v>
      </c>
      <c r="B189" s="197">
        <f t="shared" si="0"/>
        <v>0</v>
      </c>
      <c r="C189" s="92" t="s">
        <v>858</v>
      </c>
      <c r="D189" s="113"/>
      <c r="E189" s="455"/>
    </row>
    <row r="190" spans="1:5" ht="31.5" x14ac:dyDescent="0.25">
      <c r="A190" s="123" t="s">
        <v>919</v>
      </c>
      <c r="B190" s="197">
        <f t="shared" si="0"/>
        <v>0</v>
      </c>
      <c r="C190" s="92" t="s">
        <v>858</v>
      </c>
      <c r="D190" s="113"/>
      <c r="E190" s="455"/>
    </row>
    <row r="191" spans="1:5" ht="31.5" x14ac:dyDescent="0.25">
      <c r="A191" s="486" t="s">
        <v>902</v>
      </c>
      <c r="B191" s="197">
        <f>B155/$B$139</f>
        <v>2.9491200000000002</v>
      </c>
      <c r="C191" s="92" t="s">
        <v>858</v>
      </c>
      <c r="D191" s="113"/>
      <c r="E191" s="455"/>
    </row>
    <row r="192" spans="1:5" ht="38.25" customHeight="1" x14ac:dyDescent="0.25">
      <c r="A192" s="486" t="s">
        <v>904</v>
      </c>
      <c r="B192" s="197">
        <f>(B156+B157+B158+B159+B160+B161)/$B$139</f>
        <v>3.2671899589618212</v>
      </c>
      <c r="C192" s="92" t="s">
        <v>858</v>
      </c>
      <c r="D192" s="113"/>
      <c r="E192" s="455"/>
    </row>
    <row r="193" spans="1:7" ht="35.25" customHeight="1" x14ac:dyDescent="0.25">
      <c r="A193" s="123" t="s">
        <v>855</v>
      </c>
      <c r="B193" s="197">
        <f>B162/$B$139</f>
        <v>0</v>
      </c>
      <c r="C193" s="92" t="s">
        <v>858</v>
      </c>
      <c r="D193" s="113"/>
      <c r="E193" s="455"/>
    </row>
    <row r="194" spans="1:7" ht="31.5" x14ac:dyDescent="0.25">
      <c r="A194" s="123" t="s">
        <v>856</v>
      </c>
      <c r="B194" s="197">
        <f>B163/$B$139</f>
        <v>0</v>
      </c>
      <c r="C194" s="92" t="s">
        <v>858</v>
      </c>
      <c r="D194" s="113"/>
      <c r="E194" s="455"/>
    </row>
    <row r="195" spans="1:7" ht="33.75" customHeight="1" x14ac:dyDescent="0.25">
      <c r="A195" s="496" t="s">
        <v>920</v>
      </c>
      <c r="B195" s="197">
        <f>B165/$B$139</f>
        <v>0</v>
      </c>
      <c r="C195" s="92" t="s">
        <v>858</v>
      </c>
      <c r="D195" s="113"/>
      <c r="E195" s="455"/>
    </row>
    <row r="196" spans="1:7" ht="30.75" customHeight="1" x14ac:dyDescent="0.25">
      <c r="A196" s="496" t="s">
        <v>851</v>
      </c>
      <c r="B196" s="197">
        <f t="shared" ref="B196:B202" si="1">B166/$B$139</f>
        <v>83.399999999999977</v>
      </c>
      <c r="C196" s="92" t="s">
        <v>858</v>
      </c>
      <c r="D196" s="113"/>
      <c r="E196" s="455"/>
    </row>
    <row r="197" spans="1:7" ht="36" customHeight="1" x14ac:dyDescent="0.25">
      <c r="A197" s="497" t="s">
        <v>852</v>
      </c>
      <c r="B197" s="197">
        <f t="shared" si="1"/>
        <v>5.8100000000000014</v>
      </c>
      <c r="C197" s="92" t="s">
        <v>858</v>
      </c>
      <c r="D197" s="113"/>
      <c r="E197" s="455"/>
    </row>
    <row r="198" spans="1:7" ht="31.5" x14ac:dyDescent="0.25">
      <c r="A198" s="314" t="s">
        <v>853</v>
      </c>
      <c r="B198" s="197">
        <f t="shared" si="1"/>
        <v>0.83000000000000018</v>
      </c>
      <c r="C198" s="92" t="s">
        <v>858</v>
      </c>
      <c r="D198" s="113"/>
      <c r="E198" s="455"/>
      <c r="G198" s="349"/>
    </row>
    <row r="199" spans="1:7" ht="30.75" customHeight="1" x14ac:dyDescent="0.25">
      <c r="A199" s="314" t="s">
        <v>854</v>
      </c>
      <c r="B199" s="197">
        <f t="shared" si="1"/>
        <v>9.5865000000000006E-2</v>
      </c>
      <c r="C199" s="92" t="s">
        <v>858</v>
      </c>
      <c r="D199" s="113"/>
      <c r="E199" s="455"/>
    </row>
    <row r="200" spans="1:7" ht="36.75" customHeight="1" x14ac:dyDescent="0.25">
      <c r="A200" s="314" t="s">
        <v>855</v>
      </c>
      <c r="B200" s="197">
        <f t="shared" si="1"/>
        <v>0</v>
      </c>
      <c r="C200" s="92" t="s">
        <v>858</v>
      </c>
      <c r="D200" s="113"/>
      <c r="E200" s="455"/>
    </row>
    <row r="201" spans="1:7" ht="39" customHeight="1" x14ac:dyDescent="0.25">
      <c r="A201" s="123" t="s">
        <v>856</v>
      </c>
      <c r="B201" s="197">
        <f t="shared" si="1"/>
        <v>0</v>
      </c>
      <c r="C201" s="92" t="s">
        <v>858</v>
      </c>
      <c r="D201" s="113"/>
      <c r="E201" s="455"/>
    </row>
    <row r="202" spans="1:7" ht="38.25" customHeight="1" x14ac:dyDescent="0.25">
      <c r="A202" s="123" t="s">
        <v>857</v>
      </c>
      <c r="B202" s="197">
        <f t="shared" si="1"/>
        <v>0</v>
      </c>
      <c r="C202" s="92" t="s">
        <v>858</v>
      </c>
      <c r="D202" s="113"/>
      <c r="E202" s="455"/>
    </row>
    <row r="203" spans="1:7" ht="38.25" customHeight="1" x14ac:dyDescent="0.25">
      <c r="A203" s="123" t="s">
        <v>903</v>
      </c>
      <c r="B203" s="130">
        <f>SUM(B179:B202)</f>
        <v>134.17756817378873</v>
      </c>
      <c r="C203" s="92" t="s">
        <v>858</v>
      </c>
      <c r="D203" s="92"/>
      <c r="E203" s="92"/>
    </row>
    <row r="204" spans="1:7" ht="34.5" customHeight="1" x14ac:dyDescent="0.25">
      <c r="A204" s="123" t="s">
        <v>903</v>
      </c>
      <c r="B204" s="130">
        <f>B203/B5</f>
        <v>191.68224024826964</v>
      </c>
      <c r="C204" s="92" t="s">
        <v>873</v>
      </c>
      <c r="D204" s="92"/>
      <c r="E204" s="92"/>
    </row>
    <row r="205" spans="1:7" x14ac:dyDescent="0.25">
      <c r="B205" s="326"/>
    </row>
    <row r="206" spans="1:7" x14ac:dyDescent="0.25">
      <c r="B206" s="326"/>
    </row>
    <row r="209" spans="2:2" x14ac:dyDescent="0.25">
      <c r="B209" s="326"/>
    </row>
  </sheetData>
  <mergeCells count="40">
    <mergeCell ref="A43:A46"/>
    <mergeCell ref="A32:E32"/>
    <mergeCell ref="A33:A34"/>
    <mergeCell ref="A22:A24"/>
    <mergeCell ref="A35:A38"/>
    <mergeCell ref="J21:K21"/>
    <mergeCell ref="G21:I21"/>
    <mergeCell ref="A16:A19"/>
    <mergeCell ref="A25:E25"/>
    <mergeCell ref="E27:E29"/>
    <mergeCell ref="A27:A30"/>
    <mergeCell ref="A131:A132"/>
    <mergeCell ref="A95:A98"/>
    <mergeCell ref="A49:A50"/>
    <mergeCell ref="A94:E94"/>
    <mergeCell ref="E95:E97"/>
    <mergeCell ref="A51:A54"/>
    <mergeCell ref="A61:A64"/>
    <mergeCell ref="A72:A75"/>
    <mergeCell ref="A85:A88"/>
    <mergeCell ref="A84:E84"/>
    <mergeCell ref="A59:E59"/>
    <mergeCell ref="A69:E69"/>
    <mergeCell ref="E72:E74"/>
    <mergeCell ref="A133:A134"/>
    <mergeCell ref="A116:A117"/>
    <mergeCell ref="A40:E40"/>
    <mergeCell ref="A41:A42"/>
    <mergeCell ref="E41:E42"/>
    <mergeCell ref="E43:E45"/>
    <mergeCell ref="A48:E48"/>
    <mergeCell ref="E51:E53"/>
    <mergeCell ref="A129:A130"/>
    <mergeCell ref="A123:A124"/>
    <mergeCell ref="A125:A126"/>
    <mergeCell ref="A127:A128"/>
    <mergeCell ref="E85:E87"/>
    <mergeCell ref="A89:E89"/>
    <mergeCell ref="E90:E92"/>
    <mergeCell ref="A90:A93"/>
  </mergeCells>
  <dataValidations count="1">
    <dataValidation type="list" allowBlank="1" showInputMessage="1" showErrorMessage="1" sqref="B16" xr:uid="{B6D675AF-F2CD-4803-B3DD-0C630BEA4779}">
      <formula1>$H$22:$I$22</formula1>
    </dataValidation>
  </dataValidations>
  <hyperlinks>
    <hyperlink ref="E79" r:id="rId1" xr:uid="{AF5A1114-7C26-4145-A438-209222F604E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D26F1-9107-4B54-86BD-100577944FB0}">
  <sheetPr>
    <tabColor rgb="FFFFC000"/>
  </sheetPr>
  <dimension ref="A1:R271"/>
  <sheetViews>
    <sheetView zoomScale="60" zoomScaleNormal="60" workbookViewId="0">
      <selection activeCell="N15" sqref="N15"/>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7" width="32.42578125" style="45" customWidth="1"/>
    <col min="8" max="8" width="22.42578125" style="45" customWidth="1"/>
    <col min="9" max="9" width="22.7109375" style="45" customWidth="1"/>
    <col min="10" max="11" width="44.85546875" style="45" customWidth="1"/>
    <col min="12" max="12" width="19.7109375" style="45" customWidth="1"/>
    <col min="13" max="13" width="16.140625" style="45" customWidth="1"/>
    <col min="14" max="14" width="18.85546875" style="45" customWidth="1"/>
    <col min="15" max="15" width="13" style="45" customWidth="1"/>
    <col min="16" max="16" width="14" style="45" customWidth="1"/>
    <col min="17" max="18" width="14.7109375" style="45" customWidth="1"/>
    <col min="19" max="16384" width="9.140625" style="45"/>
  </cols>
  <sheetData>
    <row r="1" spans="1:18" ht="17.25" thickTop="1" thickBot="1" x14ac:dyDescent="0.3">
      <c r="A1" s="74" t="s">
        <v>156</v>
      </c>
      <c r="B1" s="75"/>
      <c r="C1" s="75"/>
      <c r="D1" s="75"/>
      <c r="E1" s="75"/>
    </row>
    <row r="2" spans="1:18" ht="17.25" thickTop="1" thickBot="1" x14ac:dyDescent="0.3">
      <c r="A2" s="46"/>
      <c r="B2" s="46"/>
      <c r="C2" s="46"/>
      <c r="D2" s="46"/>
      <c r="E2" s="46"/>
    </row>
    <row r="3" spans="1:18" x14ac:dyDescent="0.25">
      <c r="A3" s="53" t="s">
        <v>152</v>
      </c>
      <c r="B3" s="54" t="s">
        <v>41</v>
      </c>
      <c r="C3" s="54" t="s">
        <v>40</v>
      </c>
      <c r="D3" s="55" t="s">
        <v>42</v>
      </c>
      <c r="E3" s="56" t="s">
        <v>43</v>
      </c>
    </row>
    <row r="4" spans="1:18" ht="16.5" thickBot="1" x14ac:dyDescent="0.3">
      <c r="A4" s="209" t="s">
        <v>44</v>
      </c>
      <c r="B4" s="210"/>
      <c r="C4" s="210"/>
      <c r="D4" s="210"/>
      <c r="E4" s="211"/>
      <c r="H4" s="266"/>
      <c r="I4" s="266"/>
      <c r="J4" s="266"/>
      <c r="K4" s="266"/>
      <c r="L4" s="266"/>
      <c r="M4" s="266"/>
      <c r="N4" s="266"/>
      <c r="O4" s="266"/>
      <c r="P4" s="266"/>
      <c r="Q4" s="266"/>
      <c r="R4" s="266"/>
    </row>
    <row r="5" spans="1:18" ht="33.75" customHeight="1" x14ac:dyDescent="0.25">
      <c r="A5" s="212" t="s">
        <v>644</v>
      </c>
      <c r="B5" s="213">
        <f>0.7</f>
        <v>0.7</v>
      </c>
      <c r="C5" s="214" t="s">
        <v>45</v>
      </c>
      <c r="D5" s="215"/>
      <c r="E5" s="310">
        <f>0.7</f>
        <v>0.7</v>
      </c>
    </row>
    <row r="6" spans="1:18" ht="30.75" customHeight="1" x14ac:dyDescent="0.25">
      <c r="A6" s="144" t="s">
        <v>46</v>
      </c>
      <c r="B6" s="216">
        <v>7</v>
      </c>
      <c r="C6" s="146" t="s">
        <v>47</v>
      </c>
      <c r="D6" s="147" t="s">
        <v>48</v>
      </c>
      <c r="E6" s="309">
        <v>7</v>
      </c>
    </row>
    <row r="7" spans="1:18" ht="30" customHeight="1" x14ac:dyDescent="0.25">
      <c r="A7" s="193" t="s">
        <v>49</v>
      </c>
      <c r="B7" s="27">
        <v>30</v>
      </c>
      <c r="C7" s="179" t="s">
        <v>50</v>
      </c>
      <c r="D7" s="248"/>
      <c r="E7" s="238"/>
      <c r="H7" s="582"/>
    </row>
    <row r="8" spans="1:18" ht="33" customHeight="1" x14ac:dyDescent="0.25">
      <c r="A8" s="144" t="s">
        <v>52</v>
      </c>
      <c r="B8" s="575">
        <f>(($B$6/100)*(1+$B$6/100)^$B$7)/(((1+$B$6/100)^$B$7)-1)*100</f>
        <v>8.0586403511111193</v>
      </c>
      <c r="C8" s="62" t="s">
        <v>47</v>
      </c>
      <c r="D8" s="62" t="s">
        <v>53</v>
      </c>
      <c r="E8" s="578"/>
    </row>
    <row r="9" spans="1:18" ht="33" customHeight="1" thickBot="1" x14ac:dyDescent="0.3">
      <c r="A9" s="150" t="s">
        <v>1210</v>
      </c>
      <c r="B9" s="430">
        <v>100</v>
      </c>
      <c r="C9" s="151" t="s">
        <v>1211</v>
      </c>
      <c r="D9" s="576" t="s">
        <v>1212</v>
      </c>
      <c r="E9" s="577" t="s">
        <v>1281</v>
      </c>
      <c r="H9" s="582"/>
      <c r="I9" s="582"/>
      <c r="J9" s="582"/>
      <c r="K9" s="582"/>
      <c r="L9" s="582"/>
      <c r="M9" s="582"/>
      <c r="N9" s="582"/>
      <c r="O9" s="582"/>
      <c r="P9" s="582"/>
      <c r="Q9" s="582"/>
    </row>
    <row r="10" spans="1:18" ht="16.5" thickBot="1" x14ac:dyDescent="0.3">
      <c r="H10" s="582"/>
      <c r="I10" s="582"/>
      <c r="J10" s="582"/>
      <c r="K10" s="582"/>
      <c r="L10" s="582"/>
      <c r="M10" s="582"/>
      <c r="N10" s="582"/>
      <c r="O10" s="582"/>
      <c r="P10" s="582"/>
      <c r="Q10" s="582"/>
      <c r="R10" s="582"/>
    </row>
    <row r="11" spans="1:18" ht="16.5" thickBot="1" x14ac:dyDescent="0.3">
      <c r="A11" s="172" t="s">
        <v>181</v>
      </c>
      <c r="B11" s="89"/>
      <c r="C11" s="89"/>
      <c r="D11" s="89"/>
      <c r="E11" s="90"/>
    </row>
    <row r="12" spans="1:18" ht="29.25" customHeight="1" x14ac:dyDescent="0.25">
      <c r="A12" s="417" t="s">
        <v>690</v>
      </c>
      <c r="B12" s="216">
        <v>1000000</v>
      </c>
      <c r="C12" s="92" t="s">
        <v>605</v>
      </c>
      <c r="D12" s="92" t="s">
        <v>1040</v>
      </c>
      <c r="E12" s="93"/>
    </row>
    <row r="13" spans="1:18" ht="30" customHeight="1" thickBot="1" x14ac:dyDescent="0.3">
      <c r="A13" s="313" t="s">
        <v>498</v>
      </c>
      <c r="B13" s="96">
        <v>90</v>
      </c>
      <c r="C13" s="92" t="s">
        <v>47</v>
      </c>
      <c r="D13" s="92" t="s">
        <v>497</v>
      </c>
      <c r="E13" s="52"/>
    </row>
    <row r="14" spans="1:18" ht="16.5" thickBot="1" x14ac:dyDescent="0.3">
      <c r="A14" s="172" t="s">
        <v>691</v>
      </c>
      <c r="B14" s="440"/>
      <c r="C14" s="119"/>
      <c r="D14" s="119"/>
      <c r="E14" s="120"/>
    </row>
    <row r="15" spans="1:18" ht="21.75" customHeight="1" x14ac:dyDescent="0.25">
      <c r="A15" s="431" t="s">
        <v>740</v>
      </c>
      <c r="B15" s="432"/>
      <c r="C15" s="432"/>
      <c r="D15" s="432"/>
      <c r="E15" s="433"/>
      <c r="H15" s="582"/>
    </row>
    <row r="16" spans="1:18" ht="35.25" customHeight="1" x14ac:dyDescent="0.25">
      <c r="A16" s="685" t="s">
        <v>778</v>
      </c>
      <c r="B16" s="534" t="s">
        <v>658</v>
      </c>
      <c r="C16" s="50" t="s">
        <v>45</v>
      </c>
      <c r="D16" s="425" t="s">
        <v>739</v>
      </c>
      <c r="E16" s="394"/>
      <c r="H16" s="611"/>
      <c r="I16" s="611"/>
      <c r="J16" s="611"/>
      <c r="K16" s="611"/>
      <c r="L16" s="611"/>
      <c r="M16" s="611"/>
      <c r="N16" s="611"/>
      <c r="O16" s="611"/>
      <c r="P16" s="611"/>
      <c r="Q16" s="611"/>
    </row>
    <row r="17" spans="1:18" ht="33" customHeight="1" x14ac:dyDescent="0.25">
      <c r="A17" s="685"/>
      <c r="B17" s="364">
        <f>HLOOKUP(B16,H23:I32,4,FALSE)</f>
        <v>0.2</v>
      </c>
      <c r="C17" s="50" t="s">
        <v>787</v>
      </c>
      <c r="D17" s="469" t="s">
        <v>796</v>
      </c>
      <c r="E17" s="394" t="s">
        <v>798</v>
      </c>
    </row>
    <row r="18" spans="1:18" ht="32.25" customHeight="1" x14ac:dyDescent="0.25">
      <c r="A18" s="685"/>
      <c r="B18" s="483">
        <f>HLOOKUP(B16,H23:I32,5,FALSE)</f>
        <v>13.9</v>
      </c>
      <c r="C18" s="50" t="s">
        <v>797</v>
      </c>
      <c r="D18" s="469" t="s">
        <v>796</v>
      </c>
      <c r="E18" s="394" t="s">
        <v>798</v>
      </c>
      <c r="H18" s="582"/>
      <c r="I18" s="582"/>
      <c r="J18" s="582"/>
      <c r="K18" s="582"/>
      <c r="L18" s="582"/>
      <c r="M18" s="582"/>
      <c r="N18" s="582"/>
      <c r="O18" s="582"/>
      <c r="P18" s="582"/>
      <c r="Q18" s="582"/>
      <c r="R18" s="582"/>
    </row>
    <row r="19" spans="1:18" ht="32.25" customHeight="1" x14ac:dyDescent="0.25">
      <c r="A19" s="685"/>
      <c r="B19" s="481">
        <f>B18*1000*B17</f>
        <v>2780</v>
      </c>
      <c r="C19" s="50" t="s">
        <v>791</v>
      </c>
      <c r="D19" s="469" t="s">
        <v>796</v>
      </c>
      <c r="E19" s="394" t="s">
        <v>798</v>
      </c>
      <c r="H19" s="582"/>
      <c r="I19" s="582"/>
      <c r="J19" s="582"/>
      <c r="K19" s="582"/>
      <c r="L19" s="582"/>
      <c r="M19" s="582"/>
      <c r="N19" s="582"/>
      <c r="O19" s="582"/>
      <c r="P19" s="582"/>
      <c r="Q19" s="582"/>
      <c r="R19" s="582"/>
    </row>
    <row r="20" spans="1:18" ht="30" customHeight="1" x14ac:dyDescent="0.25">
      <c r="A20" s="459" t="s">
        <v>746</v>
      </c>
      <c r="B20" s="364">
        <f>HLOOKUP(B16,H23:I32,6,FALSE)</f>
        <v>3.0000000000000001E-3</v>
      </c>
      <c r="C20" s="419" t="s">
        <v>792</v>
      </c>
      <c r="D20" s="461" t="s">
        <v>747</v>
      </c>
      <c r="E20" s="394" t="s">
        <v>798</v>
      </c>
      <c r="H20" s="582"/>
      <c r="I20" s="582"/>
      <c r="J20" s="582"/>
      <c r="K20" s="582"/>
      <c r="L20" s="582"/>
      <c r="M20" s="582"/>
      <c r="N20" s="582"/>
      <c r="O20" s="582"/>
      <c r="P20" s="582"/>
      <c r="Q20" s="582"/>
    </row>
    <row r="21" spans="1:18" ht="33.75" customHeight="1" x14ac:dyDescent="0.25">
      <c r="A21" s="456" t="s">
        <v>377</v>
      </c>
      <c r="B21" s="430">
        <v>70</v>
      </c>
      <c r="C21" s="50" t="s">
        <v>791</v>
      </c>
      <c r="D21" s="425" t="s">
        <v>741</v>
      </c>
      <c r="E21" s="435" t="s">
        <v>799</v>
      </c>
    </row>
    <row r="22" spans="1:18" ht="30" customHeight="1" x14ac:dyDescent="0.25">
      <c r="A22" s="741" t="s">
        <v>776</v>
      </c>
      <c r="B22" s="430">
        <v>67</v>
      </c>
      <c r="C22" s="50" t="s">
        <v>693</v>
      </c>
      <c r="D22" s="425" t="s">
        <v>743</v>
      </c>
      <c r="E22" s="435" t="s">
        <v>744</v>
      </c>
      <c r="G22" s="705" t="s">
        <v>780</v>
      </c>
      <c r="H22" s="706"/>
      <c r="I22" s="706"/>
      <c r="J22" s="706" t="s">
        <v>427</v>
      </c>
      <c r="K22" s="706"/>
    </row>
    <row r="23" spans="1:18" ht="28.5" customHeight="1" x14ac:dyDescent="0.25">
      <c r="A23" s="742"/>
      <c r="B23" s="441">
        <v>95</v>
      </c>
      <c r="C23" s="50" t="s">
        <v>693</v>
      </c>
      <c r="D23" s="470" t="s">
        <v>777</v>
      </c>
      <c r="E23" s="435"/>
      <c r="G23" s="218" t="s">
        <v>390</v>
      </c>
      <c r="H23" s="218" t="s">
        <v>658</v>
      </c>
      <c r="I23" s="124" t="s">
        <v>659</v>
      </c>
      <c r="J23" s="124" t="s">
        <v>662</v>
      </c>
      <c r="K23" s="124" t="s">
        <v>462</v>
      </c>
    </row>
    <row r="24" spans="1:18" ht="27.75" customHeight="1" x14ac:dyDescent="0.25">
      <c r="A24" s="743"/>
      <c r="B24" s="457">
        <f>(((B23/100)*B26)/(B22/100))/B26</f>
        <v>1.4179104477611939</v>
      </c>
      <c r="C24" s="394" t="s">
        <v>795</v>
      </c>
      <c r="D24" s="458" t="s">
        <v>745</v>
      </c>
      <c r="E24" s="482"/>
      <c r="G24" s="124" t="s">
        <v>407</v>
      </c>
      <c r="H24" s="363">
        <v>0.03</v>
      </c>
      <c r="I24" s="363">
        <v>0.186</v>
      </c>
      <c r="J24" s="124" t="s">
        <v>801</v>
      </c>
      <c r="K24" s="93" t="s">
        <v>464</v>
      </c>
    </row>
    <row r="25" spans="1:18" ht="36" customHeight="1" x14ac:dyDescent="0.25">
      <c r="A25" s="744" t="s">
        <v>692</v>
      </c>
      <c r="B25" s="744"/>
      <c r="C25" s="744"/>
      <c r="D25" s="744"/>
      <c r="E25" s="744"/>
      <c r="G25" s="99" t="s">
        <v>408</v>
      </c>
      <c r="H25" s="363">
        <v>0.186</v>
      </c>
      <c r="I25" s="304">
        <v>0</v>
      </c>
      <c r="J25" s="124" t="s">
        <v>664</v>
      </c>
      <c r="K25" s="99" t="s">
        <v>800</v>
      </c>
    </row>
    <row r="26" spans="1:18" ht="33" customHeight="1" x14ac:dyDescent="0.25">
      <c r="A26" s="463" t="s">
        <v>748</v>
      </c>
      <c r="B26" s="464">
        <f>B12</f>
        <v>1000000</v>
      </c>
      <c r="C26" s="218" t="s">
        <v>605</v>
      </c>
      <c r="D26" s="421" t="s">
        <v>695</v>
      </c>
      <c r="E26" s="394"/>
      <c r="G26" s="99" t="s">
        <v>786</v>
      </c>
      <c r="H26" s="401">
        <v>0.2</v>
      </c>
      <c r="I26" s="476">
        <v>6.2E-2</v>
      </c>
      <c r="J26" s="589" t="s">
        <v>1295</v>
      </c>
      <c r="K26" s="437" t="s">
        <v>1296</v>
      </c>
    </row>
    <row r="27" spans="1:18" ht="32.25" customHeight="1" x14ac:dyDescent="0.25">
      <c r="A27" s="745" t="s">
        <v>696</v>
      </c>
      <c r="B27" s="442">
        <v>0.65380000000000005</v>
      </c>
      <c r="C27" s="50" t="s">
        <v>161</v>
      </c>
      <c r="D27" s="423" t="s">
        <v>697</v>
      </c>
      <c r="E27" s="748" t="s">
        <v>698</v>
      </c>
      <c r="G27" s="124" t="s">
        <v>788</v>
      </c>
      <c r="H27" s="297">
        <v>13.9</v>
      </c>
      <c r="I27" s="297">
        <v>33.299999999999997</v>
      </c>
      <c r="J27" s="93" t="s">
        <v>789</v>
      </c>
      <c r="K27" s="93" t="s">
        <v>790</v>
      </c>
    </row>
    <row r="28" spans="1:18" ht="32.25" customHeight="1" x14ac:dyDescent="0.25">
      <c r="A28" s="746"/>
      <c r="B28" s="443">
        <v>8.76</v>
      </c>
      <c r="C28" s="50" t="s">
        <v>605</v>
      </c>
      <c r="D28" s="425" t="s">
        <v>699</v>
      </c>
      <c r="E28" s="748"/>
      <c r="G28" s="124" t="s">
        <v>784</v>
      </c>
      <c r="H28" s="355">
        <v>3.0000000000000001E-3</v>
      </c>
      <c r="I28" s="477">
        <v>5.5E-2</v>
      </c>
      <c r="J28" s="435" t="s">
        <v>794</v>
      </c>
      <c r="K28" s="394" t="s">
        <v>1293</v>
      </c>
    </row>
    <row r="29" spans="1:18" ht="28.5" customHeight="1" x14ac:dyDescent="0.25">
      <c r="A29" s="746"/>
      <c r="B29" s="426">
        <v>47841</v>
      </c>
      <c r="C29" s="50" t="s">
        <v>165</v>
      </c>
      <c r="D29" s="425" t="s">
        <v>700</v>
      </c>
      <c r="E29" s="748"/>
      <c r="G29" s="124" t="s">
        <v>779</v>
      </c>
      <c r="H29" s="409">
        <v>0.71</v>
      </c>
      <c r="I29" s="478">
        <v>0.25</v>
      </c>
      <c r="J29" s="52"/>
      <c r="K29" s="52"/>
    </row>
    <row r="30" spans="1:18" ht="28.5" customHeight="1" x14ac:dyDescent="0.25">
      <c r="A30" s="747"/>
      <c r="B30" s="125">
        <f>B29*((B12/B28)^B27)*B9/100</f>
        <v>96915014.335223392</v>
      </c>
      <c r="C30" s="50" t="s">
        <v>165</v>
      </c>
      <c r="D30" s="425" t="s">
        <v>1280</v>
      </c>
      <c r="E30" s="50"/>
      <c r="G30" s="124" t="s">
        <v>781</v>
      </c>
      <c r="H30" s="506">
        <v>0.65049999999999997</v>
      </c>
      <c r="I30" s="479">
        <v>0.78480000000000005</v>
      </c>
      <c r="J30" s="218" t="s">
        <v>698</v>
      </c>
      <c r="K30" s="218" t="s">
        <v>698</v>
      </c>
    </row>
    <row r="31" spans="1:18" ht="34.5" customHeight="1" x14ac:dyDescent="0.25">
      <c r="A31" s="422" t="s">
        <v>162</v>
      </c>
      <c r="B31" s="441">
        <v>1.5</v>
      </c>
      <c r="C31" s="50" t="s">
        <v>701</v>
      </c>
      <c r="D31" s="425" t="s">
        <v>162</v>
      </c>
      <c r="E31" s="394" t="s">
        <v>702</v>
      </c>
      <c r="G31" s="93" t="s">
        <v>782</v>
      </c>
      <c r="H31" s="410">
        <v>1</v>
      </c>
      <c r="I31" s="410">
        <v>1</v>
      </c>
      <c r="J31" s="218" t="s">
        <v>698</v>
      </c>
      <c r="K31" s="218" t="s">
        <v>698</v>
      </c>
    </row>
    <row r="32" spans="1:18" ht="31.5" x14ac:dyDescent="0.25">
      <c r="A32" s="744" t="s">
        <v>785</v>
      </c>
      <c r="B32" s="744"/>
      <c r="C32" s="744"/>
      <c r="D32" s="744"/>
      <c r="E32" s="744"/>
      <c r="G32" s="124" t="s">
        <v>783</v>
      </c>
      <c r="H32" s="516">
        <v>4806408</v>
      </c>
      <c r="I32" s="302">
        <v>223082</v>
      </c>
      <c r="J32" s="218" t="s">
        <v>698</v>
      </c>
      <c r="K32" s="218" t="s">
        <v>698</v>
      </c>
    </row>
    <row r="33" spans="1:11" ht="33" customHeight="1" x14ac:dyDescent="0.25">
      <c r="A33" s="740" t="s">
        <v>704</v>
      </c>
      <c r="B33" s="484">
        <f>HLOOKUP(B16,H23:I32,7,FALSE)</f>
        <v>0.71</v>
      </c>
      <c r="C33" s="50" t="s">
        <v>793</v>
      </c>
      <c r="D33" s="423" t="s">
        <v>706</v>
      </c>
      <c r="E33" s="394" t="s">
        <v>1290</v>
      </c>
      <c r="G33" s="218" t="s">
        <v>927</v>
      </c>
      <c r="H33" s="297">
        <v>2</v>
      </c>
      <c r="I33" s="297">
        <v>0</v>
      </c>
      <c r="J33" s="218" t="s">
        <v>931</v>
      </c>
      <c r="K33" s="218" t="s">
        <v>932</v>
      </c>
    </row>
    <row r="34" spans="1:11" ht="30.75" x14ac:dyDescent="0.25">
      <c r="A34" s="740"/>
      <c r="B34" s="445">
        <f>(B26/(365*24))*B33</f>
        <v>81.050228310502277</v>
      </c>
      <c r="C34" s="50" t="s">
        <v>79</v>
      </c>
      <c r="D34" s="423" t="s">
        <v>707</v>
      </c>
      <c r="E34" s="469"/>
    </row>
    <row r="35" spans="1:11" ht="30" customHeight="1" x14ac:dyDescent="0.25">
      <c r="A35" s="745" t="s">
        <v>94</v>
      </c>
      <c r="B35" s="485">
        <f>HLOOKUP(B16,H23:I32,8,FALSE)</f>
        <v>0.65049999999999997</v>
      </c>
      <c r="C35" s="50" t="s">
        <v>161</v>
      </c>
      <c r="D35" s="423" t="s">
        <v>697</v>
      </c>
      <c r="E35" s="425"/>
    </row>
    <row r="36" spans="1:11" ht="30.75" customHeight="1" x14ac:dyDescent="0.25">
      <c r="A36" s="746"/>
      <c r="B36" s="373">
        <f>HLOOKUP(B16,H23:I32,9,FALSE)</f>
        <v>1</v>
      </c>
      <c r="C36" s="50" t="s">
        <v>79</v>
      </c>
      <c r="D36" s="425" t="s">
        <v>708</v>
      </c>
      <c r="E36" s="425"/>
    </row>
    <row r="37" spans="1:11" ht="28.5" customHeight="1" x14ac:dyDescent="0.25">
      <c r="A37" s="746"/>
      <c r="B37" s="125">
        <f>HLOOKUP(B16,H23:I32,10,FALSE)</f>
        <v>4806408</v>
      </c>
      <c r="C37" s="50" t="s">
        <v>165</v>
      </c>
      <c r="D37" s="425" t="s">
        <v>700</v>
      </c>
      <c r="E37" s="425"/>
    </row>
    <row r="38" spans="1:11" ht="28.5" customHeight="1" x14ac:dyDescent="0.25">
      <c r="A38" s="747"/>
      <c r="B38" s="125">
        <f>B37*((B34/B36)^B35)*B9/100</f>
        <v>83842702.530382246</v>
      </c>
      <c r="C38" s="50" t="s">
        <v>165</v>
      </c>
      <c r="D38" s="425" t="s">
        <v>1280</v>
      </c>
      <c r="E38" s="50"/>
    </row>
    <row r="39" spans="1:11" ht="30" x14ac:dyDescent="0.25">
      <c r="A39" s="422" t="s">
        <v>162</v>
      </c>
      <c r="B39" s="441">
        <v>1.5</v>
      </c>
      <c r="C39" s="50" t="s">
        <v>701</v>
      </c>
      <c r="D39" s="425" t="s">
        <v>162</v>
      </c>
      <c r="E39" s="394" t="s">
        <v>702</v>
      </c>
    </row>
    <row r="40" spans="1:11" x14ac:dyDescent="0.25">
      <c r="A40" s="744" t="s">
        <v>709</v>
      </c>
      <c r="B40" s="744"/>
      <c r="C40" s="744"/>
      <c r="D40" s="744"/>
      <c r="E40" s="744"/>
    </row>
    <row r="41" spans="1:11" ht="33.75" customHeight="1" x14ac:dyDescent="0.25">
      <c r="A41" s="740" t="s">
        <v>710</v>
      </c>
      <c r="B41" s="350">
        <v>2.3E-2</v>
      </c>
      <c r="C41" s="50" t="s">
        <v>705</v>
      </c>
      <c r="D41" s="423" t="s">
        <v>711</v>
      </c>
      <c r="E41" s="736" t="s">
        <v>712</v>
      </c>
    </row>
    <row r="42" spans="1:11" ht="30.75" x14ac:dyDescent="0.25">
      <c r="A42" s="740"/>
      <c r="B42" s="447">
        <f>(B26/(365*24))*B41</f>
        <v>2.6255707762557079</v>
      </c>
      <c r="C42" s="50" t="s">
        <v>79</v>
      </c>
      <c r="D42" s="423" t="s">
        <v>707</v>
      </c>
      <c r="E42" s="736"/>
    </row>
    <row r="43" spans="1:11" ht="27.75" customHeight="1" x14ac:dyDescent="0.25">
      <c r="A43" s="745" t="s">
        <v>94</v>
      </c>
      <c r="B43" s="442">
        <v>0.71</v>
      </c>
      <c r="C43" s="50" t="s">
        <v>161</v>
      </c>
      <c r="D43" s="423" t="s">
        <v>697</v>
      </c>
      <c r="E43" s="748" t="s">
        <v>698</v>
      </c>
    </row>
    <row r="44" spans="1:11" ht="27.75" customHeight="1" x14ac:dyDescent="0.25">
      <c r="A44" s="746"/>
      <c r="B44" s="446">
        <v>1</v>
      </c>
      <c r="C44" s="50" t="s">
        <v>79</v>
      </c>
      <c r="D44" s="425" t="s">
        <v>708</v>
      </c>
      <c r="E44" s="748"/>
    </row>
    <row r="45" spans="1:11" ht="28.5" customHeight="1" x14ac:dyDescent="0.25">
      <c r="A45" s="746"/>
      <c r="B45" s="426">
        <v>5995914</v>
      </c>
      <c r="C45" s="50" t="s">
        <v>165</v>
      </c>
      <c r="D45" s="425" t="s">
        <v>700</v>
      </c>
      <c r="E45" s="748"/>
    </row>
    <row r="46" spans="1:11" ht="28.5" customHeight="1" x14ac:dyDescent="0.25">
      <c r="A46" s="747"/>
      <c r="B46" s="125">
        <f>B45*((B42/B44)^B43)*B9/100</f>
        <v>11898829.548826598</v>
      </c>
      <c r="C46" s="50" t="s">
        <v>165</v>
      </c>
      <c r="D46" s="425" t="s">
        <v>1280</v>
      </c>
      <c r="E46" s="50"/>
    </row>
    <row r="47" spans="1:11" ht="30" x14ac:dyDescent="0.25">
      <c r="A47" s="422" t="s">
        <v>162</v>
      </c>
      <c r="B47" s="441">
        <v>1.5</v>
      </c>
      <c r="C47" s="50" t="s">
        <v>701</v>
      </c>
      <c r="D47" s="425" t="s">
        <v>162</v>
      </c>
      <c r="E47" s="394" t="s">
        <v>702</v>
      </c>
    </row>
    <row r="48" spans="1:11" x14ac:dyDescent="0.25">
      <c r="A48" s="744" t="s">
        <v>713</v>
      </c>
      <c r="B48" s="744"/>
      <c r="C48" s="744"/>
      <c r="D48" s="744"/>
      <c r="E48" s="744"/>
    </row>
    <row r="49" spans="1:5" ht="30" x14ac:dyDescent="0.25">
      <c r="A49" s="749" t="s">
        <v>714</v>
      </c>
      <c r="B49" s="443">
        <v>1</v>
      </c>
      <c r="C49" s="50" t="s">
        <v>715</v>
      </c>
      <c r="D49" s="425" t="s">
        <v>716</v>
      </c>
      <c r="E49" s="435" t="s">
        <v>1289</v>
      </c>
    </row>
    <row r="50" spans="1:5" ht="29.25" customHeight="1" x14ac:dyDescent="0.25">
      <c r="A50" s="750"/>
      <c r="B50" s="465">
        <f>B49*B26</f>
        <v>1000000</v>
      </c>
      <c r="C50" s="50" t="s">
        <v>749</v>
      </c>
      <c r="D50" s="423" t="s">
        <v>707</v>
      </c>
      <c r="E50" s="435"/>
    </row>
    <row r="51" spans="1:5" ht="27.75" customHeight="1" x14ac:dyDescent="0.25">
      <c r="A51" s="745" t="s">
        <v>94</v>
      </c>
      <c r="B51" s="441">
        <v>0.63029999999999997</v>
      </c>
      <c r="C51" s="50" t="s">
        <v>161</v>
      </c>
      <c r="D51" s="423" t="s">
        <v>697</v>
      </c>
      <c r="E51" s="748" t="s">
        <v>698</v>
      </c>
    </row>
    <row r="52" spans="1:5" ht="26.25" customHeight="1" x14ac:dyDescent="0.25">
      <c r="A52" s="746"/>
      <c r="B52" s="448">
        <v>8760</v>
      </c>
      <c r="C52" s="50" t="s">
        <v>605</v>
      </c>
      <c r="D52" s="425" t="s">
        <v>717</v>
      </c>
      <c r="E52" s="748"/>
    </row>
    <row r="53" spans="1:5" ht="30" customHeight="1" x14ac:dyDescent="0.25">
      <c r="A53" s="746"/>
      <c r="B53" s="426">
        <v>59277</v>
      </c>
      <c r="C53" s="50" t="s">
        <v>165</v>
      </c>
      <c r="D53" s="425" t="s">
        <v>700</v>
      </c>
      <c r="E53" s="748"/>
    </row>
    <row r="54" spans="1:5" ht="30" customHeight="1" x14ac:dyDescent="0.25">
      <c r="A54" s="747"/>
      <c r="B54" s="125">
        <f>B53*((B50/B52)^B51)*B9/100</f>
        <v>1174156.2057907209</v>
      </c>
      <c r="C54" s="50" t="s">
        <v>165</v>
      </c>
      <c r="D54" s="425" t="s">
        <v>1280</v>
      </c>
      <c r="E54" s="50"/>
    </row>
    <row r="55" spans="1:5" ht="30" x14ac:dyDescent="0.25">
      <c r="A55" s="422" t="s">
        <v>162</v>
      </c>
      <c r="B55" s="449">
        <v>1.5</v>
      </c>
      <c r="C55" s="50" t="s">
        <v>701</v>
      </c>
      <c r="D55" s="425" t="s">
        <v>162</v>
      </c>
      <c r="E55" s="394" t="s">
        <v>702</v>
      </c>
    </row>
    <row r="56" spans="1:5" ht="16.5" thickBot="1" x14ac:dyDescent="0.3">
      <c r="A56" s="450" t="s">
        <v>860</v>
      </c>
      <c r="B56" s="450"/>
      <c r="C56" s="450"/>
      <c r="D56" s="450"/>
      <c r="E56" s="450"/>
    </row>
    <row r="57" spans="1:5" x14ac:dyDescent="0.25">
      <c r="A57" s="431" t="s">
        <v>864</v>
      </c>
      <c r="B57" s="432"/>
      <c r="C57" s="432"/>
      <c r="D57" s="432"/>
      <c r="E57" s="433"/>
    </row>
    <row r="58" spans="1:5" ht="29.25" customHeight="1" x14ac:dyDescent="0.25">
      <c r="A58" s="474" t="s">
        <v>865</v>
      </c>
      <c r="B58" s="430">
        <v>380</v>
      </c>
      <c r="C58" s="50" t="s">
        <v>791</v>
      </c>
      <c r="D58" s="469" t="s">
        <v>887</v>
      </c>
      <c r="E58" s="429" t="s">
        <v>886</v>
      </c>
    </row>
    <row r="59" spans="1:5" ht="37.5" customHeight="1" x14ac:dyDescent="0.25">
      <c r="A59" s="428" t="s">
        <v>877</v>
      </c>
      <c r="B59" s="424">
        <v>0.05</v>
      </c>
      <c r="C59" s="50" t="s">
        <v>884</v>
      </c>
      <c r="D59" s="425" t="s">
        <v>988</v>
      </c>
      <c r="E59" s="429" t="s">
        <v>883</v>
      </c>
    </row>
    <row r="60" spans="1:5" ht="33" customHeight="1" x14ac:dyDescent="0.25">
      <c r="A60" s="456" t="s">
        <v>880</v>
      </c>
      <c r="B60" s="368">
        <v>2.7E-2</v>
      </c>
      <c r="C60" s="50" t="s">
        <v>885</v>
      </c>
      <c r="D60" s="425" t="s">
        <v>881</v>
      </c>
      <c r="E60" s="429" t="s">
        <v>895</v>
      </c>
    </row>
    <row r="61" spans="1:5" ht="35.25" customHeight="1" x14ac:dyDescent="0.25">
      <c r="A61" s="519" t="s">
        <v>893</v>
      </c>
      <c r="B61" s="424">
        <v>0.2</v>
      </c>
      <c r="C61" s="50" t="s">
        <v>890</v>
      </c>
      <c r="D61" s="425" t="s">
        <v>889</v>
      </c>
      <c r="E61" s="429" t="s">
        <v>939</v>
      </c>
    </row>
    <row r="62" spans="1:5" x14ac:dyDescent="0.25">
      <c r="A62" s="744" t="s">
        <v>866</v>
      </c>
      <c r="B62" s="744"/>
      <c r="C62" s="744"/>
      <c r="D62" s="744"/>
      <c r="E62" s="744"/>
    </row>
    <row r="63" spans="1:5" ht="33.75" customHeight="1" x14ac:dyDescent="0.25">
      <c r="A63" s="454" t="s">
        <v>867</v>
      </c>
      <c r="B63" s="465">
        <f>B26</f>
        <v>1000000</v>
      </c>
      <c r="C63" s="50" t="s">
        <v>842</v>
      </c>
      <c r="D63" s="466" t="s">
        <v>707</v>
      </c>
      <c r="E63" s="435"/>
    </row>
    <row r="64" spans="1:5" ht="33" customHeight="1" x14ac:dyDescent="0.25">
      <c r="A64" s="745" t="s">
        <v>94</v>
      </c>
      <c r="B64" s="424">
        <v>0.8</v>
      </c>
      <c r="C64" s="50" t="s">
        <v>161</v>
      </c>
      <c r="D64" s="425" t="s">
        <v>697</v>
      </c>
      <c r="E64" s="498" t="s">
        <v>1261</v>
      </c>
    </row>
    <row r="65" spans="1:5" ht="30" customHeight="1" x14ac:dyDescent="0.25">
      <c r="A65" s="746"/>
      <c r="B65" s="603">
        <v>4920000</v>
      </c>
      <c r="C65" s="50" t="s">
        <v>842</v>
      </c>
      <c r="D65" s="425" t="s">
        <v>699</v>
      </c>
      <c r="E65" s="498" t="s">
        <v>1261</v>
      </c>
    </row>
    <row r="66" spans="1:5" ht="28.5" customHeight="1" x14ac:dyDescent="0.25">
      <c r="A66" s="746"/>
      <c r="B66" s="426">
        <v>575105392.15686274</v>
      </c>
      <c r="C66" s="50" t="s">
        <v>165</v>
      </c>
      <c r="D66" s="425" t="s">
        <v>700</v>
      </c>
      <c r="E66" s="498" t="s">
        <v>1261</v>
      </c>
    </row>
    <row r="67" spans="1:5" ht="28.5" customHeight="1" x14ac:dyDescent="0.25">
      <c r="A67" s="747"/>
      <c r="B67" s="125">
        <f>B66*((B63/B65)^B64)*B9/100</f>
        <v>160759022.69870147</v>
      </c>
      <c r="C67" s="50" t="s">
        <v>165</v>
      </c>
      <c r="D67" s="425" t="s">
        <v>1280</v>
      </c>
      <c r="E67" s="50"/>
    </row>
    <row r="68" spans="1:5" ht="29.25" customHeight="1" x14ac:dyDescent="0.25">
      <c r="A68" s="425" t="s">
        <v>719</v>
      </c>
      <c r="B68" s="499">
        <v>3</v>
      </c>
      <c r="C68" s="50" t="s">
        <v>701</v>
      </c>
      <c r="D68" s="425" t="s">
        <v>162</v>
      </c>
      <c r="E68" s="438" t="s">
        <v>876</v>
      </c>
    </row>
    <row r="69" spans="1:5" ht="16.5" customHeight="1" thickBot="1" x14ac:dyDescent="0.3">
      <c r="A69" s="514" t="s">
        <v>976</v>
      </c>
      <c r="B69" s="514"/>
      <c r="C69" s="514"/>
      <c r="D69" s="514"/>
      <c r="E69" s="514"/>
    </row>
    <row r="70" spans="1:5" ht="16.5" customHeight="1" x14ac:dyDescent="0.25">
      <c r="A70" s="431" t="s">
        <v>977</v>
      </c>
      <c r="B70" s="432"/>
      <c r="C70" s="432"/>
      <c r="D70" s="432"/>
      <c r="E70" s="433"/>
    </row>
    <row r="71" spans="1:5" ht="31.5" customHeight="1" x14ac:dyDescent="0.25">
      <c r="A71" s="474" t="s">
        <v>1274</v>
      </c>
      <c r="B71" s="430">
        <v>21</v>
      </c>
      <c r="C71" s="50" t="s">
        <v>791</v>
      </c>
      <c r="D71" s="425" t="s">
        <v>985</v>
      </c>
      <c r="E71" s="429" t="s">
        <v>993</v>
      </c>
    </row>
    <row r="72" spans="1:5" ht="31.5" customHeight="1" x14ac:dyDescent="0.25">
      <c r="A72" s="474" t="s">
        <v>1264</v>
      </c>
      <c r="B72" s="430">
        <v>10</v>
      </c>
      <c r="C72" s="50" t="s">
        <v>791</v>
      </c>
      <c r="D72" s="469" t="s">
        <v>1265</v>
      </c>
      <c r="E72" s="429" t="s">
        <v>1266</v>
      </c>
    </row>
    <row r="73" spans="1:5" ht="32.25" customHeight="1" x14ac:dyDescent="0.25">
      <c r="A73" s="434" t="s">
        <v>877</v>
      </c>
      <c r="B73" s="368">
        <v>4.2999999999999997E-2</v>
      </c>
      <c r="C73" s="50" t="s">
        <v>884</v>
      </c>
      <c r="D73" s="425" t="s">
        <v>986</v>
      </c>
      <c r="E73" s="429" t="s">
        <v>994</v>
      </c>
    </row>
    <row r="74" spans="1:5" ht="35.25" customHeight="1" x14ac:dyDescent="0.25">
      <c r="A74" s="459" t="s">
        <v>746</v>
      </c>
      <c r="B74" s="460">
        <v>7.9000000000000001E-2</v>
      </c>
      <c r="C74" s="322" t="s">
        <v>792</v>
      </c>
      <c r="D74" s="436" t="s">
        <v>987</v>
      </c>
      <c r="E74" s="437" t="s">
        <v>995</v>
      </c>
    </row>
    <row r="75" spans="1:5" ht="33.75" customHeight="1" x14ac:dyDescent="0.25">
      <c r="A75" s="417" t="s">
        <v>989</v>
      </c>
      <c r="B75" s="368">
        <v>5.8000000000000003E-2</v>
      </c>
      <c r="C75" s="50" t="s">
        <v>992</v>
      </c>
      <c r="D75" s="425" t="s">
        <v>990</v>
      </c>
      <c r="E75" s="462" t="s">
        <v>991</v>
      </c>
    </row>
    <row r="76" spans="1:5" ht="16.5" customHeight="1" x14ac:dyDescent="0.25">
      <c r="A76" s="418" t="s">
        <v>984</v>
      </c>
      <c r="B76" s="418"/>
      <c r="C76" s="418"/>
      <c r="D76" s="418"/>
      <c r="E76" s="418"/>
    </row>
    <row r="77" spans="1:5" ht="29.25" customHeight="1" x14ac:dyDescent="0.25">
      <c r="A77" s="454" t="s">
        <v>978</v>
      </c>
      <c r="B77" s="465">
        <f>B26</f>
        <v>1000000</v>
      </c>
      <c r="C77" s="50" t="s">
        <v>842</v>
      </c>
      <c r="D77" s="425"/>
      <c r="E77" s="394"/>
    </row>
    <row r="78" spans="1:5" ht="29.25" customHeight="1" x14ac:dyDescent="0.25">
      <c r="A78" s="745" t="s">
        <v>94</v>
      </c>
      <c r="B78" s="605">
        <v>0.8</v>
      </c>
      <c r="C78" s="419" t="s">
        <v>161</v>
      </c>
      <c r="D78" s="420" t="s">
        <v>697</v>
      </c>
      <c r="E78" s="757" t="s">
        <v>979</v>
      </c>
    </row>
    <row r="79" spans="1:5" ht="29.25" customHeight="1" x14ac:dyDescent="0.25">
      <c r="A79" s="746"/>
      <c r="B79" s="426">
        <v>4323327</v>
      </c>
      <c r="C79" s="50" t="s">
        <v>842</v>
      </c>
      <c r="D79" s="420" t="s">
        <v>699</v>
      </c>
      <c r="E79" s="757"/>
    </row>
    <row r="80" spans="1:5" ht="29.25" customHeight="1" x14ac:dyDescent="0.25">
      <c r="A80" s="746"/>
      <c r="B80" s="516">
        <v>447412500</v>
      </c>
      <c r="C80" s="50" t="s">
        <v>165</v>
      </c>
      <c r="D80" s="420" t="s">
        <v>700</v>
      </c>
      <c r="E80" s="757"/>
    </row>
    <row r="81" spans="1:5" ht="29.25" customHeight="1" x14ac:dyDescent="0.25">
      <c r="A81" s="747"/>
      <c r="B81" s="125">
        <f>B80*((B77/B79)^B78)*B9/100</f>
        <v>138692713.55321488</v>
      </c>
      <c r="C81" s="50" t="s">
        <v>165</v>
      </c>
      <c r="D81" s="425" t="s">
        <v>1280</v>
      </c>
      <c r="E81" s="520"/>
    </row>
    <row r="82" spans="1:5" ht="31.5" customHeight="1" x14ac:dyDescent="0.25">
      <c r="A82" s="425" t="s">
        <v>719</v>
      </c>
      <c r="B82" s="518">
        <v>5</v>
      </c>
      <c r="C82" s="419" t="s">
        <v>701</v>
      </c>
      <c r="D82" s="517" t="s">
        <v>162</v>
      </c>
      <c r="E82" s="482" t="s">
        <v>983</v>
      </c>
    </row>
    <row r="83" spans="1:5" ht="15" customHeight="1" x14ac:dyDescent="0.25">
      <c r="A83" s="744" t="s">
        <v>1258</v>
      </c>
      <c r="B83" s="744"/>
      <c r="C83" s="744"/>
      <c r="D83" s="744"/>
      <c r="E83" s="744"/>
    </row>
    <row r="84" spans="1:5" ht="31.5" customHeight="1" x14ac:dyDescent="0.25">
      <c r="A84" s="454" t="s">
        <v>1259</v>
      </c>
      <c r="B84" s="465">
        <f>B26</f>
        <v>1000000</v>
      </c>
      <c r="C84" s="50" t="s">
        <v>842</v>
      </c>
      <c r="D84" s="466" t="s">
        <v>707</v>
      </c>
      <c r="E84" s="435"/>
    </row>
    <row r="85" spans="1:5" ht="31.5" customHeight="1" x14ac:dyDescent="0.25">
      <c r="A85" s="745" t="s">
        <v>94</v>
      </c>
      <c r="B85" s="424">
        <v>0.8</v>
      </c>
      <c r="C85" s="50" t="s">
        <v>161</v>
      </c>
      <c r="D85" s="425" t="s">
        <v>697</v>
      </c>
      <c r="E85" s="394" t="s">
        <v>1260</v>
      </c>
    </row>
    <row r="86" spans="1:5" ht="31.5" customHeight="1" x14ac:dyDescent="0.25">
      <c r="A86" s="746"/>
      <c r="B86" s="603">
        <v>4000000</v>
      </c>
      <c r="C86" s="50" t="s">
        <v>842</v>
      </c>
      <c r="D86" s="425" t="s">
        <v>699</v>
      </c>
      <c r="E86" s="394" t="s">
        <v>1260</v>
      </c>
    </row>
    <row r="87" spans="1:5" ht="31.5" customHeight="1" x14ac:dyDescent="0.25">
      <c r="A87" s="746"/>
      <c r="B87" s="426">
        <v>190077205.88235295</v>
      </c>
      <c r="C87" s="50" t="s">
        <v>165</v>
      </c>
      <c r="D87" s="425" t="s">
        <v>700</v>
      </c>
      <c r="E87" s="394" t="s">
        <v>1260</v>
      </c>
    </row>
    <row r="88" spans="1:5" ht="31.5" customHeight="1" x14ac:dyDescent="0.25">
      <c r="A88" s="747"/>
      <c r="B88" s="125">
        <f>B87*((B84/B86)^B85)*B9/100</f>
        <v>62702094.204843216</v>
      </c>
      <c r="C88" s="50" t="s">
        <v>165</v>
      </c>
      <c r="D88" s="425" t="s">
        <v>1280</v>
      </c>
      <c r="E88" s="50"/>
    </row>
    <row r="89" spans="1:5" ht="31.5" customHeight="1" x14ac:dyDescent="0.25">
      <c r="A89" s="425" t="s">
        <v>719</v>
      </c>
      <c r="B89" s="529">
        <v>8</v>
      </c>
      <c r="C89" s="50" t="s">
        <v>701</v>
      </c>
      <c r="D89" s="425" t="s">
        <v>162</v>
      </c>
      <c r="E89" s="394" t="s">
        <v>1260</v>
      </c>
    </row>
    <row r="90" spans="1:5" x14ac:dyDescent="0.25">
      <c r="A90" s="450" t="s">
        <v>863</v>
      </c>
      <c r="B90" s="450"/>
      <c r="C90" s="450"/>
      <c r="D90" s="450"/>
      <c r="E90" s="450"/>
    </row>
    <row r="91" spans="1:5" x14ac:dyDescent="0.25">
      <c r="A91" s="471" t="s">
        <v>721</v>
      </c>
      <c r="B91" s="472"/>
      <c r="C91" s="472"/>
      <c r="D91" s="472"/>
      <c r="E91" s="473"/>
    </row>
    <row r="92" spans="1:5" ht="30" x14ac:dyDescent="0.25">
      <c r="A92" s="456" t="s">
        <v>377</v>
      </c>
      <c r="B92" s="430">
        <v>385</v>
      </c>
      <c r="C92" s="50" t="s">
        <v>817</v>
      </c>
      <c r="D92" s="425" t="s">
        <v>754</v>
      </c>
      <c r="E92" s="462" t="s">
        <v>818</v>
      </c>
    </row>
    <row r="93" spans="1:5" x14ac:dyDescent="0.25">
      <c r="A93" s="744" t="s">
        <v>822</v>
      </c>
      <c r="B93" s="744"/>
      <c r="C93" s="744"/>
      <c r="D93" s="744"/>
      <c r="E93" s="744"/>
    </row>
    <row r="94" spans="1:5" ht="31.5" x14ac:dyDescent="0.25">
      <c r="A94" s="452" t="s">
        <v>722</v>
      </c>
      <c r="B94" s="439">
        <f>B20+B74</f>
        <v>8.2000000000000003E-2</v>
      </c>
      <c r="C94" s="50" t="s">
        <v>792</v>
      </c>
      <c r="D94" s="314" t="s">
        <v>823</v>
      </c>
      <c r="E94" s="453"/>
    </row>
    <row r="95" spans="1:5" ht="30" customHeight="1" x14ac:dyDescent="0.25">
      <c r="A95" s="492" t="s">
        <v>821</v>
      </c>
      <c r="B95" s="202">
        <f>B94*B26</f>
        <v>82000</v>
      </c>
      <c r="C95" s="50" t="s">
        <v>723</v>
      </c>
      <c r="D95" s="314"/>
      <c r="E95" s="453"/>
    </row>
    <row r="96" spans="1:5" ht="30.75" customHeight="1" x14ac:dyDescent="0.25">
      <c r="A96" s="745" t="s">
        <v>94</v>
      </c>
      <c r="B96" s="442">
        <v>0.63570000000000004</v>
      </c>
      <c r="C96" s="50" t="s">
        <v>161</v>
      </c>
      <c r="D96" s="425" t="s">
        <v>697</v>
      </c>
      <c r="E96" s="736" t="s">
        <v>698</v>
      </c>
    </row>
    <row r="97" spans="1:5" ht="30.75" customHeight="1" x14ac:dyDescent="0.25">
      <c r="A97" s="746"/>
      <c r="B97" s="443">
        <v>8.76</v>
      </c>
      <c r="C97" s="50" t="s">
        <v>723</v>
      </c>
      <c r="D97" s="425" t="s">
        <v>699</v>
      </c>
      <c r="E97" s="736"/>
    </row>
    <row r="98" spans="1:5" ht="30" customHeight="1" x14ac:dyDescent="0.25">
      <c r="A98" s="746"/>
      <c r="B98" s="426">
        <v>29849</v>
      </c>
      <c r="C98" s="50" t="s">
        <v>165</v>
      </c>
      <c r="D98" s="425" t="s">
        <v>700</v>
      </c>
      <c r="E98" s="736"/>
    </row>
    <row r="99" spans="1:5" ht="30" customHeight="1" x14ac:dyDescent="0.25">
      <c r="A99" s="747"/>
      <c r="B99" s="125">
        <f>B98*((B95/B97)^B96)*B9/100</f>
        <v>9988295.7150929123</v>
      </c>
      <c r="C99" s="50" t="s">
        <v>165</v>
      </c>
      <c r="D99" s="425" t="s">
        <v>1280</v>
      </c>
      <c r="E99" s="394"/>
    </row>
    <row r="100" spans="1:5" ht="30" x14ac:dyDescent="0.25">
      <c r="A100" s="422" t="s">
        <v>162</v>
      </c>
      <c r="B100" s="449">
        <v>2.5</v>
      </c>
      <c r="C100" s="50" t="s">
        <v>701</v>
      </c>
      <c r="D100" s="425" t="s">
        <v>162</v>
      </c>
      <c r="E100" s="394" t="s">
        <v>724</v>
      </c>
    </row>
    <row r="101" spans="1:5" x14ac:dyDescent="0.25">
      <c r="A101" s="418" t="s">
        <v>996</v>
      </c>
      <c r="B101" s="418"/>
      <c r="C101" s="418"/>
      <c r="D101" s="418"/>
      <c r="E101" s="418"/>
    </row>
    <row r="102" spans="1:5" ht="31.5" customHeight="1" x14ac:dyDescent="0.25">
      <c r="A102" s="101" t="s">
        <v>1035</v>
      </c>
      <c r="B102" s="221">
        <v>16</v>
      </c>
      <c r="C102" s="101" t="s">
        <v>1030</v>
      </c>
      <c r="D102" s="524"/>
      <c r="E102" s="93" t="s">
        <v>1202</v>
      </c>
    </row>
    <row r="103" spans="1:5" ht="33.75" customHeight="1" x14ac:dyDescent="0.25">
      <c r="A103" s="101" t="s">
        <v>1027</v>
      </c>
      <c r="B103" s="27">
        <v>4.8</v>
      </c>
      <c r="C103" s="101" t="s">
        <v>1031</v>
      </c>
      <c r="D103" s="268" t="s">
        <v>1028</v>
      </c>
      <c r="E103" s="99" t="s">
        <v>1029</v>
      </c>
    </row>
    <row r="104" spans="1:5" ht="31.5" customHeight="1" x14ac:dyDescent="0.25">
      <c r="A104" s="112" t="s">
        <v>1020</v>
      </c>
      <c r="B104" s="523">
        <v>1920</v>
      </c>
      <c r="C104" s="112" t="s">
        <v>1021</v>
      </c>
      <c r="D104" s="524"/>
      <c r="E104" s="124" t="s">
        <v>1022</v>
      </c>
    </row>
    <row r="105" spans="1:5" ht="35.25" customHeight="1" x14ac:dyDescent="0.25">
      <c r="A105" s="112" t="s">
        <v>1024</v>
      </c>
      <c r="B105" s="616">
        <v>36</v>
      </c>
      <c r="C105" s="112" t="s">
        <v>1023</v>
      </c>
      <c r="D105" s="524"/>
      <c r="E105" s="93" t="s">
        <v>1025</v>
      </c>
    </row>
    <row r="106" spans="1:5" ht="31.5" customHeight="1" x14ac:dyDescent="0.25">
      <c r="A106" s="62" t="s">
        <v>802</v>
      </c>
      <c r="B106" s="227">
        <f>B102*B103*B104*B105</f>
        <v>5308416</v>
      </c>
      <c r="C106" s="62" t="s">
        <v>261</v>
      </c>
      <c r="D106" s="524"/>
      <c r="E106" s="524"/>
    </row>
    <row r="107" spans="1:5" x14ac:dyDescent="0.25">
      <c r="A107" s="450" t="s">
        <v>725</v>
      </c>
      <c r="B107" s="450"/>
      <c r="C107" s="450"/>
      <c r="D107" s="450"/>
      <c r="E107" s="450"/>
    </row>
    <row r="108" spans="1:5" x14ac:dyDescent="0.25">
      <c r="A108" s="744" t="s">
        <v>726</v>
      </c>
      <c r="B108" s="744"/>
      <c r="C108" s="744"/>
      <c r="D108" s="744"/>
      <c r="E108" s="744"/>
    </row>
    <row r="109" spans="1:5" ht="27.75" customHeight="1" x14ac:dyDescent="0.25">
      <c r="A109" s="745" t="s">
        <v>94</v>
      </c>
      <c r="B109" s="442">
        <v>0.55840000000000001</v>
      </c>
      <c r="C109" s="50" t="s">
        <v>161</v>
      </c>
      <c r="D109" s="425" t="s">
        <v>697</v>
      </c>
      <c r="E109" s="736" t="s">
        <v>698</v>
      </c>
    </row>
    <row r="110" spans="1:5" ht="25.5" customHeight="1" x14ac:dyDescent="0.25">
      <c r="A110" s="746"/>
      <c r="B110" s="443">
        <v>8.76</v>
      </c>
      <c r="C110" s="50" t="s">
        <v>605</v>
      </c>
      <c r="D110" s="425" t="s">
        <v>750</v>
      </c>
      <c r="E110" s="736"/>
    </row>
    <row r="111" spans="1:5" ht="30" customHeight="1" x14ac:dyDescent="0.25">
      <c r="A111" s="746"/>
      <c r="B111" s="426">
        <v>68056</v>
      </c>
      <c r="C111" s="50" t="s">
        <v>165</v>
      </c>
      <c r="D111" s="425" t="s">
        <v>700</v>
      </c>
      <c r="E111" s="736"/>
    </row>
    <row r="112" spans="1:5" ht="30" customHeight="1" x14ac:dyDescent="0.25">
      <c r="A112" s="747"/>
      <c r="B112" s="125">
        <f>B111*((B12/B110)^B109)*B9/100</f>
        <v>45391248.35415218</v>
      </c>
      <c r="C112" s="50" t="s">
        <v>165</v>
      </c>
      <c r="D112" s="425" t="s">
        <v>1280</v>
      </c>
      <c r="E112" s="394"/>
    </row>
    <row r="113" spans="1:5" x14ac:dyDescent="0.25">
      <c r="A113" s="744" t="s">
        <v>727</v>
      </c>
      <c r="B113" s="744"/>
      <c r="C113" s="744"/>
      <c r="D113" s="744"/>
      <c r="E113" s="744"/>
    </row>
    <row r="114" spans="1:5" ht="25.5" customHeight="1" x14ac:dyDescent="0.25">
      <c r="A114" s="745" t="s">
        <v>94</v>
      </c>
      <c r="B114" s="442">
        <v>0.8</v>
      </c>
      <c r="C114" s="50" t="s">
        <v>161</v>
      </c>
      <c r="D114" s="425" t="s">
        <v>697</v>
      </c>
      <c r="E114" s="736" t="s">
        <v>698</v>
      </c>
    </row>
    <row r="115" spans="1:5" ht="26.25" customHeight="1" x14ac:dyDescent="0.25">
      <c r="A115" s="746"/>
      <c r="B115" s="443">
        <v>8.76</v>
      </c>
      <c r="C115" s="50" t="s">
        <v>605</v>
      </c>
      <c r="D115" s="425" t="s">
        <v>750</v>
      </c>
      <c r="E115" s="736"/>
    </row>
    <row r="116" spans="1:5" ht="27.75" customHeight="1" x14ac:dyDescent="0.25">
      <c r="A116" s="746"/>
      <c r="B116" s="426">
        <v>6160</v>
      </c>
      <c r="C116" s="50" t="s">
        <v>165</v>
      </c>
      <c r="D116" s="425" t="s">
        <v>700</v>
      </c>
      <c r="E116" s="736"/>
    </row>
    <row r="117" spans="1:5" ht="27.75" customHeight="1" x14ac:dyDescent="0.25">
      <c r="A117" s="747"/>
      <c r="B117" s="125">
        <f>B116*((B12/B115)^B114)*B9/100</f>
        <v>68482156.410435766</v>
      </c>
      <c r="C117" s="50" t="s">
        <v>165</v>
      </c>
      <c r="D117" s="425" t="s">
        <v>1280</v>
      </c>
      <c r="E117" s="394"/>
    </row>
    <row r="118" spans="1:5" x14ac:dyDescent="0.25">
      <c r="A118" s="744" t="s">
        <v>728</v>
      </c>
      <c r="B118" s="744"/>
      <c r="C118" s="744"/>
      <c r="D118" s="744"/>
      <c r="E118" s="744"/>
    </row>
    <row r="119" spans="1:5" ht="24.75" customHeight="1" x14ac:dyDescent="0.25">
      <c r="A119" s="745" t="s">
        <v>94</v>
      </c>
      <c r="B119" s="442">
        <v>0.55830000000000002</v>
      </c>
      <c r="C119" s="50" t="s">
        <v>161</v>
      </c>
      <c r="D119" s="425" t="s">
        <v>697</v>
      </c>
      <c r="E119" s="736" t="s">
        <v>698</v>
      </c>
    </row>
    <row r="120" spans="1:5" ht="24.75" customHeight="1" x14ac:dyDescent="0.25">
      <c r="A120" s="746"/>
      <c r="B120" s="443">
        <v>8.76</v>
      </c>
      <c r="C120" s="50" t="s">
        <v>605</v>
      </c>
      <c r="D120" s="425" t="s">
        <v>750</v>
      </c>
      <c r="E120" s="736"/>
    </row>
    <row r="121" spans="1:5" ht="25.5" customHeight="1" x14ac:dyDescent="0.25">
      <c r="A121" s="746"/>
      <c r="B121" s="426">
        <v>170142</v>
      </c>
      <c r="C121" s="50" t="s">
        <v>165</v>
      </c>
      <c r="D121" s="425" t="s">
        <v>700</v>
      </c>
      <c r="E121" s="736"/>
    </row>
    <row r="122" spans="1:5" ht="30" customHeight="1" x14ac:dyDescent="0.25">
      <c r="A122" s="747"/>
      <c r="B122" s="125">
        <f>B121*((B12/B120)^B119)*B9/100</f>
        <v>113347381.34453897</v>
      </c>
      <c r="C122" s="50" t="s">
        <v>165</v>
      </c>
      <c r="D122" s="112" t="s">
        <v>1280</v>
      </c>
      <c r="E122" s="113"/>
    </row>
    <row r="123" spans="1:5" x14ac:dyDescent="0.25">
      <c r="A123" s="103" t="s">
        <v>88</v>
      </c>
      <c r="B123" s="103"/>
      <c r="C123" s="103"/>
      <c r="D123" s="103"/>
      <c r="E123" s="117"/>
    </row>
    <row r="124" spans="1:5" ht="30.75" customHeight="1" x14ac:dyDescent="0.25">
      <c r="A124" s="92" t="s">
        <v>88</v>
      </c>
      <c r="B124" s="87">
        <v>0</v>
      </c>
      <c r="C124" s="218" t="s">
        <v>165</v>
      </c>
      <c r="D124" s="92" t="s">
        <v>259</v>
      </c>
      <c r="E124" s="92"/>
    </row>
    <row r="125" spans="1:5" ht="15.75" customHeight="1" x14ac:dyDescent="0.25">
      <c r="A125" s="450" t="s">
        <v>755</v>
      </c>
      <c r="B125" s="450"/>
      <c r="C125" s="450"/>
      <c r="D125" s="450"/>
      <c r="E125" s="450"/>
    </row>
    <row r="126" spans="1:5" ht="30.75" customHeight="1" x14ac:dyDescent="0.25">
      <c r="A126" s="434" t="s">
        <v>742</v>
      </c>
      <c r="B126" s="443">
        <v>0</v>
      </c>
      <c r="C126" s="50" t="s">
        <v>608</v>
      </c>
      <c r="D126" s="425" t="s">
        <v>810</v>
      </c>
      <c r="E126" s="394" t="s">
        <v>811</v>
      </c>
    </row>
    <row r="127" spans="1:5" ht="30.75" customHeight="1" x14ac:dyDescent="0.25">
      <c r="A127" s="417" t="s">
        <v>812</v>
      </c>
      <c r="B127" s="490">
        <f>HLOOKUP(B16,H23:I32,2,FALSE)</f>
        <v>0.03</v>
      </c>
      <c r="C127" s="50" t="s">
        <v>262</v>
      </c>
      <c r="D127" s="425"/>
      <c r="E127" s="491"/>
    </row>
    <row r="128" spans="1:5" ht="30.75" customHeight="1" x14ac:dyDescent="0.25">
      <c r="A128" s="452" t="s">
        <v>377</v>
      </c>
      <c r="B128" s="368">
        <v>8.3000000000000004E-2</v>
      </c>
      <c r="C128" s="50" t="s">
        <v>262</v>
      </c>
      <c r="D128" s="425" t="s">
        <v>756</v>
      </c>
      <c r="E128" s="394" t="s">
        <v>757</v>
      </c>
    </row>
    <row r="129" spans="1:5" ht="30.75" customHeight="1" x14ac:dyDescent="0.25">
      <c r="A129" s="313" t="s">
        <v>998</v>
      </c>
      <c r="B129" s="448">
        <v>80</v>
      </c>
      <c r="C129" s="50" t="s">
        <v>625</v>
      </c>
      <c r="D129" s="425"/>
      <c r="E129" s="429" t="s">
        <v>898</v>
      </c>
    </row>
    <row r="130" spans="1:5" ht="30.75" customHeight="1" x14ac:dyDescent="0.25">
      <c r="A130" s="313" t="s">
        <v>999</v>
      </c>
      <c r="B130" s="448">
        <v>170</v>
      </c>
      <c r="C130" s="50" t="s">
        <v>625</v>
      </c>
      <c r="D130" s="425"/>
      <c r="E130" s="429" t="s">
        <v>899</v>
      </c>
    </row>
    <row r="131" spans="1:5" ht="30.75" customHeight="1" x14ac:dyDescent="0.25">
      <c r="A131" s="313" t="s">
        <v>1000</v>
      </c>
      <c r="B131" s="448">
        <v>30</v>
      </c>
      <c r="C131" s="50" t="s">
        <v>625</v>
      </c>
      <c r="D131" s="425" t="s">
        <v>901</v>
      </c>
      <c r="E131" s="462" t="s">
        <v>900</v>
      </c>
    </row>
    <row r="132" spans="1:5" x14ac:dyDescent="0.25">
      <c r="A132" s="450" t="s">
        <v>87</v>
      </c>
      <c r="B132" s="450"/>
      <c r="C132" s="450"/>
      <c r="D132" s="450"/>
      <c r="E132" s="450"/>
    </row>
    <row r="133" spans="1:5" ht="30.75" customHeight="1" x14ac:dyDescent="0.25">
      <c r="A133" s="425" t="s">
        <v>758</v>
      </c>
      <c r="B133" s="449">
        <v>0</v>
      </c>
      <c r="C133" s="50" t="s">
        <v>701</v>
      </c>
      <c r="D133" s="425" t="s">
        <v>759</v>
      </c>
      <c r="E133" s="50" t="s">
        <v>760</v>
      </c>
    </row>
    <row r="134" spans="1:5" ht="30.75" customHeight="1" x14ac:dyDescent="0.25">
      <c r="A134" s="425" t="s">
        <v>761</v>
      </c>
      <c r="B134" s="449">
        <v>0</v>
      </c>
      <c r="C134" s="50" t="s">
        <v>701</v>
      </c>
      <c r="D134" s="425" t="s">
        <v>762</v>
      </c>
      <c r="E134" s="50" t="s">
        <v>760</v>
      </c>
    </row>
    <row r="135" spans="1:5" ht="30.75" customHeight="1" x14ac:dyDescent="0.25">
      <c r="A135" s="425" t="s">
        <v>763</v>
      </c>
      <c r="B135" s="449">
        <v>0</v>
      </c>
      <c r="C135" s="50" t="s">
        <v>165</v>
      </c>
      <c r="D135" s="425" t="s">
        <v>764</v>
      </c>
      <c r="E135" s="50" t="s">
        <v>760</v>
      </c>
    </row>
    <row r="136" spans="1:5" ht="30.75" customHeight="1" x14ac:dyDescent="0.25">
      <c r="A136" s="425" t="s">
        <v>765</v>
      </c>
      <c r="B136" s="449">
        <v>0</v>
      </c>
      <c r="C136" s="50" t="s">
        <v>261</v>
      </c>
      <c r="D136" s="425" t="s">
        <v>766</v>
      </c>
      <c r="E136" s="50" t="s">
        <v>760</v>
      </c>
    </row>
    <row r="137" spans="1:5" ht="30.75" customHeight="1" x14ac:dyDescent="0.25">
      <c r="A137" s="92" t="s">
        <v>89</v>
      </c>
      <c r="B137" s="87">
        <v>0</v>
      </c>
      <c r="C137" s="218" t="s">
        <v>261</v>
      </c>
      <c r="D137" s="92" t="s">
        <v>259</v>
      </c>
      <c r="E137" s="92"/>
    </row>
    <row r="138" spans="1:5" x14ac:dyDescent="0.25">
      <c r="A138" s="118" t="s">
        <v>366</v>
      </c>
      <c r="B138" s="119"/>
      <c r="C138" s="119"/>
      <c r="D138" s="119"/>
      <c r="E138" s="120"/>
    </row>
    <row r="139" spans="1:5" x14ac:dyDescent="0.25">
      <c r="A139" s="103" t="s">
        <v>645</v>
      </c>
      <c r="B139" s="103"/>
      <c r="C139" s="103"/>
      <c r="D139" s="103"/>
      <c r="E139" s="117"/>
    </row>
    <row r="140" spans="1:5" ht="34.5" customHeight="1" x14ac:dyDescent="0.25">
      <c r="A140" s="121" t="s">
        <v>646</v>
      </c>
      <c r="B140" s="27">
        <v>0</v>
      </c>
      <c r="C140" s="121" t="s">
        <v>647</v>
      </c>
      <c r="D140" s="121" t="s">
        <v>651</v>
      </c>
      <c r="E140" s="122" t="s">
        <v>648</v>
      </c>
    </row>
    <row r="141" spans="1:5" ht="17.25" customHeight="1" x14ac:dyDescent="0.25">
      <c r="A141" s="103" t="s">
        <v>772</v>
      </c>
      <c r="B141" s="103"/>
      <c r="C141" s="103"/>
      <c r="D141" s="103"/>
      <c r="E141" s="117"/>
    </row>
    <row r="142" spans="1:5" ht="34.5" customHeight="1" x14ac:dyDescent="0.25">
      <c r="A142" s="463" t="s">
        <v>778</v>
      </c>
      <c r="B142" s="503">
        <f>HLOOKUP(B16,H23:I32,3,FALSE)</f>
        <v>0.186</v>
      </c>
      <c r="C142" s="422" t="s">
        <v>475</v>
      </c>
      <c r="D142" s="469" t="s">
        <v>935</v>
      </c>
      <c r="E142" s="108"/>
    </row>
    <row r="143" spans="1:5" ht="34.5" customHeight="1" x14ac:dyDescent="0.25">
      <c r="A143" s="463" t="s">
        <v>891</v>
      </c>
      <c r="B143" s="114">
        <v>2617</v>
      </c>
      <c r="C143" s="422" t="s">
        <v>936</v>
      </c>
      <c r="D143" s="469"/>
      <c r="E143" s="108" t="s">
        <v>937</v>
      </c>
    </row>
    <row r="144" spans="1:5" ht="34.5" customHeight="1" x14ac:dyDescent="0.25">
      <c r="A144" s="745" t="s">
        <v>1009</v>
      </c>
      <c r="B144" s="521">
        <f>HLOOKUP(B16,H23:I33,11,FALSE)</f>
        <v>2</v>
      </c>
      <c r="C144" s="422" t="s">
        <v>928</v>
      </c>
      <c r="D144" s="469"/>
      <c r="E144" s="108"/>
    </row>
    <row r="145" spans="1:5" ht="34.5" customHeight="1" x14ac:dyDescent="0.25">
      <c r="A145" s="747"/>
      <c r="B145" s="502">
        <f>B144*0.27</f>
        <v>0.54</v>
      </c>
      <c r="C145" s="422" t="s">
        <v>827</v>
      </c>
      <c r="D145" s="469"/>
      <c r="E145" s="394" t="s">
        <v>773</v>
      </c>
    </row>
    <row r="146" spans="1:5" ht="34.5" customHeight="1" x14ac:dyDescent="0.25">
      <c r="A146" s="745" t="s">
        <v>1003</v>
      </c>
      <c r="B146" s="475">
        <v>4</v>
      </c>
      <c r="C146" s="422" t="s">
        <v>928</v>
      </c>
      <c r="D146" s="469"/>
      <c r="E146" s="99" t="s">
        <v>933</v>
      </c>
    </row>
    <row r="147" spans="1:5" ht="34.5" customHeight="1" x14ac:dyDescent="0.25">
      <c r="A147" s="747"/>
      <c r="B147" s="502">
        <f>B146*0.27</f>
        <v>1.08</v>
      </c>
      <c r="C147" s="422" t="s">
        <v>827</v>
      </c>
      <c r="D147" s="468" t="s">
        <v>930</v>
      </c>
      <c r="E147" s="394" t="s">
        <v>773</v>
      </c>
    </row>
    <row r="148" spans="1:5" ht="34.5" customHeight="1" x14ac:dyDescent="0.25">
      <c r="A148" s="745" t="s">
        <v>1002</v>
      </c>
      <c r="B148" s="475">
        <v>0.5</v>
      </c>
      <c r="C148" s="422" t="s">
        <v>928</v>
      </c>
      <c r="D148" s="469" t="s">
        <v>1010</v>
      </c>
      <c r="E148" s="435" t="s">
        <v>944</v>
      </c>
    </row>
    <row r="149" spans="1:5" ht="34.5" customHeight="1" x14ac:dyDescent="0.25">
      <c r="A149" s="747"/>
      <c r="B149" s="502">
        <f>B148*0.27</f>
        <v>0.13500000000000001</v>
      </c>
      <c r="C149" s="422" t="s">
        <v>827</v>
      </c>
      <c r="D149" s="468" t="s">
        <v>930</v>
      </c>
      <c r="E149" s="394" t="s">
        <v>773</v>
      </c>
    </row>
    <row r="150" spans="1:5" x14ac:dyDescent="0.25">
      <c r="A150" s="103" t="s">
        <v>767</v>
      </c>
      <c r="B150" s="103"/>
      <c r="C150" s="103"/>
      <c r="D150" s="103"/>
      <c r="E150" s="117"/>
    </row>
    <row r="151" spans="1:5" ht="34.5" customHeight="1" x14ac:dyDescent="0.25">
      <c r="A151" s="463" t="s">
        <v>377</v>
      </c>
      <c r="B151" s="368">
        <v>0.63</v>
      </c>
      <c r="C151" s="112" t="s">
        <v>415</v>
      </c>
      <c r="D151" s="267" t="s">
        <v>874</v>
      </c>
      <c r="E151" s="294" t="s">
        <v>420</v>
      </c>
    </row>
    <row r="152" spans="1:5" ht="30" x14ac:dyDescent="0.25">
      <c r="A152" s="425" t="s">
        <v>768</v>
      </c>
      <c r="B152" s="449">
        <v>0</v>
      </c>
      <c r="C152" s="422" t="s">
        <v>604</v>
      </c>
      <c r="D152" s="468" t="s">
        <v>774</v>
      </c>
      <c r="E152" s="394" t="s">
        <v>769</v>
      </c>
    </row>
    <row r="153" spans="1:5" ht="37.5" customHeight="1" x14ac:dyDescent="0.25">
      <c r="A153" s="425" t="s">
        <v>770</v>
      </c>
      <c r="B153" s="449">
        <v>0</v>
      </c>
      <c r="C153" s="422" t="s">
        <v>604</v>
      </c>
      <c r="D153" s="467" t="s">
        <v>775</v>
      </c>
      <c r="E153" s="394" t="s">
        <v>771</v>
      </c>
    </row>
    <row r="154" spans="1:5" x14ac:dyDescent="0.25">
      <c r="A154" s="103" t="s">
        <v>382</v>
      </c>
      <c r="B154" s="103"/>
      <c r="C154" s="103"/>
      <c r="D154" s="103"/>
      <c r="E154" s="117"/>
    </row>
    <row r="155" spans="1:5" ht="27.75" customHeight="1" x14ac:dyDescent="0.25">
      <c r="A155" s="696" t="s">
        <v>824</v>
      </c>
      <c r="B155" s="227">
        <f>B151*B21*B26*(B13/100)</f>
        <v>39690000</v>
      </c>
      <c r="C155" s="112" t="s">
        <v>385</v>
      </c>
      <c r="D155" s="295"/>
      <c r="E155" s="124"/>
    </row>
    <row r="156" spans="1:5" ht="27.75" customHeight="1" x14ac:dyDescent="0.25">
      <c r="A156" s="697"/>
      <c r="B156" s="373">
        <f>B151*B21</f>
        <v>44.1</v>
      </c>
      <c r="C156" s="112" t="s">
        <v>827</v>
      </c>
      <c r="D156" s="92"/>
      <c r="E156" s="124"/>
    </row>
    <row r="157" spans="1:5" ht="27.75" customHeight="1" x14ac:dyDescent="0.25">
      <c r="A157" s="699" t="s">
        <v>868</v>
      </c>
      <c r="B157" s="227">
        <f>B151*B58*B63*(B13/100)</f>
        <v>215460000</v>
      </c>
      <c r="C157" s="112" t="s">
        <v>385</v>
      </c>
      <c r="D157" s="92"/>
      <c r="E157" s="124"/>
    </row>
    <row r="158" spans="1:5" ht="27.75" customHeight="1" x14ac:dyDescent="0.25">
      <c r="A158" s="699"/>
      <c r="B158" s="373">
        <f>B151*B58</f>
        <v>239.4</v>
      </c>
      <c r="C158" s="112" t="s">
        <v>827</v>
      </c>
      <c r="D158" s="92"/>
      <c r="E158" s="124"/>
    </row>
    <row r="159" spans="1:5" ht="27.75" customHeight="1" x14ac:dyDescent="0.25">
      <c r="A159" s="696" t="s">
        <v>1001</v>
      </c>
      <c r="B159" s="127">
        <f>B151*B71*B77*(B13/100)</f>
        <v>11907000</v>
      </c>
      <c r="C159" s="112" t="s">
        <v>385</v>
      </c>
      <c r="D159" s="92"/>
      <c r="E159" s="124"/>
    </row>
    <row r="160" spans="1:5" ht="27.75" customHeight="1" x14ac:dyDescent="0.25">
      <c r="A160" s="697"/>
      <c r="B160" s="373">
        <f>B151*B71</f>
        <v>13.23</v>
      </c>
      <c r="C160" s="112" t="s">
        <v>827</v>
      </c>
      <c r="D160" s="92"/>
      <c r="E160" s="124"/>
    </row>
    <row r="161" spans="1:5" ht="27.75" customHeight="1" x14ac:dyDescent="0.25">
      <c r="A161" s="696" t="s">
        <v>1273</v>
      </c>
      <c r="B161" s="127">
        <f>B151*B72*B84*(B13/100)</f>
        <v>5670000</v>
      </c>
      <c r="C161" s="112" t="s">
        <v>385</v>
      </c>
      <c r="D161" s="92"/>
      <c r="E161" s="124"/>
    </row>
    <row r="162" spans="1:5" ht="27.75" customHeight="1" x14ac:dyDescent="0.25">
      <c r="A162" s="697"/>
      <c r="B162" s="373">
        <f>B151*B72</f>
        <v>6.3</v>
      </c>
      <c r="C162" s="112" t="s">
        <v>827</v>
      </c>
      <c r="D162" s="92"/>
      <c r="E162" s="124"/>
    </row>
    <row r="163" spans="1:5" ht="27.75" customHeight="1" x14ac:dyDescent="0.25">
      <c r="A163" s="696" t="s">
        <v>825</v>
      </c>
      <c r="B163" s="373">
        <f>B151*B92*B95*(B13/100)</f>
        <v>17900190</v>
      </c>
      <c r="C163" s="112" t="s">
        <v>385</v>
      </c>
      <c r="D163" s="92"/>
      <c r="E163" s="124"/>
    </row>
    <row r="164" spans="1:5" ht="27.75" customHeight="1" x14ac:dyDescent="0.25">
      <c r="A164" s="751"/>
      <c r="B164" s="509">
        <f>B151*B92*B94</f>
        <v>19.889100000000003</v>
      </c>
      <c r="C164" s="264" t="s">
        <v>827</v>
      </c>
      <c r="D164" s="92"/>
      <c r="E164" s="124"/>
    </row>
    <row r="165" spans="1:5" ht="30.75" customHeight="1" x14ac:dyDescent="0.25">
      <c r="A165" s="699" t="s">
        <v>826</v>
      </c>
      <c r="B165" s="511">
        <f>(B142*B19*B26*(B13/100))-(B145*B26*(B13/100))</f>
        <v>464886000.00000006</v>
      </c>
      <c r="C165" s="112" t="s">
        <v>385</v>
      </c>
      <c r="D165" s="101" t="s">
        <v>1006</v>
      </c>
      <c r="E165" s="124"/>
    </row>
    <row r="166" spans="1:5" ht="30.75" customHeight="1" x14ac:dyDescent="0.25">
      <c r="A166" s="699"/>
      <c r="B166" s="512">
        <f>B142*B19-B145</f>
        <v>516.54000000000008</v>
      </c>
      <c r="C166" s="112" t="s">
        <v>827</v>
      </c>
      <c r="D166" s="101" t="s">
        <v>1006</v>
      </c>
      <c r="E166" s="99"/>
    </row>
    <row r="167" spans="1:5" ht="36" customHeight="1" x14ac:dyDescent="0.25">
      <c r="A167" s="699" t="s">
        <v>934</v>
      </c>
      <c r="B167" s="511">
        <f>(B143*B60*B63*(B13/100))-((B147-B145)*B60*B63*(B13/100))</f>
        <v>63579978</v>
      </c>
      <c r="C167" s="112" t="s">
        <v>385</v>
      </c>
      <c r="D167" s="101" t="s">
        <v>1006</v>
      </c>
      <c r="E167" s="99"/>
    </row>
    <row r="168" spans="1:5" ht="35.25" customHeight="1" x14ac:dyDescent="0.25">
      <c r="A168" s="699"/>
      <c r="B168" s="512">
        <f>(B143*B60)-(B147-B145)</f>
        <v>70.119</v>
      </c>
      <c r="C168" s="112" t="s">
        <v>827</v>
      </c>
      <c r="D168" s="101" t="s">
        <v>1006</v>
      </c>
      <c r="E168" s="99"/>
    </row>
    <row r="169" spans="1:5" ht="35.25" customHeight="1" x14ac:dyDescent="0.25">
      <c r="A169" s="699" t="s">
        <v>1004</v>
      </c>
      <c r="B169" s="512">
        <f>(B147-B149)*B77*(B13/100)</f>
        <v>850500.00000000012</v>
      </c>
      <c r="C169" s="112" t="s">
        <v>385</v>
      </c>
      <c r="D169" s="101" t="s">
        <v>1005</v>
      </c>
      <c r="E169" s="99"/>
    </row>
    <row r="170" spans="1:5" ht="35.25" customHeight="1" x14ac:dyDescent="0.25">
      <c r="A170" s="699"/>
      <c r="B170" s="512">
        <f>B147-B149</f>
        <v>0.94500000000000006</v>
      </c>
      <c r="C170" s="112" t="s">
        <v>827</v>
      </c>
      <c r="D170" s="101" t="s">
        <v>1005</v>
      </c>
      <c r="E170" s="99"/>
    </row>
    <row r="171" spans="1:5" ht="30.75" customHeight="1" x14ac:dyDescent="0.25">
      <c r="A171" s="699" t="s">
        <v>768</v>
      </c>
      <c r="B171" s="511">
        <f>B152*B24*B26*(B13/100)</f>
        <v>0</v>
      </c>
      <c r="C171" s="112" t="s">
        <v>385</v>
      </c>
      <c r="D171" s="101"/>
      <c r="E171" s="99"/>
    </row>
    <row r="172" spans="1:5" ht="30.75" customHeight="1" x14ac:dyDescent="0.25">
      <c r="A172" s="699"/>
      <c r="B172" s="512">
        <f>B152*B24</f>
        <v>0</v>
      </c>
      <c r="C172" s="112" t="s">
        <v>827</v>
      </c>
      <c r="D172" s="101"/>
      <c r="E172" s="99"/>
    </row>
    <row r="173" spans="1:5" ht="30.75" customHeight="1" x14ac:dyDescent="0.25">
      <c r="A173" s="699" t="s">
        <v>770</v>
      </c>
      <c r="B173" s="511">
        <f>B153*B24*B26*(B13/100)</f>
        <v>0</v>
      </c>
      <c r="C173" s="112" t="s">
        <v>385</v>
      </c>
      <c r="D173" s="101"/>
      <c r="E173" s="99"/>
    </row>
    <row r="174" spans="1:5" ht="30.75" customHeight="1" x14ac:dyDescent="0.25">
      <c r="A174" s="699"/>
      <c r="B174" s="512">
        <f>B153*B24</f>
        <v>0</v>
      </c>
      <c r="C174" s="112" t="s">
        <v>827</v>
      </c>
      <c r="D174" s="101"/>
      <c r="E174" s="99"/>
    </row>
    <row r="175" spans="1:5" ht="30.75" customHeight="1" x14ac:dyDescent="0.25">
      <c r="A175" s="392" t="s">
        <v>528</v>
      </c>
      <c r="B175" s="510">
        <f>B156+B158+B160+B162+B164+B172+B174</f>
        <v>322.91910000000001</v>
      </c>
      <c r="C175" s="392" t="s">
        <v>827</v>
      </c>
      <c r="D175" s="92"/>
      <c r="E175" s="124"/>
    </row>
    <row r="176" spans="1:5" ht="26.25" customHeight="1" x14ac:dyDescent="0.25">
      <c r="A176" s="112" t="s">
        <v>529</v>
      </c>
      <c r="B176" s="374">
        <f>B166+B168+B170</f>
        <v>587.60400000000016</v>
      </c>
      <c r="C176" s="112" t="s">
        <v>827</v>
      </c>
      <c r="D176" s="92"/>
      <c r="E176" s="124"/>
    </row>
    <row r="177" spans="1:5" ht="30" customHeight="1" x14ac:dyDescent="0.25">
      <c r="A177" s="112" t="s">
        <v>530</v>
      </c>
      <c r="B177" s="375">
        <f>B175+B176</f>
        <v>910.52310000000011</v>
      </c>
      <c r="C177" s="112" t="s">
        <v>827</v>
      </c>
      <c r="D177" s="92"/>
      <c r="E177" s="124"/>
    </row>
    <row r="178" spans="1:5" x14ac:dyDescent="0.25">
      <c r="A178" s="103" t="s">
        <v>841</v>
      </c>
      <c r="B178" s="103"/>
      <c r="C178" s="103"/>
      <c r="D178" s="103"/>
      <c r="E178" s="117"/>
    </row>
    <row r="179" spans="1:5" ht="30" customHeight="1" x14ac:dyDescent="0.25">
      <c r="A179" s="92" t="s">
        <v>841</v>
      </c>
      <c r="B179" s="109">
        <f>B12*(B13/100)</f>
        <v>900000</v>
      </c>
      <c r="C179" s="92" t="s">
        <v>842</v>
      </c>
      <c r="D179" s="92" t="s">
        <v>660</v>
      </c>
      <c r="E179" s="92"/>
    </row>
    <row r="180" spans="1:5" x14ac:dyDescent="0.25">
      <c r="A180" s="118" t="s">
        <v>251</v>
      </c>
      <c r="B180" s="119"/>
      <c r="C180" s="119"/>
      <c r="D180" s="119"/>
      <c r="E180" s="120"/>
    </row>
    <row r="181" spans="1:5" x14ac:dyDescent="0.25">
      <c r="A181" s="103" t="s">
        <v>94</v>
      </c>
      <c r="B181" s="103"/>
      <c r="C181" s="103"/>
      <c r="D181" s="103"/>
      <c r="E181" s="117"/>
    </row>
    <row r="182" spans="1:5" ht="29.25" customHeight="1" x14ac:dyDescent="0.25">
      <c r="A182" s="92" t="s">
        <v>836</v>
      </c>
      <c r="B182" s="109">
        <f>B30*(B8/100)</f>
        <v>7810032.4515034379</v>
      </c>
      <c r="C182" s="92" t="s">
        <v>261</v>
      </c>
      <c r="D182" s="92"/>
      <c r="E182" s="92"/>
    </row>
    <row r="183" spans="1:5" ht="30.75" customHeight="1" x14ac:dyDescent="0.25">
      <c r="A183" s="92" t="s">
        <v>828</v>
      </c>
      <c r="B183" s="109">
        <f>B38*(B8/100)</f>
        <v>6756581.8575754473</v>
      </c>
      <c r="C183" s="92" t="s">
        <v>261</v>
      </c>
      <c r="D183" s="92"/>
      <c r="E183" s="92"/>
    </row>
    <row r="184" spans="1:5" ht="30.75" customHeight="1" x14ac:dyDescent="0.25">
      <c r="A184" s="92" t="s">
        <v>829</v>
      </c>
      <c r="B184" s="109">
        <f>B46*(B8/100)</f>
        <v>958883.87933167338</v>
      </c>
      <c r="C184" s="92" t="s">
        <v>261</v>
      </c>
      <c r="D184" s="92"/>
      <c r="E184" s="92"/>
    </row>
    <row r="185" spans="1:5" ht="30.75" customHeight="1" x14ac:dyDescent="0.25">
      <c r="A185" s="92" t="s">
        <v>830</v>
      </c>
      <c r="B185" s="94">
        <f>B54*(B8/100)</f>
        <v>94621.025784926343</v>
      </c>
      <c r="C185" s="92" t="s">
        <v>261</v>
      </c>
      <c r="D185" s="92"/>
      <c r="E185" s="92"/>
    </row>
    <row r="186" spans="1:5" ht="33.75" customHeight="1" x14ac:dyDescent="0.25">
      <c r="A186" s="92" t="s">
        <v>869</v>
      </c>
      <c r="B186" s="94">
        <f>B67*(B8/100)</f>
        <v>12954991.471249441</v>
      </c>
      <c r="C186" s="92" t="s">
        <v>261</v>
      </c>
      <c r="D186" s="92"/>
      <c r="E186" s="92"/>
    </row>
    <row r="187" spans="1:5" ht="33.75" customHeight="1" x14ac:dyDescent="0.25">
      <c r="A187" s="92" t="s">
        <v>1011</v>
      </c>
      <c r="B187" s="94">
        <f>B81*(B8/100)</f>
        <v>11176746.978450336</v>
      </c>
      <c r="C187" s="121" t="s">
        <v>261</v>
      </c>
      <c r="D187" s="92"/>
      <c r="E187" s="92"/>
    </row>
    <row r="188" spans="1:5" ht="33.75" customHeight="1" x14ac:dyDescent="0.25">
      <c r="A188" s="92" t="s">
        <v>1267</v>
      </c>
      <c r="B188" s="94">
        <f>B88*(B8/100)</f>
        <v>5052936.2645832021</v>
      </c>
      <c r="C188" s="121" t="s">
        <v>261</v>
      </c>
      <c r="D188" s="92"/>
      <c r="E188" s="92"/>
    </row>
    <row r="189" spans="1:5" ht="33" customHeight="1" x14ac:dyDescent="0.25">
      <c r="A189" s="92" t="s">
        <v>837</v>
      </c>
      <c r="B189" s="94">
        <f>B99*(B8/100)</f>
        <v>804920.82888478041</v>
      </c>
      <c r="C189" s="92" t="s">
        <v>261</v>
      </c>
      <c r="D189" s="92"/>
      <c r="E189" s="92"/>
    </row>
    <row r="190" spans="1:5" ht="33" customHeight="1" x14ac:dyDescent="0.25">
      <c r="A190" s="92" t="s">
        <v>838</v>
      </c>
      <c r="B190" s="94">
        <f>B112*(B8/100)</f>
        <v>3657917.4557407694</v>
      </c>
      <c r="C190" s="92" t="s">
        <v>261</v>
      </c>
      <c r="D190" s="92"/>
      <c r="E190" s="92"/>
    </row>
    <row r="191" spans="1:5" ht="33" customHeight="1" x14ac:dyDescent="0.25">
      <c r="A191" s="92" t="s">
        <v>839</v>
      </c>
      <c r="B191" s="94">
        <f>B117*(B8/100)</f>
        <v>5518730.6898024073</v>
      </c>
      <c r="C191" s="92" t="s">
        <v>261</v>
      </c>
      <c r="D191" s="92"/>
      <c r="E191" s="92"/>
    </row>
    <row r="192" spans="1:5" ht="31.5" customHeight="1" x14ac:dyDescent="0.25">
      <c r="A192" s="92" t="s">
        <v>840</v>
      </c>
      <c r="B192" s="94">
        <f>B122*(B8/100)</f>
        <v>9134257.8099588156</v>
      </c>
      <c r="C192" s="92" t="s">
        <v>261</v>
      </c>
      <c r="D192" s="92"/>
      <c r="E192" s="92"/>
    </row>
    <row r="193" spans="1:5" ht="31.5" customHeight="1" x14ac:dyDescent="0.25">
      <c r="A193" s="92" t="s">
        <v>758</v>
      </c>
      <c r="B193" s="94">
        <f>SUM(B182:B192)*(B133/100)</f>
        <v>0</v>
      </c>
      <c r="C193" s="92" t="s">
        <v>261</v>
      </c>
      <c r="D193" s="92"/>
      <c r="E193" s="92"/>
    </row>
    <row r="194" spans="1:5" ht="31.5" customHeight="1" x14ac:dyDescent="0.25">
      <c r="A194" s="92" t="s">
        <v>761</v>
      </c>
      <c r="B194" s="94">
        <f>SUM(B182:B192)*(B134/100)</f>
        <v>0</v>
      </c>
      <c r="C194" s="92" t="s">
        <v>261</v>
      </c>
      <c r="D194" s="92"/>
      <c r="E194" s="92"/>
    </row>
    <row r="195" spans="1:5" ht="31.5" customHeight="1" x14ac:dyDescent="0.25">
      <c r="A195" s="92" t="s">
        <v>763</v>
      </c>
      <c r="B195" s="94">
        <f>B135*(B8/100)</f>
        <v>0</v>
      </c>
      <c r="C195" s="92" t="s">
        <v>261</v>
      </c>
      <c r="D195" s="92"/>
      <c r="E195" s="92"/>
    </row>
    <row r="196" spans="1:5" x14ac:dyDescent="0.25">
      <c r="A196" s="103" t="s">
        <v>843</v>
      </c>
      <c r="B196" s="103"/>
      <c r="C196" s="103"/>
      <c r="D196" s="103"/>
      <c r="E196" s="117"/>
    </row>
    <row r="197" spans="1:5" ht="31.5" customHeight="1" x14ac:dyDescent="0.25">
      <c r="A197" s="121" t="s">
        <v>1037</v>
      </c>
      <c r="B197" s="227">
        <f>B106</f>
        <v>5308416</v>
      </c>
      <c r="C197" s="121" t="s">
        <v>261</v>
      </c>
      <c r="D197" s="121"/>
      <c r="E197" s="122"/>
    </row>
    <row r="198" spans="1:5" ht="31.5" customHeight="1" x14ac:dyDescent="0.25">
      <c r="A198" s="121" t="s">
        <v>804</v>
      </c>
      <c r="B198" s="125">
        <f>(B31/100)*B30</f>
        <v>1453725.2150283507</v>
      </c>
      <c r="C198" s="121" t="s">
        <v>261</v>
      </c>
      <c r="D198" s="121"/>
      <c r="E198" s="122"/>
    </row>
    <row r="199" spans="1:5" ht="31.5" customHeight="1" x14ac:dyDescent="0.25">
      <c r="A199" s="121" t="s">
        <v>805</v>
      </c>
      <c r="B199" s="125">
        <f>(B39/100)*B38</f>
        <v>1257640.5379557337</v>
      </c>
      <c r="C199" s="121" t="s">
        <v>261</v>
      </c>
      <c r="D199" s="121"/>
      <c r="E199" s="122"/>
    </row>
    <row r="200" spans="1:5" ht="33" customHeight="1" x14ac:dyDescent="0.25">
      <c r="A200" s="121" t="s">
        <v>806</v>
      </c>
      <c r="B200" s="125">
        <f>(B47/100)*B46</f>
        <v>178482.44323239895</v>
      </c>
      <c r="C200" s="121" t="s">
        <v>261</v>
      </c>
      <c r="D200" s="121"/>
      <c r="E200" s="122"/>
    </row>
    <row r="201" spans="1:5" ht="31.5" customHeight="1" x14ac:dyDescent="0.25">
      <c r="A201" s="121" t="s">
        <v>807</v>
      </c>
      <c r="B201" s="125">
        <f>(B55/100)*B54</f>
        <v>17612.343086860812</v>
      </c>
      <c r="C201" s="121" t="s">
        <v>261</v>
      </c>
      <c r="D201" s="121"/>
      <c r="E201" s="122"/>
    </row>
    <row r="202" spans="1:5" ht="31.5" customHeight="1" x14ac:dyDescent="0.25">
      <c r="A202" s="121" t="s">
        <v>870</v>
      </c>
      <c r="B202" s="125">
        <f>(B68/100)*B67</f>
        <v>4822770.6809610436</v>
      </c>
      <c r="C202" s="121" t="s">
        <v>261</v>
      </c>
      <c r="D202" s="121"/>
      <c r="E202" s="122"/>
    </row>
    <row r="203" spans="1:5" ht="31.5" customHeight="1" x14ac:dyDescent="0.25">
      <c r="A203" s="121" t="s">
        <v>1012</v>
      </c>
      <c r="B203" s="125">
        <f>(B82/100)*B81</f>
        <v>6934635.6776607446</v>
      </c>
      <c r="C203" s="121" t="s">
        <v>261</v>
      </c>
      <c r="D203" s="121"/>
      <c r="E203" s="122"/>
    </row>
    <row r="204" spans="1:5" ht="31.5" customHeight="1" x14ac:dyDescent="0.25">
      <c r="A204" s="121" t="s">
        <v>1268</v>
      </c>
      <c r="B204" s="125">
        <f>(B89/100)*B88</f>
        <v>5016167.5363874575</v>
      </c>
      <c r="C204" s="121" t="s">
        <v>261</v>
      </c>
      <c r="D204" s="121"/>
      <c r="E204" s="122"/>
    </row>
    <row r="205" spans="1:5" ht="31.5" x14ac:dyDescent="0.25">
      <c r="A205" s="486" t="s">
        <v>808</v>
      </c>
      <c r="B205" s="125">
        <f>(B100/100)*B99</f>
        <v>249707.39287732283</v>
      </c>
      <c r="C205" s="121" t="s">
        <v>261</v>
      </c>
      <c r="D205" s="121"/>
      <c r="E205" s="122"/>
    </row>
    <row r="206" spans="1:5" ht="30" customHeight="1" x14ac:dyDescent="0.25">
      <c r="A206" s="425" t="s">
        <v>765</v>
      </c>
      <c r="B206" s="375">
        <f>B136</f>
        <v>0</v>
      </c>
      <c r="C206" s="121" t="s">
        <v>261</v>
      </c>
      <c r="D206" s="121"/>
      <c r="E206" s="122"/>
    </row>
    <row r="207" spans="1:5" ht="27.75" customHeight="1" x14ac:dyDescent="0.25">
      <c r="A207" s="92" t="s">
        <v>89</v>
      </c>
      <c r="B207" s="375">
        <f>B137</f>
        <v>0</v>
      </c>
      <c r="C207" s="121" t="s">
        <v>261</v>
      </c>
      <c r="D207" s="121"/>
      <c r="E207" s="122"/>
    </row>
    <row r="208" spans="1:5" x14ac:dyDescent="0.25">
      <c r="A208" s="103" t="s">
        <v>844</v>
      </c>
      <c r="B208" s="103"/>
      <c r="C208" s="103"/>
      <c r="D208" s="103"/>
      <c r="E208" s="117"/>
    </row>
    <row r="209" spans="1:5" ht="33.75" customHeight="1" x14ac:dyDescent="0.25">
      <c r="A209" s="428" t="s">
        <v>742</v>
      </c>
      <c r="B209" s="128">
        <f>B126*B24*B26*(B13/100)</f>
        <v>0</v>
      </c>
      <c r="C209" s="92" t="s">
        <v>261</v>
      </c>
      <c r="D209" s="92"/>
      <c r="E209" s="92"/>
    </row>
    <row r="210" spans="1:5" ht="30.75" customHeight="1" x14ac:dyDescent="0.25">
      <c r="A210" s="487" t="s">
        <v>849</v>
      </c>
      <c r="B210" s="128">
        <f>B127*B19*B26*(B13/100)</f>
        <v>75059999.999999985</v>
      </c>
      <c r="C210" s="92" t="s">
        <v>261</v>
      </c>
      <c r="D210" s="92"/>
      <c r="E210" s="92"/>
    </row>
    <row r="211" spans="1:5" ht="25.5" customHeight="1" x14ac:dyDescent="0.25">
      <c r="A211" s="488" t="s">
        <v>813</v>
      </c>
      <c r="B211" s="128">
        <f>B128*B21*B26*(B13/100)</f>
        <v>5229000.0000000009</v>
      </c>
      <c r="C211" s="92" t="s">
        <v>261</v>
      </c>
      <c r="D211" s="92"/>
      <c r="E211" s="92"/>
    </row>
    <row r="212" spans="1:5" ht="30.75" customHeight="1" x14ac:dyDescent="0.25">
      <c r="A212" s="313" t="s">
        <v>871</v>
      </c>
      <c r="B212" s="128">
        <f>B128*B58*B63*(B13/100)</f>
        <v>28386000.000000004</v>
      </c>
      <c r="C212" s="92" t="s">
        <v>261</v>
      </c>
      <c r="D212" s="92"/>
      <c r="E212" s="92"/>
    </row>
    <row r="213" spans="1:5" ht="30.75" customHeight="1" x14ac:dyDescent="0.25">
      <c r="A213" s="313" t="s">
        <v>892</v>
      </c>
      <c r="B213" s="128">
        <f>B129*B59*B63*(B13/100)</f>
        <v>3600000</v>
      </c>
      <c r="C213" s="92" t="s">
        <v>261</v>
      </c>
      <c r="D213" s="92"/>
      <c r="E213" s="92"/>
    </row>
    <row r="214" spans="1:5" ht="30.75" customHeight="1" x14ac:dyDescent="0.25">
      <c r="A214" s="313" t="s">
        <v>891</v>
      </c>
      <c r="B214" s="128">
        <f>B130*B60*B63*(B13/100)</f>
        <v>4131000</v>
      </c>
      <c r="C214" s="92" t="s">
        <v>261</v>
      </c>
      <c r="D214" s="92"/>
      <c r="E214" s="92"/>
    </row>
    <row r="215" spans="1:5" ht="30.75" customHeight="1" x14ac:dyDescent="0.25">
      <c r="A215" s="313" t="s">
        <v>894</v>
      </c>
      <c r="B215" s="128">
        <f>B131*B61*B63*(B13/100)</f>
        <v>5400000</v>
      </c>
      <c r="C215" s="92" t="s">
        <v>261</v>
      </c>
      <c r="D215" s="92"/>
      <c r="E215" s="92"/>
    </row>
    <row r="216" spans="1:5" ht="30.75" customHeight="1" x14ac:dyDescent="0.25">
      <c r="A216" s="313" t="s">
        <v>1013</v>
      </c>
      <c r="B216" s="128">
        <f>B128*B71*B77*(B13/100)</f>
        <v>1568700</v>
      </c>
      <c r="C216" s="92" t="s">
        <v>261</v>
      </c>
      <c r="D216" s="92"/>
      <c r="E216" s="92"/>
    </row>
    <row r="217" spans="1:5" ht="30.75" customHeight="1" x14ac:dyDescent="0.25">
      <c r="A217" s="313" t="s">
        <v>1014</v>
      </c>
      <c r="B217" s="128">
        <f>B129*B73*B77*(B13/100)</f>
        <v>3095999.9999999995</v>
      </c>
      <c r="C217" s="92" t="s">
        <v>261</v>
      </c>
      <c r="D217" s="92"/>
      <c r="E217" s="92"/>
    </row>
    <row r="218" spans="1:5" ht="30.75" customHeight="1" x14ac:dyDescent="0.25">
      <c r="A218" s="313" t="s">
        <v>1015</v>
      </c>
      <c r="B218" s="128">
        <f>B131*B75*B77*(B13/100)</f>
        <v>1566000</v>
      </c>
      <c r="C218" s="92" t="s">
        <v>261</v>
      </c>
      <c r="D218" s="92"/>
      <c r="E218" s="92"/>
    </row>
    <row r="219" spans="1:5" ht="30.75" customHeight="1" x14ac:dyDescent="0.25">
      <c r="A219" s="313" t="s">
        <v>1269</v>
      </c>
      <c r="B219" s="128">
        <f>B128*B72*B84*(B13/100)</f>
        <v>747000.00000000012</v>
      </c>
      <c r="C219" s="92" t="s">
        <v>261</v>
      </c>
      <c r="D219" s="92"/>
      <c r="E219" s="92"/>
    </row>
    <row r="220" spans="1:5" ht="27.75" customHeight="1" x14ac:dyDescent="0.25">
      <c r="A220" s="313" t="s">
        <v>815</v>
      </c>
      <c r="B220" s="128">
        <f>B128*B92*B95*(B13/100)</f>
        <v>2358279</v>
      </c>
      <c r="C220" s="92" t="s">
        <v>261</v>
      </c>
      <c r="D220" s="92"/>
      <c r="E220" s="92"/>
    </row>
    <row r="221" spans="1:5" ht="30" customHeight="1" x14ac:dyDescent="0.25">
      <c r="A221" s="313" t="s">
        <v>765</v>
      </c>
      <c r="B221" s="489">
        <f>B136*(B8/100)</f>
        <v>0</v>
      </c>
      <c r="C221" s="92" t="s">
        <v>261</v>
      </c>
      <c r="D221" s="92"/>
      <c r="E221" s="92"/>
    </row>
    <row r="222" spans="1:5" ht="32.25" customHeight="1" x14ac:dyDescent="0.25">
      <c r="A222" s="92" t="s">
        <v>89</v>
      </c>
      <c r="B222" s="109">
        <f>B137*(B8/100)</f>
        <v>0</v>
      </c>
      <c r="C222" s="92" t="s">
        <v>261</v>
      </c>
      <c r="D222" s="92"/>
      <c r="E222" s="92"/>
    </row>
    <row r="223" spans="1:5" ht="30.75" customHeight="1" x14ac:dyDescent="0.25">
      <c r="A223" s="92" t="s">
        <v>649</v>
      </c>
      <c r="B223" s="109">
        <f>B140*B176*B179/1000</f>
        <v>0</v>
      </c>
      <c r="C223" s="92" t="s">
        <v>261</v>
      </c>
      <c r="D223" s="92" t="s">
        <v>650</v>
      </c>
      <c r="E223" s="92"/>
    </row>
    <row r="224" spans="1:5" x14ac:dyDescent="0.25">
      <c r="A224" s="103" t="s">
        <v>495</v>
      </c>
      <c r="B224" s="103"/>
      <c r="C224" s="103"/>
      <c r="D224" s="103"/>
      <c r="E224" s="117"/>
    </row>
    <row r="225" spans="1:5" ht="30.75" customHeight="1" x14ac:dyDescent="0.25">
      <c r="A225" s="268" t="s">
        <v>846</v>
      </c>
      <c r="B225" s="493">
        <f>B19+B21</f>
        <v>2850</v>
      </c>
      <c r="C225" s="92" t="s">
        <v>791</v>
      </c>
      <c r="D225" s="92"/>
      <c r="E225" s="218"/>
    </row>
    <row r="226" spans="1:5" ht="30.75" customHeight="1" x14ac:dyDescent="0.25">
      <c r="A226" s="268" t="s">
        <v>848</v>
      </c>
      <c r="B226" s="495">
        <f>B92*B94</f>
        <v>31.57</v>
      </c>
      <c r="C226" s="92" t="s">
        <v>791</v>
      </c>
      <c r="D226" s="92"/>
      <c r="E226" s="218"/>
    </row>
    <row r="227" spans="1:5" ht="30.75" customHeight="1" x14ac:dyDescent="0.25">
      <c r="A227" s="101" t="s">
        <v>872</v>
      </c>
      <c r="B227" s="493">
        <f>B58</f>
        <v>380</v>
      </c>
      <c r="C227" s="92" t="s">
        <v>791</v>
      </c>
      <c r="D227" s="92"/>
      <c r="E227" s="218"/>
    </row>
    <row r="228" spans="1:5" ht="30.75" customHeight="1" x14ac:dyDescent="0.25">
      <c r="A228" s="101" t="s">
        <v>1016</v>
      </c>
      <c r="B228" s="493">
        <f>B71</f>
        <v>21</v>
      </c>
      <c r="C228" s="92" t="s">
        <v>791</v>
      </c>
      <c r="D228" s="92"/>
      <c r="E228" s="218"/>
    </row>
    <row r="229" spans="1:5" ht="30.75" customHeight="1" x14ac:dyDescent="0.25">
      <c r="A229" s="101" t="s">
        <v>1270</v>
      </c>
      <c r="B229" s="493">
        <f>B72</f>
        <v>10</v>
      </c>
      <c r="C229" s="92" t="s">
        <v>791</v>
      </c>
      <c r="D229" s="92"/>
      <c r="E229" s="218"/>
    </row>
    <row r="230" spans="1:5" ht="30.75" customHeight="1" x14ac:dyDescent="0.25">
      <c r="A230" s="268" t="s">
        <v>845</v>
      </c>
      <c r="B230" s="494">
        <f>SUM(B225:B229)</f>
        <v>3292.57</v>
      </c>
      <c r="C230" s="92" t="s">
        <v>791</v>
      </c>
      <c r="D230" s="92"/>
      <c r="E230" s="218"/>
    </row>
    <row r="231" spans="1:5" x14ac:dyDescent="0.25">
      <c r="A231" s="103" t="s">
        <v>258</v>
      </c>
      <c r="B231" s="103"/>
      <c r="C231" s="103"/>
      <c r="D231" s="103"/>
      <c r="E231" s="117"/>
    </row>
    <row r="232" spans="1:5" ht="36" customHeight="1" x14ac:dyDescent="0.25">
      <c r="A232" s="123" t="s">
        <v>908</v>
      </c>
      <c r="B232" s="197">
        <f t="shared" ref="B232:B245" si="0">B182/$B$179</f>
        <v>8.6778138350038194</v>
      </c>
      <c r="C232" s="92" t="s">
        <v>858</v>
      </c>
      <c r="D232" s="113"/>
      <c r="E232" s="455"/>
    </row>
    <row r="233" spans="1:5" ht="34.5" customHeight="1" x14ac:dyDescent="0.25">
      <c r="A233" s="123" t="s">
        <v>909</v>
      </c>
      <c r="B233" s="197">
        <f t="shared" si="0"/>
        <v>7.50731317508383</v>
      </c>
      <c r="C233" s="92" t="s">
        <v>858</v>
      </c>
      <c r="D233" s="113"/>
      <c r="E233" s="455"/>
    </row>
    <row r="234" spans="1:5" ht="31.5" x14ac:dyDescent="0.25">
      <c r="A234" s="123" t="s">
        <v>910</v>
      </c>
      <c r="B234" s="197">
        <f t="shared" si="0"/>
        <v>1.0654265325907482</v>
      </c>
      <c r="C234" s="92" t="s">
        <v>858</v>
      </c>
      <c r="D234" s="113"/>
      <c r="E234" s="455"/>
    </row>
    <row r="235" spans="1:5" ht="33.75" customHeight="1" x14ac:dyDescent="0.25">
      <c r="A235" s="123" t="s">
        <v>911</v>
      </c>
      <c r="B235" s="197">
        <f t="shared" si="0"/>
        <v>0.10513447309436261</v>
      </c>
      <c r="C235" s="92" t="s">
        <v>858</v>
      </c>
      <c r="D235" s="113"/>
      <c r="E235" s="455"/>
    </row>
    <row r="236" spans="1:5" ht="30.75" customHeight="1" x14ac:dyDescent="0.25">
      <c r="A236" s="123" t="s">
        <v>921</v>
      </c>
      <c r="B236" s="197">
        <f t="shared" si="0"/>
        <v>14.394434968054934</v>
      </c>
      <c r="C236" s="92" t="s">
        <v>858</v>
      </c>
      <c r="D236" s="113"/>
      <c r="E236" s="455"/>
    </row>
    <row r="237" spans="1:5" ht="30.75" customHeight="1" x14ac:dyDescent="0.25">
      <c r="A237" s="123" t="s">
        <v>1189</v>
      </c>
      <c r="B237" s="197">
        <f t="shared" si="0"/>
        <v>12.418607753833706</v>
      </c>
      <c r="C237" s="92" t="s">
        <v>858</v>
      </c>
      <c r="D237" s="113"/>
      <c r="E237" s="455"/>
    </row>
    <row r="238" spans="1:5" ht="30.75" customHeight="1" x14ac:dyDescent="0.25">
      <c r="A238" s="123" t="s">
        <v>1271</v>
      </c>
      <c r="B238" s="197">
        <f t="shared" si="0"/>
        <v>5.6143736273146692</v>
      </c>
      <c r="C238" s="92" t="s">
        <v>858</v>
      </c>
      <c r="D238" s="113"/>
      <c r="E238" s="455"/>
    </row>
    <row r="239" spans="1:5" ht="33.75" customHeight="1" x14ac:dyDescent="0.25">
      <c r="A239" s="123" t="s">
        <v>913</v>
      </c>
      <c r="B239" s="197">
        <f t="shared" si="0"/>
        <v>0.89435647653864492</v>
      </c>
      <c r="C239" s="92" t="s">
        <v>858</v>
      </c>
      <c r="D239" s="113"/>
      <c r="E239" s="455"/>
    </row>
    <row r="240" spans="1:5" ht="32.25" customHeight="1" x14ac:dyDescent="0.25">
      <c r="A240" s="123" t="s">
        <v>914</v>
      </c>
      <c r="B240" s="197">
        <f t="shared" si="0"/>
        <v>4.0643527286008547</v>
      </c>
      <c r="C240" s="92" t="s">
        <v>858</v>
      </c>
      <c r="D240" s="113"/>
      <c r="E240" s="455"/>
    </row>
    <row r="241" spans="1:5" ht="34.5" customHeight="1" x14ac:dyDescent="0.25">
      <c r="A241" s="123" t="s">
        <v>915</v>
      </c>
      <c r="B241" s="197">
        <f t="shared" si="0"/>
        <v>6.1319229886693414</v>
      </c>
      <c r="C241" s="92" t="s">
        <v>858</v>
      </c>
      <c r="D241" s="113"/>
      <c r="E241" s="455"/>
    </row>
    <row r="242" spans="1:5" ht="33.75" customHeight="1" x14ac:dyDescent="0.25">
      <c r="A242" s="123" t="s">
        <v>916</v>
      </c>
      <c r="B242" s="197">
        <f t="shared" si="0"/>
        <v>10.149175344398683</v>
      </c>
      <c r="C242" s="92" t="s">
        <v>858</v>
      </c>
      <c r="D242" s="113"/>
      <c r="E242" s="455"/>
    </row>
    <row r="243" spans="1:5" ht="36" customHeight="1" x14ac:dyDescent="0.25">
      <c r="A243" s="123" t="s">
        <v>917</v>
      </c>
      <c r="B243" s="197">
        <f t="shared" si="0"/>
        <v>0</v>
      </c>
      <c r="C243" s="92" t="s">
        <v>858</v>
      </c>
      <c r="D243" s="113"/>
      <c r="E243" s="455"/>
    </row>
    <row r="244" spans="1:5" ht="32.25" customHeight="1" x14ac:dyDescent="0.25">
      <c r="A244" s="123" t="s">
        <v>918</v>
      </c>
      <c r="B244" s="197">
        <f t="shared" si="0"/>
        <v>0</v>
      </c>
      <c r="C244" s="92" t="s">
        <v>858</v>
      </c>
      <c r="D244" s="113"/>
      <c r="E244" s="455"/>
    </row>
    <row r="245" spans="1:5" ht="33.75" customHeight="1" x14ac:dyDescent="0.25">
      <c r="A245" s="123" t="s">
        <v>919</v>
      </c>
      <c r="B245" s="197">
        <f t="shared" si="0"/>
        <v>0</v>
      </c>
      <c r="C245" s="92" t="s">
        <v>858</v>
      </c>
      <c r="D245" s="113"/>
      <c r="E245" s="455"/>
    </row>
    <row r="246" spans="1:5" ht="33.75" customHeight="1" x14ac:dyDescent="0.25">
      <c r="A246" s="486" t="s">
        <v>1038</v>
      </c>
      <c r="B246" s="197">
        <f>B197/$B$179</f>
        <v>5.8982400000000004</v>
      </c>
      <c r="C246" s="92" t="s">
        <v>858</v>
      </c>
      <c r="D246" s="113"/>
      <c r="E246" s="455"/>
    </row>
    <row r="247" spans="1:5" ht="33.75" customHeight="1" x14ac:dyDescent="0.25">
      <c r="A247" s="486" t="s">
        <v>904</v>
      </c>
      <c r="B247" s="197">
        <f>(B198+B199+B200+B201+B202+B203+B204+B205)/$B$179</f>
        <v>22.145268696877679</v>
      </c>
      <c r="C247" s="92" t="s">
        <v>858</v>
      </c>
      <c r="D247" s="113"/>
      <c r="E247" s="455"/>
    </row>
    <row r="248" spans="1:5" ht="38.25" customHeight="1" x14ac:dyDescent="0.25">
      <c r="A248" s="123" t="s">
        <v>855</v>
      </c>
      <c r="B248" s="197">
        <f>B206/$B$179</f>
        <v>0</v>
      </c>
      <c r="C248" s="92" t="s">
        <v>858</v>
      </c>
      <c r="D248" s="113"/>
      <c r="E248" s="455"/>
    </row>
    <row r="249" spans="1:5" ht="34.5" customHeight="1" x14ac:dyDescent="0.25">
      <c r="A249" s="123" t="s">
        <v>856</v>
      </c>
      <c r="B249" s="197">
        <f>B207/$B$179</f>
        <v>0</v>
      </c>
      <c r="C249" s="92" t="s">
        <v>858</v>
      </c>
      <c r="D249" s="113"/>
      <c r="E249" s="455"/>
    </row>
    <row r="250" spans="1:5" ht="30.75" customHeight="1" x14ac:dyDescent="0.25">
      <c r="A250" s="496" t="s">
        <v>920</v>
      </c>
      <c r="B250" s="197">
        <f t="shared" ref="B250:B261" si="1">B209/$B$179</f>
        <v>0</v>
      </c>
      <c r="C250" s="92" t="s">
        <v>858</v>
      </c>
      <c r="D250" s="113"/>
      <c r="E250" s="455"/>
    </row>
    <row r="251" spans="1:5" ht="33.75" customHeight="1" x14ac:dyDescent="0.25">
      <c r="A251" s="496" t="s">
        <v>851</v>
      </c>
      <c r="B251" s="197">
        <f t="shared" si="1"/>
        <v>83.399999999999977</v>
      </c>
      <c r="C251" s="92" t="s">
        <v>858</v>
      </c>
      <c r="D251" s="113"/>
      <c r="E251" s="455"/>
    </row>
    <row r="252" spans="1:5" ht="35.25" customHeight="1" x14ac:dyDescent="0.25">
      <c r="A252" s="497" t="s">
        <v>852</v>
      </c>
      <c r="B252" s="197">
        <f t="shared" si="1"/>
        <v>5.8100000000000014</v>
      </c>
      <c r="C252" s="92" t="s">
        <v>858</v>
      </c>
      <c r="D252" s="113"/>
      <c r="E252" s="455"/>
    </row>
    <row r="253" spans="1:5" ht="33.75" customHeight="1" x14ac:dyDescent="0.25">
      <c r="A253" s="314" t="s">
        <v>922</v>
      </c>
      <c r="B253" s="197">
        <f t="shared" si="1"/>
        <v>31.540000000000003</v>
      </c>
      <c r="C253" s="92" t="s">
        <v>858</v>
      </c>
      <c r="D253" s="113"/>
      <c r="E253" s="455"/>
    </row>
    <row r="254" spans="1:5" ht="33.75" customHeight="1" x14ac:dyDescent="0.25">
      <c r="A254" s="313" t="s">
        <v>905</v>
      </c>
      <c r="B254" s="197">
        <f t="shared" si="1"/>
        <v>4</v>
      </c>
      <c r="C254" s="92" t="s">
        <v>858</v>
      </c>
      <c r="D254" s="113"/>
      <c r="E254" s="455"/>
    </row>
    <row r="255" spans="1:5" ht="33.75" customHeight="1" x14ac:dyDescent="0.25">
      <c r="A255" s="313" t="s">
        <v>906</v>
      </c>
      <c r="B255" s="197">
        <f t="shared" si="1"/>
        <v>4.59</v>
      </c>
      <c r="C255" s="92" t="s">
        <v>858</v>
      </c>
      <c r="D255" s="113"/>
      <c r="E255" s="455"/>
    </row>
    <row r="256" spans="1:5" ht="33.75" customHeight="1" x14ac:dyDescent="0.25">
      <c r="A256" s="313" t="s">
        <v>907</v>
      </c>
      <c r="B256" s="197">
        <f t="shared" si="1"/>
        <v>6</v>
      </c>
      <c r="C256" s="92" t="s">
        <v>858</v>
      </c>
      <c r="D256" s="113"/>
      <c r="E256" s="455"/>
    </row>
    <row r="257" spans="1:7" ht="33.75" customHeight="1" x14ac:dyDescent="0.25">
      <c r="A257" s="314" t="s">
        <v>1017</v>
      </c>
      <c r="B257" s="197">
        <f t="shared" si="1"/>
        <v>1.7430000000000001</v>
      </c>
      <c r="C257" s="92" t="s">
        <v>858</v>
      </c>
      <c r="D257" s="113"/>
      <c r="E257" s="455"/>
    </row>
    <row r="258" spans="1:7" ht="33.75" customHeight="1" x14ac:dyDescent="0.25">
      <c r="A258" s="313" t="s">
        <v>1018</v>
      </c>
      <c r="B258" s="197">
        <f t="shared" si="1"/>
        <v>3.4399999999999995</v>
      </c>
      <c r="C258" s="92" t="s">
        <v>858</v>
      </c>
      <c r="D258" s="113"/>
      <c r="E258" s="455"/>
    </row>
    <row r="259" spans="1:7" ht="33.75" customHeight="1" x14ac:dyDescent="0.25">
      <c r="A259" s="313" t="s">
        <v>1019</v>
      </c>
      <c r="B259" s="197">
        <f t="shared" si="1"/>
        <v>1.74</v>
      </c>
      <c r="C259" s="92" t="s">
        <v>858</v>
      </c>
      <c r="D259" s="113"/>
      <c r="E259" s="455"/>
      <c r="G259" s="349"/>
    </row>
    <row r="260" spans="1:7" ht="33.75" customHeight="1" x14ac:dyDescent="0.25">
      <c r="A260" s="313" t="s">
        <v>1275</v>
      </c>
      <c r="B260" s="197">
        <f t="shared" si="1"/>
        <v>0.83000000000000018</v>
      </c>
      <c r="C260" s="92" t="s">
        <v>858</v>
      </c>
      <c r="D260" s="113"/>
      <c r="E260" s="455"/>
    </row>
    <row r="261" spans="1:7" ht="33" customHeight="1" x14ac:dyDescent="0.25">
      <c r="A261" s="314" t="s">
        <v>854</v>
      </c>
      <c r="B261" s="197">
        <f t="shared" si="1"/>
        <v>2.6203099999999999</v>
      </c>
      <c r="C261" s="92" t="s">
        <v>858</v>
      </c>
      <c r="D261" s="113"/>
      <c r="E261" s="455"/>
    </row>
    <row r="262" spans="1:7" ht="36" customHeight="1" x14ac:dyDescent="0.25">
      <c r="A262" s="314" t="s">
        <v>855</v>
      </c>
      <c r="B262" s="197">
        <f t="shared" ref="B262:B264" si="2">B221/$B$179</f>
        <v>0</v>
      </c>
      <c r="C262" s="92" t="s">
        <v>858</v>
      </c>
      <c r="D262" s="113"/>
      <c r="E262" s="455"/>
    </row>
    <row r="263" spans="1:7" ht="33.75" customHeight="1" x14ac:dyDescent="0.25">
      <c r="A263" s="123" t="s">
        <v>856</v>
      </c>
      <c r="B263" s="197">
        <f t="shared" si="2"/>
        <v>0</v>
      </c>
      <c r="C263" s="92" t="s">
        <v>858</v>
      </c>
      <c r="D263" s="113"/>
      <c r="E263" s="455"/>
    </row>
    <row r="264" spans="1:7" ht="34.5" customHeight="1" x14ac:dyDescent="0.25">
      <c r="A264" s="123" t="s">
        <v>857</v>
      </c>
      <c r="B264" s="197">
        <f t="shared" si="2"/>
        <v>0</v>
      </c>
      <c r="C264" s="92" t="s">
        <v>858</v>
      </c>
      <c r="D264" s="113"/>
      <c r="E264" s="455"/>
    </row>
    <row r="265" spans="1:7" ht="38.25" customHeight="1" x14ac:dyDescent="0.25">
      <c r="A265" s="123" t="s">
        <v>1188</v>
      </c>
      <c r="B265" s="130">
        <f>SUM(B232:B264)</f>
        <v>244.77973060006127</v>
      </c>
      <c r="C265" s="92" t="s">
        <v>858</v>
      </c>
      <c r="D265" s="92"/>
      <c r="E265" s="92"/>
    </row>
    <row r="266" spans="1:7" ht="34.5" customHeight="1" x14ac:dyDescent="0.25">
      <c r="A266" s="123" t="s">
        <v>1188</v>
      </c>
      <c r="B266" s="130">
        <f>B265/B5</f>
        <v>349.68532942865897</v>
      </c>
      <c r="C266" s="92" t="s">
        <v>873</v>
      </c>
      <c r="D266" s="92"/>
      <c r="E266" s="92"/>
    </row>
    <row r="267" spans="1:7" x14ac:dyDescent="0.25">
      <c r="A267" s="270"/>
      <c r="B267" s="326"/>
    </row>
    <row r="268" spans="1:7" x14ac:dyDescent="0.25">
      <c r="B268" s="326"/>
    </row>
    <row r="271" spans="1:7" x14ac:dyDescent="0.25">
      <c r="B271" s="326"/>
    </row>
  </sheetData>
  <mergeCells count="50">
    <mergeCell ref="A165:A166"/>
    <mergeCell ref="A167:A168"/>
    <mergeCell ref="A171:A172"/>
    <mergeCell ref="A173:A174"/>
    <mergeCell ref="A78:A81"/>
    <mergeCell ref="A159:A160"/>
    <mergeCell ref="A146:A147"/>
    <mergeCell ref="A169:A170"/>
    <mergeCell ref="A144:A145"/>
    <mergeCell ref="A119:A122"/>
    <mergeCell ref="A109:A112"/>
    <mergeCell ref="A108:E108"/>
    <mergeCell ref="E119:E121"/>
    <mergeCell ref="A148:A149"/>
    <mergeCell ref="A155:A156"/>
    <mergeCell ref="A157:A158"/>
    <mergeCell ref="A163:A164"/>
    <mergeCell ref="E109:E111"/>
    <mergeCell ref="A113:E113"/>
    <mergeCell ref="A114:A117"/>
    <mergeCell ref="E114:E116"/>
    <mergeCell ref="A118:E118"/>
    <mergeCell ref="A161:A162"/>
    <mergeCell ref="A62:E62"/>
    <mergeCell ref="A64:A67"/>
    <mergeCell ref="A93:E93"/>
    <mergeCell ref="A96:A99"/>
    <mergeCell ref="E96:E98"/>
    <mergeCell ref="E78:E80"/>
    <mergeCell ref="A85:A88"/>
    <mergeCell ref="A83:E83"/>
    <mergeCell ref="A43:A46"/>
    <mergeCell ref="E43:E45"/>
    <mergeCell ref="A48:E48"/>
    <mergeCell ref="A49:A50"/>
    <mergeCell ref="A51:A54"/>
    <mergeCell ref="E51:E53"/>
    <mergeCell ref="A41:A42"/>
    <mergeCell ref="E41:E42"/>
    <mergeCell ref="G22:I22"/>
    <mergeCell ref="J22:K22"/>
    <mergeCell ref="A16:A19"/>
    <mergeCell ref="A22:A24"/>
    <mergeCell ref="A25:E25"/>
    <mergeCell ref="A27:A30"/>
    <mergeCell ref="E27:E29"/>
    <mergeCell ref="A32:E32"/>
    <mergeCell ref="A33:A34"/>
    <mergeCell ref="A35:A38"/>
    <mergeCell ref="A40:E40"/>
  </mergeCells>
  <dataValidations count="1">
    <dataValidation type="list" allowBlank="1" showInputMessage="1" showErrorMessage="1" sqref="B16" xr:uid="{46BBEB0D-0B1E-48AE-8A5B-19069BECC869}">
      <formula1>$H$23:$I$23</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A9AC8-C3C8-433E-AD98-25DFA34CC8FD}">
  <sheetPr>
    <tabColor rgb="FFFFC000"/>
  </sheetPr>
  <dimension ref="A1:R250"/>
  <sheetViews>
    <sheetView topLeftCell="E1" zoomScale="60" zoomScaleNormal="60" workbookViewId="0">
      <selection activeCell="M16" sqref="M16"/>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7" width="32.42578125" style="45" customWidth="1"/>
    <col min="8" max="8" width="20.5703125" style="45" customWidth="1"/>
    <col min="9" max="9" width="20.7109375" style="45" customWidth="1"/>
    <col min="10" max="11" width="44.85546875" style="45" customWidth="1"/>
    <col min="12" max="13" width="37.5703125" style="45" customWidth="1"/>
    <col min="14" max="14" width="38.28515625" style="45" customWidth="1"/>
    <col min="15" max="16384" width="9.140625" style="45"/>
  </cols>
  <sheetData>
    <row r="1" spans="1:18" ht="17.25" thickTop="1" thickBot="1" x14ac:dyDescent="0.3">
      <c r="A1" s="74" t="s">
        <v>156</v>
      </c>
      <c r="B1" s="75"/>
      <c r="C1" s="75"/>
      <c r="D1" s="75"/>
      <c r="E1" s="75"/>
    </row>
    <row r="2" spans="1:18" ht="17.25" thickTop="1" thickBot="1" x14ac:dyDescent="0.3">
      <c r="A2" s="46"/>
      <c r="B2" s="46"/>
      <c r="C2" s="46"/>
      <c r="D2" s="46"/>
      <c r="E2" s="46"/>
    </row>
    <row r="3" spans="1:18" x14ac:dyDescent="0.25">
      <c r="A3" s="53" t="s">
        <v>152</v>
      </c>
      <c r="B3" s="54" t="s">
        <v>41</v>
      </c>
      <c r="C3" s="54" t="s">
        <v>40</v>
      </c>
      <c r="D3" s="55" t="s">
        <v>42</v>
      </c>
      <c r="E3" s="56" t="s">
        <v>43</v>
      </c>
    </row>
    <row r="4" spans="1:18" ht="16.5" thickBot="1" x14ac:dyDescent="0.3">
      <c r="A4" s="209" t="s">
        <v>44</v>
      </c>
      <c r="B4" s="210"/>
      <c r="C4" s="210"/>
      <c r="D4" s="210"/>
      <c r="E4" s="211"/>
      <c r="H4" s="266"/>
      <c r="I4" s="266"/>
      <c r="J4" s="266"/>
      <c r="K4" s="266"/>
      <c r="L4" s="266"/>
      <c r="M4" s="266"/>
      <c r="N4" s="266"/>
      <c r="O4" s="266"/>
      <c r="P4" s="266"/>
      <c r="Q4" s="266"/>
      <c r="R4" s="266"/>
    </row>
    <row r="5" spans="1:18" ht="33.75" customHeight="1" x14ac:dyDescent="0.25">
      <c r="A5" s="212" t="s">
        <v>644</v>
      </c>
      <c r="B5" s="213">
        <f>0.7</f>
        <v>0.7</v>
      </c>
      <c r="C5" s="214" t="s">
        <v>45</v>
      </c>
      <c r="D5" s="215"/>
      <c r="E5" s="310">
        <f>0.7</f>
        <v>0.7</v>
      </c>
    </row>
    <row r="6" spans="1:18" ht="30.75" customHeight="1" x14ac:dyDescent="0.25">
      <c r="A6" s="193" t="s">
        <v>46</v>
      </c>
      <c r="B6" s="259">
        <v>7</v>
      </c>
      <c r="C6" s="580" t="s">
        <v>47</v>
      </c>
      <c r="D6" s="248" t="s">
        <v>48</v>
      </c>
      <c r="E6" s="581">
        <v>7</v>
      </c>
    </row>
    <row r="7" spans="1:18" ht="30" customHeight="1" x14ac:dyDescent="0.25">
      <c r="A7" s="144" t="s">
        <v>49</v>
      </c>
      <c r="B7" s="27">
        <v>30</v>
      </c>
      <c r="C7" s="62" t="s">
        <v>50</v>
      </c>
      <c r="D7" s="62"/>
      <c r="E7" s="237"/>
      <c r="H7" s="582"/>
    </row>
    <row r="8" spans="1:18" ht="33" customHeight="1" x14ac:dyDescent="0.25">
      <c r="A8" s="144" t="s">
        <v>52</v>
      </c>
      <c r="B8" s="575">
        <f>(($B$6/100)*(1+$B$6/100)^$B$7)/(((1+$B$6/100)^$B$7)-1)*100</f>
        <v>8.0586403511111193</v>
      </c>
      <c r="C8" s="62" t="s">
        <v>47</v>
      </c>
      <c r="D8" s="62" t="s">
        <v>53</v>
      </c>
      <c r="E8" s="578"/>
    </row>
    <row r="9" spans="1:18" ht="33" customHeight="1" thickBot="1" x14ac:dyDescent="0.3">
      <c r="A9" s="150" t="s">
        <v>1210</v>
      </c>
      <c r="B9" s="430">
        <v>100</v>
      </c>
      <c r="C9" s="151" t="s">
        <v>1211</v>
      </c>
      <c r="D9" s="576" t="s">
        <v>1212</v>
      </c>
      <c r="E9" s="577" t="s">
        <v>1281</v>
      </c>
      <c r="H9" s="582"/>
      <c r="I9" s="582"/>
      <c r="J9" s="582"/>
      <c r="K9" s="582"/>
      <c r="L9" s="582"/>
      <c r="M9" s="582"/>
      <c r="N9" s="582"/>
      <c r="O9" s="582"/>
      <c r="P9" s="582"/>
      <c r="Q9" s="582"/>
    </row>
    <row r="10" spans="1:18" ht="16.5" thickBot="1" x14ac:dyDescent="0.3">
      <c r="H10" s="582"/>
      <c r="I10" s="582"/>
      <c r="J10" s="582"/>
      <c r="K10" s="582"/>
      <c r="L10" s="582"/>
      <c r="M10" s="582"/>
      <c r="N10" s="582"/>
      <c r="O10" s="582"/>
      <c r="P10" s="582"/>
      <c r="Q10" s="582"/>
      <c r="R10" s="582"/>
    </row>
    <row r="11" spans="1:18" ht="16.5" thickBot="1" x14ac:dyDescent="0.3">
      <c r="A11" s="172" t="s">
        <v>181</v>
      </c>
      <c r="B11" s="89"/>
      <c r="C11" s="89"/>
      <c r="D11" s="89"/>
      <c r="E11" s="90"/>
    </row>
    <row r="12" spans="1:18" ht="29.25" customHeight="1" x14ac:dyDescent="0.25">
      <c r="A12" s="417" t="s">
        <v>690</v>
      </c>
      <c r="B12" s="216">
        <v>1000000</v>
      </c>
      <c r="C12" s="92" t="s">
        <v>605</v>
      </c>
      <c r="D12" s="92" t="s">
        <v>1040</v>
      </c>
      <c r="E12" s="93"/>
    </row>
    <row r="13" spans="1:18" ht="30" customHeight="1" thickBot="1" x14ac:dyDescent="0.3">
      <c r="A13" s="313" t="s">
        <v>498</v>
      </c>
      <c r="B13" s="96">
        <v>90</v>
      </c>
      <c r="C13" s="92" t="s">
        <v>47</v>
      </c>
      <c r="D13" s="92" t="s">
        <v>497</v>
      </c>
      <c r="E13" s="52"/>
    </row>
    <row r="14" spans="1:18" ht="16.5" thickBot="1" x14ac:dyDescent="0.3">
      <c r="A14" s="172" t="s">
        <v>691</v>
      </c>
      <c r="B14" s="440"/>
      <c r="C14" s="119"/>
      <c r="D14" s="119"/>
      <c r="E14" s="120"/>
    </row>
    <row r="15" spans="1:18" ht="21.75" customHeight="1" x14ac:dyDescent="0.25">
      <c r="A15" s="431" t="s">
        <v>740</v>
      </c>
      <c r="B15" s="432"/>
      <c r="C15" s="432"/>
      <c r="D15" s="432"/>
      <c r="E15" s="433"/>
      <c r="H15" s="582"/>
    </row>
    <row r="16" spans="1:18" ht="35.25" customHeight="1" x14ac:dyDescent="0.25">
      <c r="A16" s="685" t="s">
        <v>778</v>
      </c>
      <c r="B16" s="534" t="s">
        <v>658</v>
      </c>
      <c r="C16" s="50" t="s">
        <v>45</v>
      </c>
      <c r="D16" s="425" t="s">
        <v>739</v>
      </c>
      <c r="E16" s="394"/>
      <c r="H16" s="611"/>
      <c r="I16" s="611"/>
      <c r="J16" s="611"/>
      <c r="K16" s="611"/>
      <c r="L16" s="611"/>
      <c r="M16" s="611"/>
      <c r="N16" s="611"/>
      <c r="O16" s="611"/>
      <c r="P16" s="611"/>
      <c r="Q16" s="611"/>
    </row>
    <row r="17" spans="1:18" ht="33" customHeight="1" x14ac:dyDescent="0.25">
      <c r="A17" s="685"/>
      <c r="B17" s="364">
        <f>HLOOKUP(B16,H23:I32,4,FALSE)</f>
        <v>0.2</v>
      </c>
      <c r="C17" s="50" t="s">
        <v>787</v>
      </c>
      <c r="D17" s="469" t="s">
        <v>796</v>
      </c>
      <c r="E17" s="394" t="s">
        <v>798</v>
      </c>
    </row>
    <row r="18" spans="1:18" ht="32.25" customHeight="1" x14ac:dyDescent="0.25">
      <c r="A18" s="685"/>
      <c r="B18" s="483">
        <f>HLOOKUP(B16,H23:I32,5,FALSE)</f>
        <v>13.9</v>
      </c>
      <c r="C18" s="50" t="s">
        <v>797</v>
      </c>
      <c r="D18" s="469" t="s">
        <v>796</v>
      </c>
      <c r="E18" s="394" t="s">
        <v>798</v>
      </c>
      <c r="H18" s="582"/>
      <c r="I18" s="582"/>
      <c r="J18" s="582"/>
      <c r="K18" s="582"/>
      <c r="L18" s="582"/>
      <c r="M18" s="582"/>
      <c r="N18" s="582"/>
      <c r="O18" s="582"/>
      <c r="P18" s="582"/>
      <c r="Q18" s="582"/>
      <c r="R18" s="582"/>
    </row>
    <row r="19" spans="1:18" ht="32.25" customHeight="1" x14ac:dyDescent="0.25">
      <c r="A19" s="685"/>
      <c r="B19" s="481">
        <f>B18*1000*B17</f>
        <v>2780</v>
      </c>
      <c r="C19" s="50" t="s">
        <v>791</v>
      </c>
      <c r="D19" s="469" t="s">
        <v>796</v>
      </c>
      <c r="E19" s="394" t="s">
        <v>798</v>
      </c>
      <c r="H19" s="582"/>
      <c r="I19" s="582"/>
      <c r="J19" s="582"/>
      <c r="K19" s="582"/>
      <c r="L19" s="582"/>
      <c r="M19" s="582"/>
      <c r="N19" s="582"/>
      <c r="O19" s="582"/>
      <c r="P19" s="582"/>
      <c r="Q19" s="582"/>
      <c r="R19" s="582"/>
    </row>
    <row r="20" spans="1:18" ht="30" customHeight="1" x14ac:dyDescent="0.25">
      <c r="A20" s="459" t="s">
        <v>746</v>
      </c>
      <c r="B20" s="364">
        <f>HLOOKUP(B16,H23:I32,6,FALSE)</f>
        <v>3.0000000000000001E-3</v>
      </c>
      <c r="C20" s="419" t="s">
        <v>792</v>
      </c>
      <c r="D20" s="461" t="s">
        <v>747</v>
      </c>
      <c r="E20" s="394" t="s">
        <v>798</v>
      </c>
      <c r="H20" s="582"/>
      <c r="I20" s="582"/>
      <c r="J20" s="582"/>
      <c r="K20" s="582"/>
      <c r="L20" s="582"/>
      <c r="M20" s="582"/>
      <c r="N20" s="582"/>
      <c r="O20" s="582"/>
      <c r="P20" s="582"/>
      <c r="Q20" s="582"/>
    </row>
    <row r="21" spans="1:18" ht="33.75" customHeight="1" x14ac:dyDescent="0.25">
      <c r="A21" s="456" t="s">
        <v>377</v>
      </c>
      <c r="B21" s="430">
        <v>70</v>
      </c>
      <c r="C21" s="50" t="s">
        <v>791</v>
      </c>
      <c r="D21" s="425" t="s">
        <v>741</v>
      </c>
      <c r="E21" s="435" t="s">
        <v>799</v>
      </c>
    </row>
    <row r="22" spans="1:18" ht="30" customHeight="1" x14ac:dyDescent="0.25">
      <c r="A22" s="741" t="s">
        <v>776</v>
      </c>
      <c r="B22" s="430">
        <v>67</v>
      </c>
      <c r="C22" s="50" t="s">
        <v>693</v>
      </c>
      <c r="D22" s="425" t="s">
        <v>743</v>
      </c>
      <c r="E22" s="435" t="s">
        <v>744</v>
      </c>
      <c r="G22" s="698" t="s">
        <v>780</v>
      </c>
      <c r="H22" s="698"/>
      <c r="I22" s="698"/>
      <c r="J22" s="698" t="s">
        <v>427</v>
      </c>
      <c r="K22" s="698"/>
    </row>
    <row r="23" spans="1:18" ht="30.75" customHeight="1" x14ac:dyDescent="0.25">
      <c r="A23" s="742"/>
      <c r="B23" s="441">
        <v>95</v>
      </c>
      <c r="C23" s="50" t="s">
        <v>693</v>
      </c>
      <c r="D23" s="470" t="s">
        <v>777</v>
      </c>
      <c r="E23" s="435"/>
      <c r="G23" s="218" t="s">
        <v>390</v>
      </c>
      <c r="H23" s="218" t="s">
        <v>658</v>
      </c>
      <c r="I23" s="124" t="s">
        <v>659</v>
      </c>
      <c r="J23" s="124" t="s">
        <v>662</v>
      </c>
      <c r="K23" s="124" t="s">
        <v>462</v>
      </c>
    </row>
    <row r="24" spans="1:18" ht="31.5" customHeight="1" x14ac:dyDescent="0.25">
      <c r="A24" s="743"/>
      <c r="B24" s="457">
        <f>(((B23/100)*B26)/(B22/100))/B26</f>
        <v>1.4179104477611939</v>
      </c>
      <c r="C24" s="394" t="s">
        <v>795</v>
      </c>
      <c r="D24" s="458" t="s">
        <v>745</v>
      </c>
      <c r="E24" s="482"/>
      <c r="G24" s="124" t="s">
        <v>407</v>
      </c>
      <c r="H24" s="633">
        <v>0.03</v>
      </c>
      <c r="I24" s="633">
        <v>0.186</v>
      </c>
      <c r="J24" s="124" t="s">
        <v>801</v>
      </c>
      <c r="K24" s="93" t="s">
        <v>464</v>
      </c>
    </row>
    <row r="25" spans="1:18" ht="36" customHeight="1" x14ac:dyDescent="0.25">
      <c r="A25" s="744" t="s">
        <v>692</v>
      </c>
      <c r="B25" s="744"/>
      <c r="C25" s="744"/>
      <c r="D25" s="744"/>
      <c r="E25" s="744"/>
      <c r="G25" s="124" t="s">
        <v>408</v>
      </c>
      <c r="H25" s="633">
        <v>0.186</v>
      </c>
      <c r="I25" s="408">
        <v>0</v>
      </c>
      <c r="J25" s="124" t="s">
        <v>664</v>
      </c>
      <c r="K25" s="124" t="s">
        <v>800</v>
      </c>
    </row>
    <row r="26" spans="1:18" ht="33" customHeight="1" x14ac:dyDescent="0.25">
      <c r="A26" s="463" t="s">
        <v>748</v>
      </c>
      <c r="B26" s="464">
        <f>B12</f>
        <v>1000000</v>
      </c>
      <c r="C26" s="218" t="s">
        <v>605</v>
      </c>
      <c r="D26" s="421" t="s">
        <v>695</v>
      </c>
      <c r="E26" s="394"/>
      <c r="G26" s="124" t="s">
        <v>786</v>
      </c>
      <c r="H26" s="633">
        <v>0.2</v>
      </c>
      <c r="I26" s="355">
        <v>6.2E-2</v>
      </c>
      <c r="J26" s="435" t="s">
        <v>1291</v>
      </c>
      <c r="K26" s="435" t="s">
        <v>1292</v>
      </c>
    </row>
    <row r="27" spans="1:18" ht="32.25" customHeight="1" x14ac:dyDescent="0.25">
      <c r="A27" s="745" t="s">
        <v>696</v>
      </c>
      <c r="B27" s="442">
        <v>0.65380000000000005</v>
      </c>
      <c r="C27" s="50" t="s">
        <v>161</v>
      </c>
      <c r="D27" s="423" t="s">
        <v>697</v>
      </c>
      <c r="E27" s="748" t="s">
        <v>698</v>
      </c>
      <c r="G27" s="124" t="s">
        <v>788</v>
      </c>
      <c r="H27" s="355">
        <v>13.9</v>
      </c>
      <c r="I27" s="355">
        <v>33.299999999999997</v>
      </c>
      <c r="J27" s="93" t="s">
        <v>789</v>
      </c>
      <c r="K27" s="93" t="s">
        <v>790</v>
      </c>
    </row>
    <row r="28" spans="1:18" ht="31.5" customHeight="1" x14ac:dyDescent="0.25">
      <c r="A28" s="746"/>
      <c r="B28" s="443">
        <v>8.76</v>
      </c>
      <c r="C28" s="50" t="s">
        <v>605</v>
      </c>
      <c r="D28" s="425" t="s">
        <v>699</v>
      </c>
      <c r="E28" s="748"/>
      <c r="G28" s="124" t="s">
        <v>784</v>
      </c>
      <c r="H28" s="355">
        <v>3.0000000000000001E-3</v>
      </c>
      <c r="I28" s="355">
        <v>5.5E-2</v>
      </c>
      <c r="J28" s="435" t="s">
        <v>794</v>
      </c>
      <c r="K28" s="435" t="s">
        <v>1300</v>
      </c>
    </row>
    <row r="29" spans="1:18" ht="28.5" customHeight="1" x14ac:dyDescent="0.25">
      <c r="A29" s="746"/>
      <c r="B29" s="426">
        <v>47841</v>
      </c>
      <c r="C29" s="50" t="s">
        <v>165</v>
      </c>
      <c r="D29" s="425" t="s">
        <v>700</v>
      </c>
      <c r="E29" s="748"/>
      <c r="G29" s="124" t="s">
        <v>779</v>
      </c>
      <c r="H29" s="409">
        <v>0.71</v>
      </c>
      <c r="I29" s="409">
        <v>0.25</v>
      </c>
      <c r="J29" s="52"/>
      <c r="K29" s="52"/>
    </row>
    <row r="30" spans="1:18" ht="28.5" customHeight="1" x14ac:dyDescent="0.25">
      <c r="A30" s="747"/>
      <c r="B30" s="125">
        <f>B29*((B12/B28)^B27)*B9/100</f>
        <v>96915014.335223392</v>
      </c>
      <c r="C30" s="50" t="s">
        <v>165</v>
      </c>
      <c r="D30" s="425" t="s">
        <v>1280</v>
      </c>
      <c r="E30" s="50"/>
      <c r="G30" s="124" t="s">
        <v>781</v>
      </c>
      <c r="H30" s="506">
        <v>0.65049999999999997</v>
      </c>
      <c r="I30" s="506">
        <v>0.78480000000000005</v>
      </c>
      <c r="J30" s="218" t="s">
        <v>698</v>
      </c>
      <c r="K30" s="218" t="s">
        <v>698</v>
      </c>
    </row>
    <row r="31" spans="1:18" ht="31.5" x14ac:dyDescent="0.25">
      <c r="A31" s="422" t="s">
        <v>162</v>
      </c>
      <c r="B31" s="441">
        <v>1.5</v>
      </c>
      <c r="C31" s="50" t="s">
        <v>701</v>
      </c>
      <c r="D31" s="425" t="s">
        <v>162</v>
      </c>
      <c r="E31" s="394" t="s">
        <v>702</v>
      </c>
      <c r="G31" s="124" t="s">
        <v>782</v>
      </c>
      <c r="H31" s="410">
        <v>1</v>
      </c>
      <c r="I31" s="410">
        <v>1</v>
      </c>
      <c r="J31" s="218" t="s">
        <v>698</v>
      </c>
      <c r="K31" s="218" t="s">
        <v>698</v>
      </c>
    </row>
    <row r="32" spans="1:18" ht="31.5" x14ac:dyDescent="0.25">
      <c r="A32" s="744" t="s">
        <v>785</v>
      </c>
      <c r="B32" s="744"/>
      <c r="C32" s="744"/>
      <c r="D32" s="744"/>
      <c r="E32" s="744"/>
      <c r="G32" s="124" t="s">
        <v>783</v>
      </c>
      <c r="H32" s="634">
        <v>4806408</v>
      </c>
      <c r="I32" s="635">
        <v>223082</v>
      </c>
      <c r="J32" s="218" t="s">
        <v>698</v>
      </c>
      <c r="K32" s="218" t="s">
        <v>698</v>
      </c>
    </row>
    <row r="33" spans="1:11" ht="33" customHeight="1" x14ac:dyDescent="0.25">
      <c r="A33" s="740" t="s">
        <v>704</v>
      </c>
      <c r="B33" s="484">
        <f>HLOOKUP(B16,H23:I32,7,FALSE)</f>
        <v>0.71</v>
      </c>
      <c r="C33" s="50" t="s">
        <v>793</v>
      </c>
      <c r="D33" s="423" t="s">
        <v>706</v>
      </c>
      <c r="E33" s="394" t="s">
        <v>1297</v>
      </c>
      <c r="G33" s="218" t="s">
        <v>927</v>
      </c>
      <c r="H33" s="355">
        <v>2</v>
      </c>
      <c r="I33" s="355">
        <v>0</v>
      </c>
      <c r="J33" s="218" t="s">
        <v>931</v>
      </c>
      <c r="K33" s="218" t="s">
        <v>932</v>
      </c>
    </row>
    <row r="34" spans="1:11" ht="30.75" x14ac:dyDescent="0.25">
      <c r="A34" s="740"/>
      <c r="B34" s="445">
        <f>(B26/(365*24))*B33</f>
        <v>81.050228310502277</v>
      </c>
      <c r="C34" s="50" t="s">
        <v>79</v>
      </c>
      <c r="D34" s="423" t="s">
        <v>707</v>
      </c>
      <c r="E34" s="394"/>
    </row>
    <row r="35" spans="1:11" ht="30" customHeight="1" x14ac:dyDescent="0.25">
      <c r="A35" s="745" t="s">
        <v>94</v>
      </c>
      <c r="B35" s="485">
        <f>HLOOKUP(B16,H23:I32,8,FALSE)</f>
        <v>0.65049999999999997</v>
      </c>
      <c r="C35" s="50" t="s">
        <v>161</v>
      </c>
      <c r="D35" s="423" t="s">
        <v>697</v>
      </c>
      <c r="E35" s="425"/>
    </row>
    <row r="36" spans="1:11" ht="30.75" customHeight="1" x14ac:dyDescent="0.25">
      <c r="A36" s="746"/>
      <c r="B36" s="373">
        <f>HLOOKUP(B16,H23:I32,9,FALSE)</f>
        <v>1</v>
      </c>
      <c r="C36" s="50" t="s">
        <v>79</v>
      </c>
      <c r="D36" s="425" t="s">
        <v>708</v>
      </c>
      <c r="E36" s="425"/>
    </row>
    <row r="37" spans="1:11" ht="28.5" customHeight="1" x14ac:dyDescent="0.25">
      <c r="A37" s="746"/>
      <c r="B37" s="125">
        <f>HLOOKUP(B16,H23:I32,10,FALSE)</f>
        <v>4806408</v>
      </c>
      <c r="C37" s="50" t="s">
        <v>165</v>
      </c>
      <c r="D37" s="425" t="s">
        <v>700</v>
      </c>
      <c r="E37" s="425"/>
    </row>
    <row r="38" spans="1:11" ht="28.5" customHeight="1" x14ac:dyDescent="0.25">
      <c r="A38" s="747"/>
      <c r="B38" s="125">
        <f>B37*((B34/B36)^B35)*B9/100</f>
        <v>83842702.530382246</v>
      </c>
      <c r="C38" s="50" t="s">
        <v>165</v>
      </c>
      <c r="D38" s="425" t="s">
        <v>1280</v>
      </c>
      <c r="E38" s="50"/>
    </row>
    <row r="39" spans="1:11" ht="30" x14ac:dyDescent="0.25">
      <c r="A39" s="422" t="s">
        <v>162</v>
      </c>
      <c r="B39" s="441">
        <v>1.5</v>
      </c>
      <c r="C39" s="50" t="s">
        <v>701</v>
      </c>
      <c r="D39" s="425" t="s">
        <v>162</v>
      </c>
      <c r="E39" s="394" t="s">
        <v>702</v>
      </c>
    </row>
    <row r="40" spans="1:11" x14ac:dyDescent="0.25">
      <c r="A40" s="744" t="s">
        <v>709</v>
      </c>
      <c r="B40" s="744"/>
      <c r="C40" s="744"/>
      <c r="D40" s="744"/>
      <c r="E40" s="744"/>
    </row>
    <row r="41" spans="1:11" ht="33.75" customHeight="1" x14ac:dyDescent="0.25">
      <c r="A41" s="740" t="s">
        <v>710</v>
      </c>
      <c r="B41" s="350">
        <v>2.3E-2</v>
      </c>
      <c r="C41" s="50" t="s">
        <v>705</v>
      </c>
      <c r="D41" s="423" t="s">
        <v>711</v>
      </c>
      <c r="E41" s="736" t="s">
        <v>1298</v>
      </c>
    </row>
    <row r="42" spans="1:11" ht="30.75" x14ac:dyDescent="0.25">
      <c r="A42" s="740"/>
      <c r="B42" s="447">
        <f>(B26/(365*24))*B41</f>
        <v>2.6255707762557079</v>
      </c>
      <c r="C42" s="50" t="s">
        <v>79</v>
      </c>
      <c r="D42" s="423" t="s">
        <v>707</v>
      </c>
      <c r="E42" s="736"/>
    </row>
    <row r="43" spans="1:11" ht="27.75" customHeight="1" x14ac:dyDescent="0.25">
      <c r="A43" s="745" t="s">
        <v>94</v>
      </c>
      <c r="B43" s="442">
        <v>0.71</v>
      </c>
      <c r="C43" s="50" t="s">
        <v>161</v>
      </c>
      <c r="D43" s="423" t="s">
        <v>697</v>
      </c>
      <c r="E43" s="748" t="s">
        <v>698</v>
      </c>
    </row>
    <row r="44" spans="1:11" ht="27.75" customHeight="1" x14ac:dyDescent="0.25">
      <c r="A44" s="746"/>
      <c r="B44" s="446">
        <v>1</v>
      </c>
      <c r="C44" s="50" t="s">
        <v>79</v>
      </c>
      <c r="D44" s="425" t="s">
        <v>708</v>
      </c>
      <c r="E44" s="748"/>
    </row>
    <row r="45" spans="1:11" ht="28.5" customHeight="1" x14ac:dyDescent="0.25">
      <c r="A45" s="746"/>
      <c r="B45" s="426">
        <v>5995914</v>
      </c>
      <c r="C45" s="50" t="s">
        <v>165</v>
      </c>
      <c r="D45" s="425" t="s">
        <v>700</v>
      </c>
      <c r="E45" s="748"/>
    </row>
    <row r="46" spans="1:11" ht="28.5" customHeight="1" x14ac:dyDescent="0.25">
      <c r="A46" s="747"/>
      <c r="B46" s="125">
        <f>B45*((B42/B44)^B43)*B9/100</f>
        <v>11898829.548826598</v>
      </c>
      <c r="C46" s="50" t="s">
        <v>165</v>
      </c>
      <c r="D46" s="425" t="s">
        <v>1280</v>
      </c>
      <c r="E46" s="50"/>
    </row>
    <row r="47" spans="1:11" ht="30" x14ac:dyDescent="0.25">
      <c r="A47" s="422" t="s">
        <v>162</v>
      </c>
      <c r="B47" s="441">
        <v>1.5</v>
      </c>
      <c r="C47" s="50" t="s">
        <v>701</v>
      </c>
      <c r="D47" s="425" t="s">
        <v>162</v>
      </c>
      <c r="E47" s="394" t="s">
        <v>702</v>
      </c>
    </row>
    <row r="48" spans="1:11" x14ac:dyDescent="0.25">
      <c r="A48" s="744" t="s">
        <v>713</v>
      </c>
      <c r="B48" s="744"/>
      <c r="C48" s="744"/>
      <c r="D48" s="744"/>
      <c r="E48" s="744"/>
    </row>
    <row r="49" spans="1:5" ht="30" x14ac:dyDescent="0.25">
      <c r="A49" s="749" t="s">
        <v>714</v>
      </c>
      <c r="B49" s="443">
        <v>1</v>
      </c>
      <c r="C49" s="50" t="s">
        <v>715</v>
      </c>
      <c r="D49" s="425" t="s">
        <v>716</v>
      </c>
      <c r="E49" s="435" t="s">
        <v>1299</v>
      </c>
    </row>
    <row r="50" spans="1:5" ht="29.25" customHeight="1" x14ac:dyDescent="0.25">
      <c r="A50" s="750"/>
      <c r="B50" s="465">
        <f>B49*B26</f>
        <v>1000000</v>
      </c>
      <c r="C50" s="50" t="s">
        <v>749</v>
      </c>
      <c r="D50" s="423" t="s">
        <v>707</v>
      </c>
      <c r="E50" s="435"/>
    </row>
    <row r="51" spans="1:5" ht="27.75" customHeight="1" x14ac:dyDescent="0.25">
      <c r="A51" s="745" t="s">
        <v>94</v>
      </c>
      <c r="B51" s="441">
        <v>0.63029999999999997</v>
      </c>
      <c r="C51" s="50" t="s">
        <v>161</v>
      </c>
      <c r="D51" s="423" t="s">
        <v>697</v>
      </c>
      <c r="E51" s="748" t="s">
        <v>698</v>
      </c>
    </row>
    <row r="52" spans="1:5" ht="26.25" customHeight="1" x14ac:dyDescent="0.25">
      <c r="A52" s="746"/>
      <c r="B52" s="448">
        <v>8760</v>
      </c>
      <c r="C52" s="50" t="s">
        <v>605</v>
      </c>
      <c r="D52" s="425" t="s">
        <v>717</v>
      </c>
      <c r="E52" s="748"/>
    </row>
    <row r="53" spans="1:5" ht="30" customHeight="1" x14ac:dyDescent="0.25">
      <c r="A53" s="746"/>
      <c r="B53" s="426">
        <v>59277</v>
      </c>
      <c r="C53" s="50" t="s">
        <v>165</v>
      </c>
      <c r="D53" s="425" t="s">
        <v>700</v>
      </c>
      <c r="E53" s="748"/>
    </row>
    <row r="54" spans="1:5" ht="30" customHeight="1" x14ac:dyDescent="0.25">
      <c r="A54" s="747"/>
      <c r="B54" s="125">
        <f>B53*((B50/B52)^B51)*B9/100</f>
        <v>1174156.2057907209</v>
      </c>
      <c r="C54" s="50" t="s">
        <v>165</v>
      </c>
      <c r="D54" s="425" t="s">
        <v>1280</v>
      </c>
      <c r="E54" s="50"/>
    </row>
    <row r="55" spans="1:5" ht="30" x14ac:dyDescent="0.25">
      <c r="A55" s="422" t="s">
        <v>162</v>
      </c>
      <c r="B55" s="449">
        <v>1.5</v>
      </c>
      <c r="C55" s="50" t="s">
        <v>701</v>
      </c>
      <c r="D55" s="425" t="s">
        <v>162</v>
      </c>
      <c r="E55" s="394" t="s">
        <v>702</v>
      </c>
    </row>
    <row r="56" spans="1:5" x14ac:dyDescent="0.25">
      <c r="A56" s="450" t="s">
        <v>965</v>
      </c>
      <c r="B56" s="450"/>
      <c r="C56" s="450"/>
      <c r="D56" s="450"/>
      <c r="E56" s="450"/>
    </row>
    <row r="57" spans="1:5" x14ac:dyDescent="0.25">
      <c r="A57" s="418" t="s">
        <v>964</v>
      </c>
      <c r="B57" s="418"/>
      <c r="C57" s="418"/>
      <c r="D57" s="418"/>
      <c r="E57" s="418"/>
    </row>
    <row r="58" spans="1:5" ht="45" x14ac:dyDescent="0.25">
      <c r="A58" s="417" t="s">
        <v>966</v>
      </c>
      <c r="B58" s="448">
        <v>380</v>
      </c>
      <c r="C58" s="50" t="s">
        <v>791</v>
      </c>
      <c r="D58" s="469" t="s">
        <v>967</v>
      </c>
      <c r="E58" s="394" t="s">
        <v>968</v>
      </c>
    </row>
    <row r="59" spans="1:5" ht="30" customHeight="1" x14ac:dyDescent="0.25">
      <c r="A59" s="417" t="s">
        <v>1264</v>
      </c>
      <c r="B59" s="430">
        <v>10</v>
      </c>
      <c r="C59" s="50" t="s">
        <v>791</v>
      </c>
      <c r="D59" s="469" t="s">
        <v>1265</v>
      </c>
      <c r="E59" s="435" t="s">
        <v>1266</v>
      </c>
    </row>
    <row r="60" spans="1:5" ht="30" x14ac:dyDescent="0.25">
      <c r="A60" s="434" t="s">
        <v>877</v>
      </c>
      <c r="B60" s="443">
        <v>0.05</v>
      </c>
      <c r="C60" s="50" t="s">
        <v>884</v>
      </c>
      <c r="D60" s="425" t="s">
        <v>878</v>
      </c>
      <c r="E60" s="394" t="s">
        <v>879</v>
      </c>
    </row>
    <row r="61" spans="1:5" ht="30" x14ac:dyDescent="0.25">
      <c r="A61" s="434" t="s">
        <v>880</v>
      </c>
      <c r="B61" s="350">
        <v>2.7E-2</v>
      </c>
      <c r="C61" s="50" t="s">
        <v>885</v>
      </c>
      <c r="D61" s="425" t="s">
        <v>881</v>
      </c>
      <c r="E61" s="394" t="s">
        <v>882</v>
      </c>
    </row>
    <row r="62" spans="1:5" ht="30" x14ac:dyDescent="0.25">
      <c r="A62" s="434" t="s">
        <v>888</v>
      </c>
      <c r="B62" s="443">
        <v>0.2</v>
      </c>
      <c r="C62" s="50" t="s">
        <v>890</v>
      </c>
      <c r="D62" s="425" t="s">
        <v>889</v>
      </c>
      <c r="E62" s="435" t="s">
        <v>969</v>
      </c>
    </row>
    <row r="63" spans="1:5" ht="30.75" customHeight="1" x14ac:dyDescent="0.25">
      <c r="A63" s="434" t="s">
        <v>746</v>
      </c>
      <c r="B63" s="350">
        <v>5.3999999999999999E-2</v>
      </c>
      <c r="C63" s="50" t="s">
        <v>792</v>
      </c>
      <c r="D63" s="425" t="s">
        <v>924</v>
      </c>
      <c r="E63" s="394" t="s">
        <v>940</v>
      </c>
    </row>
    <row r="64" spans="1:5" ht="30.75" customHeight="1" x14ac:dyDescent="0.25">
      <c r="A64" s="425" t="s">
        <v>925</v>
      </c>
      <c r="B64" s="449">
        <v>2</v>
      </c>
      <c r="C64" s="50" t="s">
        <v>938</v>
      </c>
      <c r="D64" s="425" t="s">
        <v>926</v>
      </c>
      <c r="E64" s="394" t="s">
        <v>941</v>
      </c>
    </row>
    <row r="65" spans="1:5" x14ac:dyDescent="0.25">
      <c r="A65" s="744" t="s">
        <v>975</v>
      </c>
      <c r="B65" s="744"/>
      <c r="C65" s="744"/>
      <c r="D65" s="744"/>
      <c r="E65" s="744"/>
    </row>
    <row r="66" spans="1:5" ht="33.75" customHeight="1" x14ac:dyDescent="0.25">
      <c r="A66" s="422" t="s">
        <v>970</v>
      </c>
      <c r="B66" s="631">
        <f>B26</f>
        <v>1000000</v>
      </c>
      <c r="C66" s="50" t="s">
        <v>842</v>
      </c>
      <c r="D66" s="466" t="s">
        <v>707</v>
      </c>
      <c r="E66" s="435"/>
    </row>
    <row r="67" spans="1:5" ht="33" customHeight="1" x14ac:dyDescent="0.25">
      <c r="A67" s="740" t="s">
        <v>94</v>
      </c>
      <c r="B67" s="443">
        <v>0.8</v>
      </c>
      <c r="C67" s="50" t="s">
        <v>161</v>
      </c>
      <c r="D67" s="425" t="s">
        <v>697</v>
      </c>
      <c r="E67" s="394" t="s">
        <v>1276</v>
      </c>
    </row>
    <row r="68" spans="1:5" ht="30" customHeight="1" x14ac:dyDescent="0.25">
      <c r="A68" s="740"/>
      <c r="B68" s="632">
        <v>4920000</v>
      </c>
      <c r="C68" s="50" t="s">
        <v>842</v>
      </c>
      <c r="D68" s="425" t="s">
        <v>699</v>
      </c>
      <c r="E68" s="394" t="s">
        <v>1276</v>
      </c>
    </row>
    <row r="69" spans="1:5" ht="28.5" customHeight="1" x14ac:dyDescent="0.25">
      <c r="A69" s="740"/>
      <c r="B69" s="426">
        <v>575105392.15686274</v>
      </c>
      <c r="C69" s="50" t="s">
        <v>165</v>
      </c>
      <c r="D69" s="425" t="s">
        <v>700</v>
      </c>
      <c r="E69" s="394" t="s">
        <v>1276</v>
      </c>
    </row>
    <row r="70" spans="1:5" ht="28.5" customHeight="1" x14ac:dyDescent="0.25">
      <c r="A70" s="740"/>
      <c r="B70" s="511">
        <f>B69*((B66/B68)^B67)*B9/100</f>
        <v>160759022.69870147</v>
      </c>
      <c r="C70" s="50" t="s">
        <v>165</v>
      </c>
      <c r="D70" s="425" t="s">
        <v>1280</v>
      </c>
      <c r="E70" s="50"/>
    </row>
    <row r="71" spans="1:5" ht="29.25" customHeight="1" x14ac:dyDescent="0.25">
      <c r="A71" s="425" t="s">
        <v>719</v>
      </c>
      <c r="B71" s="499">
        <v>3</v>
      </c>
      <c r="C71" s="50" t="s">
        <v>701</v>
      </c>
      <c r="D71" s="425" t="s">
        <v>162</v>
      </c>
      <c r="E71" s="394" t="s">
        <v>876</v>
      </c>
    </row>
    <row r="72" spans="1:5" ht="17.25" customHeight="1" x14ac:dyDescent="0.25">
      <c r="A72" s="744" t="s">
        <v>1258</v>
      </c>
      <c r="B72" s="744"/>
      <c r="C72" s="744"/>
      <c r="D72" s="744"/>
      <c r="E72" s="744"/>
    </row>
    <row r="73" spans="1:5" ht="29.25" customHeight="1" x14ac:dyDescent="0.25">
      <c r="A73" s="454" t="s">
        <v>1259</v>
      </c>
      <c r="B73" s="465">
        <f>B26</f>
        <v>1000000</v>
      </c>
      <c r="C73" s="50" t="s">
        <v>842</v>
      </c>
      <c r="D73" s="466" t="s">
        <v>707</v>
      </c>
      <c r="E73" s="435"/>
    </row>
    <row r="74" spans="1:5" ht="29.25" customHeight="1" x14ac:dyDescent="0.25">
      <c r="A74" s="745" t="s">
        <v>94</v>
      </c>
      <c r="B74" s="424">
        <v>0.8</v>
      </c>
      <c r="C74" s="50" t="s">
        <v>161</v>
      </c>
      <c r="D74" s="425" t="s">
        <v>697</v>
      </c>
      <c r="E74" s="394" t="s">
        <v>1260</v>
      </c>
    </row>
    <row r="75" spans="1:5" ht="29.25" customHeight="1" x14ac:dyDescent="0.25">
      <c r="A75" s="746"/>
      <c r="B75" s="603">
        <v>4000000</v>
      </c>
      <c r="C75" s="50" t="s">
        <v>842</v>
      </c>
      <c r="D75" s="425" t="s">
        <v>699</v>
      </c>
      <c r="E75" s="394" t="s">
        <v>1260</v>
      </c>
    </row>
    <row r="76" spans="1:5" ht="29.25" customHeight="1" x14ac:dyDescent="0.25">
      <c r="A76" s="746"/>
      <c r="B76" s="426">
        <v>190077205.88235295</v>
      </c>
      <c r="C76" s="50" t="s">
        <v>165</v>
      </c>
      <c r="D76" s="425" t="s">
        <v>700</v>
      </c>
      <c r="E76" s="394" t="s">
        <v>1260</v>
      </c>
    </row>
    <row r="77" spans="1:5" ht="29.25" customHeight="1" x14ac:dyDescent="0.25">
      <c r="A77" s="747"/>
      <c r="B77" s="125">
        <f>B76*((B73/B75)^B74)*B9/100</f>
        <v>62702094.204843216</v>
      </c>
      <c r="C77" s="50" t="s">
        <v>165</v>
      </c>
      <c r="D77" s="425" t="s">
        <v>1280</v>
      </c>
      <c r="E77" s="50"/>
    </row>
    <row r="78" spans="1:5" ht="29.25" customHeight="1" x14ac:dyDescent="0.25">
      <c r="A78" s="425" t="s">
        <v>719</v>
      </c>
      <c r="B78" s="529">
        <v>8</v>
      </c>
      <c r="C78" s="50" t="s">
        <v>701</v>
      </c>
      <c r="D78" s="425" t="s">
        <v>162</v>
      </c>
      <c r="E78" s="394" t="s">
        <v>1260</v>
      </c>
    </row>
    <row r="79" spans="1:5" ht="16.5" thickBot="1" x14ac:dyDescent="0.3">
      <c r="A79" s="450" t="s">
        <v>863</v>
      </c>
      <c r="B79" s="450"/>
      <c r="C79" s="450"/>
      <c r="D79" s="450"/>
      <c r="E79" s="450"/>
    </row>
    <row r="80" spans="1:5" x14ac:dyDescent="0.25">
      <c r="A80" s="431" t="s">
        <v>721</v>
      </c>
      <c r="B80" s="432"/>
      <c r="C80" s="432"/>
      <c r="D80" s="432"/>
      <c r="E80" s="433"/>
    </row>
    <row r="81" spans="1:5" ht="30" x14ac:dyDescent="0.25">
      <c r="A81" s="456" t="s">
        <v>377</v>
      </c>
      <c r="B81" s="430">
        <v>385</v>
      </c>
      <c r="C81" s="50" t="s">
        <v>817</v>
      </c>
      <c r="D81" s="425" t="s">
        <v>754</v>
      </c>
      <c r="E81" s="462" t="s">
        <v>818</v>
      </c>
    </row>
    <row r="82" spans="1:5" x14ac:dyDescent="0.25">
      <c r="A82" s="744" t="s">
        <v>822</v>
      </c>
      <c r="B82" s="744"/>
      <c r="C82" s="744"/>
      <c r="D82" s="744"/>
      <c r="E82" s="744"/>
    </row>
    <row r="83" spans="1:5" ht="31.5" x14ac:dyDescent="0.25">
      <c r="A83" s="452" t="s">
        <v>722</v>
      </c>
      <c r="B83" s="439">
        <f>B20+B63</f>
        <v>5.7000000000000002E-2</v>
      </c>
      <c r="C83" s="50" t="s">
        <v>792</v>
      </c>
      <c r="D83" s="314" t="s">
        <v>823</v>
      </c>
      <c r="E83" s="453"/>
    </row>
    <row r="84" spans="1:5" ht="30" customHeight="1" x14ac:dyDescent="0.25">
      <c r="A84" s="492" t="s">
        <v>821</v>
      </c>
      <c r="B84" s="202">
        <f>B83*B26</f>
        <v>57000</v>
      </c>
      <c r="C84" s="50" t="s">
        <v>723</v>
      </c>
      <c r="D84" s="314"/>
      <c r="E84" s="453"/>
    </row>
    <row r="85" spans="1:5" ht="30.75" customHeight="1" x14ac:dyDescent="0.25">
      <c r="A85" s="745" t="s">
        <v>94</v>
      </c>
      <c r="B85" s="442">
        <v>0.63570000000000004</v>
      </c>
      <c r="C85" s="50" t="s">
        <v>161</v>
      </c>
      <c r="D85" s="425" t="s">
        <v>697</v>
      </c>
      <c r="E85" s="736" t="s">
        <v>698</v>
      </c>
    </row>
    <row r="86" spans="1:5" ht="30.75" customHeight="1" x14ac:dyDescent="0.25">
      <c r="A86" s="746"/>
      <c r="B86" s="443">
        <v>8.76</v>
      </c>
      <c r="C86" s="50" t="s">
        <v>723</v>
      </c>
      <c r="D86" s="425" t="s">
        <v>699</v>
      </c>
      <c r="E86" s="736"/>
    </row>
    <row r="87" spans="1:5" ht="30" customHeight="1" x14ac:dyDescent="0.25">
      <c r="A87" s="746"/>
      <c r="B87" s="426">
        <v>29849</v>
      </c>
      <c r="C87" s="50" t="s">
        <v>165</v>
      </c>
      <c r="D87" s="425" t="s">
        <v>700</v>
      </c>
      <c r="E87" s="736"/>
    </row>
    <row r="88" spans="1:5" ht="30" customHeight="1" x14ac:dyDescent="0.25">
      <c r="A88" s="747"/>
      <c r="B88" s="125">
        <f>B87*((B84/B86)^B85)*B9/100</f>
        <v>7926647.9748080764</v>
      </c>
      <c r="C88" s="50" t="s">
        <v>165</v>
      </c>
      <c r="D88" s="425" t="s">
        <v>1280</v>
      </c>
      <c r="E88" s="394"/>
    </row>
    <row r="89" spans="1:5" ht="30" x14ac:dyDescent="0.25">
      <c r="A89" s="422" t="s">
        <v>162</v>
      </c>
      <c r="B89" s="449">
        <v>2.5</v>
      </c>
      <c r="C89" s="50" t="s">
        <v>701</v>
      </c>
      <c r="D89" s="425" t="s">
        <v>162</v>
      </c>
      <c r="E89" s="394" t="s">
        <v>724</v>
      </c>
    </row>
    <row r="90" spans="1:5" x14ac:dyDescent="0.25">
      <c r="A90" s="418" t="s">
        <v>997</v>
      </c>
      <c r="B90" s="418"/>
      <c r="C90" s="418"/>
      <c r="D90" s="418"/>
      <c r="E90" s="418"/>
    </row>
    <row r="91" spans="1:5" ht="45.75" customHeight="1" x14ac:dyDescent="0.25">
      <c r="A91" s="101" t="s">
        <v>1035</v>
      </c>
      <c r="B91" s="221">
        <v>12</v>
      </c>
      <c r="C91" s="101" t="s">
        <v>1030</v>
      </c>
      <c r="D91" s="524"/>
      <c r="E91" s="93" t="s">
        <v>1039</v>
      </c>
    </row>
    <row r="92" spans="1:5" ht="45.75" customHeight="1" x14ac:dyDescent="0.25">
      <c r="A92" s="101" t="s">
        <v>1027</v>
      </c>
      <c r="B92" s="27">
        <v>4.8</v>
      </c>
      <c r="C92" s="101" t="s">
        <v>1031</v>
      </c>
      <c r="D92" s="268" t="s">
        <v>1028</v>
      </c>
      <c r="E92" s="99" t="s">
        <v>1029</v>
      </c>
    </row>
    <row r="93" spans="1:5" ht="45.75" customHeight="1" x14ac:dyDescent="0.25">
      <c r="A93" s="112" t="s">
        <v>1020</v>
      </c>
      <c r="B93" s="523">
        <v>1920</v>
      </c>
      <c r="C93" s="112" t="s">
        <v>1021</v>
      </c>
      <c r="D93" s="524"/>
      <c r="E93" s="124" t="s">
        <v>1022</v>
      </c>
    </row>
    <row r="94" spans="1:5" ht="34.5" customHeight="1" x14ac:dyDescent="0.25">
      <c r="A94" s="112" t="s">
        <v>1024</v>
      </c>
      <c r="B94" s="616">
        <v>36</v>
      </c>
      <c r="C94" s="112" t="s">
        <v>1023</v>
      </c>
      <c r="D94" s="524"/>
      <c r="E94" s="93" t="s">
        <v>1025</v>
      </c>
    </row>
    <row r="95" spans="1:5" ht="34.5" customHeight="1" x14ac:dyDescent="0.25">
      <c r="A95" s="62" t="s">
        <v>802</v>
      </c>
      <c r="B95" s="227">
        <f>B91*B92*B93*B94</f>
        <v>3981311.9999999995</v>
      </c>
      <c r="C95" s="62" t="s">
        <v>261</v>
      </c>
      <c r="D95" s="524"/>
      <c r="E95" s="524"/>
    </row>
    <row r="96" spans="1:5" x14ac:dyDescent="0.25">
      <c r="A96" s="450" t="s">
        <v>725</v>
      </c>
      <c r="B96" s="450"/>
      <c r="C96" s="450"/>
      <c r="D96" s="450"/>
      <c r="E96" s="450"/>
    </row>
    <row r="97" spans="1:5" x14ac:dyDescent="0.25">
      <c r="A97" s="744" t="s">
        <v>726</v>
      </c>
      <c r="B97" s="744"/>
      <c r="C97" s="744"/>
      <c r="D97" s="744"/>
      <c r="E97" s="744"/>
    </row>
    <row r="98" spans="1:5" ht="27.75" customHeight="1" x14ac:dyDescent="0.25">
      <c r="A98" s="745" t="s">
        <v>94</v>
      </c>
      <c r="B98" s="442">
        <v>0.55840000000000001</v>
      </c>
      <c r="C98" s="50" t="s">
        <v>161</v>
      </c>
      <c r="D98" s="425" t="s">
        <v>697</v>
      </c>
      <c r="E98" s="736" t="s">
        <v>698</v>
      </c>
    </row>
    <row r="99" spans="1:5" ht="25.5" customHeight="1" x14ac:dyDescent="0.25">
      <c r="A99" s="746"/>
      <c r="B99" s="443">
        <v>8.76</v>
      </c>
      <c r="C99" s="50" t="s">
        <v>605</v>
      </c>
      <c r="D99" s="425" t="s">
        <v>750</v>
      </c>
      <c r="E99" s="736"/>
    </row>
    <row r="100" spans="1:5" ht="30" customHeight="1" x14ac:dyDescent="0.25">
      <c r="A100" s="746"/>
      <c r="B100" s="426">
        <v>68056</v>
      </c>
      <c r="C100" s="50" t="s">
        <v>165</v>
      </c>
      <c r="D100" s="425" t="s">
        <v>700</v>
      </c>
      <c r="E100" s="736"/>
    </row>
    <row r="101" spans="1:5" ht="30" customHeight="1" x14ac:dyDescent="0.25">
      <c r="A101" s="747"/>
      <c r="B101" s="125">
        <f>B100*((B12/B99)^B98)*B9/100</f>
        <v>45391248.35415218</v>
      </c>
      <c r="C101" s="50" t="s">
        <v>165</v>
      </c>
      <c r="D101" s="425" t="s">
        <v>1280</v>
      </c>
      <c r="E101" s="394"/>
    </row>
    <row r="102" spans="1:5" x14ac:dyDescent="0.25">
      <c r="A102" s="744" t="s">
        <v>727</v>
      </c>
      <c r="B102" s="744"/>
      <c r="C102" s="744"/>
      <c r="D102" s="744"/>
      <c r="E102" s="744"/>
    </row>
    <row r="103" spans="1:5" ht="25.5" customHeight="1" x14ac:dyDescent="0.25">
      <c r="A103" s="745" t="s">
        <v>94</v>
      </c>
      <c r="B103" s="442">
        <v>0.8</v>
      </c>
      <c r="C103" s="50" t="s">
        <v>161</v>
      </c>
      <c r="D103" s="425" t="s">
        <v>697</v>
      </c>
      <c r="E103" s="736" t="s">
        <v>698</v>
      </c>
    </row>
    <row r="104" spans="1:5" ht="26.25" customHeight="1" x14ac:dyDescent="0.25">
      <c r="A104" s="746"/>
      <c r="B104" s="443">
        <v>8.76</v>
      </c>
      <c r="C104" s="50" t="s">
        <v>605</v>
      </c>
      <c r="D104" s="425" t="s">
        <v>750</v>
      </c>
      <c r="E104" s="736"/>
    </row>
    <row r="105" spans="1:5" ht="27.75" customHeight="1" x14ac:dyDescent="0.25">
      <c r="A105" s="746"/>
      <c r="B105" s="426">
        <v>6160</v>
      </c>
      <c r="C105" s="50" t="s">
        <v>165</v>
      </c>
      <c r="D105" s="425" t="s">
        <v>700</v>
      </c>
      <c r="E105" s="736"/>
    </row>
    <row r="106" spans="1:5" ht="27.75" customHeight="1" x14ac:dyDescent="0.25">
      <c r="A106" s="747"/>
      <c r="B106" s="125">
        <f>B105*((B12/B104)^B103)*B9/100</f>
        <v>68482156.410435766</v>
      </c>
      <c r="C106" s="50" t="s">
        <v>165</v>
      </c>
      <c r="D106" s="425" t="s">
        <v>1280</v>
      </c>
      <c r="E106" s="394"/>
    </row>
    <row r="107" spans="1:5" x14ac:dyDescent="0.25">
      <c r="A107" s="744" t="s">
        <v>728</v>
      </c>
      <c r="B107" s="744"/>
      <c r="C107" s="744"/>
      <c r="D107" s="744"/>
      <c r="E107" s="744"/>
    </row>
    <row r="108" spans="1:5" ht="24.75" customHeight="1" x14ac:dyDescent="0.25">
      <c r="A108" s="745" t="s">
        <v>94</v>
      </c>
      <c r="B108" s="442">
        <v>0.55830000000000002</v>
      </c>
      <c r="C108" s="50" t="s">
        <v>161</v>
      </c>
      <c r="D108" s="425" t="s">
        <v>697</v>
      </c>
      <c r="E108" s="736" t="s">
        <v>698</v>
      </c>
    </row>
    <row r="109" spans="1:5" ht="24.75" customHeight="1" x14ac:dyDescent="0.25">
      <c r="A109" s="746"/>
      <c r="B109" s="443">
        <v>8.76</v>
      </c>
      <c r="C109" s="50" t="s">
        <v>605</v>
      </c>
      <c r="D109" s="425" t="s">
        <v>750</v>
      </c>
      <c r="E109" s="736"/>
    </row>
    <row r="110" spans="1:5" ht="25.5" customHeight="1" x14ac:dyDescent="0.25">
      <c r="A110" s="746"/>
      <c r="B110" s="426">
        <v>170142</v>
      </c>
      <c r="C110" s="50" t="s">
        <v>165</v>
      </c>
      <c r="D110" s="425" t="s">
        <v>700</v>
      </c>
      <c r="E110" s="736"/>
    </row>
    <row r="111" spans="1:5" ht="30" customHeight="1" x14ac:dyDescent="0.25">
      <c r="A111" s="747"/>
      <c r="B111" s="125">
        <f>B110*((B12/B109)^B108)*B9/100</f>
        <v>113347381.34453897</v>
      </c>
      <c r="C111" s="50" t="s">
        <v>165</v>
      </c>
      <c r="D111" s="422" t="s">
        <v>1280</v>
      </c>
      <c r="E111" s="113"/>
    </row>
    <row r="112" spans="1:5" x14ac:dyDescent="0.25">
      <c r="A112" s="103" t="s">
        <v>88</v>
      </c>
      <c r="B112" s="103"/>
      <c r="C112" s="103"/>
      <c r="D112" s="103"/>
      <c r="E112" s="117"/>
    </row>
    <row r="113" spans="1:5" ht="30.75" customHeight="1" x14ac:dyDescent="0.25">
      <c r="A113" s="92" t="s">
        <v>88</v>
      </c>
      <c r="B113" s="87">
        <v>0</v>
      </c>
      <c r="C113" s="218" t="s">
        <v>165</v>
      </c>
      <c r="D113" s="92" t="s">
        <v>259</v>
      </c>
      <c r="E113" s="92"/>
    </row>
    <row r="114" spans="1:5" ht="15.75" customHeight="1" x14ac:dyDescent="0.25">
      <c r="A114" s="450" t="s">
        <v>755</v>
      </c>
      <c r="B114" s="450"/>
      <c r="C114" s="450"/>
      <c r="D114" s="450"/>
      <c r="E114" s="450"/>
    </row>
    <row r="115" spans="1:5" ht="30.75" customHeight="1" x14ac:dyDescent="0.25">
      <c r="A115" s="434" t="s">
        <v>742</v>
      </c>
      <c r="B115" s="443">
        <v>0</v>
      </c>
      <c r="C115" s="50" t="s">
        <v>608</v>
      </c>
      <c r="D115" s="425" t="s">
        <v>810</v>
      </c>
      <c r="E115" s="394" t="s">
        <v>811</v>
      </c>
    </row>
    <row r="116" spans="1:5" ht="30.75" customHeight="1" x14ac:dyDescent="0.25">
      <c r="A116" s="417" t="s">
        <v>812</v>
      </c>
      <c r="B116" s="480">
        <f>HLOOKUP(B16,H23:I32,2,FALSE)</f>
        <v>0.03</v>
      </c>
      <c r="C116" s="50" t="s">
        <v>262</v>
      </c>
      <c r="D116" s="425"/>
      <c r="E116" s="491"/>
    </row>
    <row r="117" spans="1:5" ht="30.75" customHeight="1" x14ac:dyDescent="0.25">
      <c r="A117" s="452" t="s">
        <v>377</v>
      </c>
      <c r="B117" s="368">
        <v>8.3000000000000004E-2</v>
      </c>
      <c r="C117" s="50" t="s">
        <v>262</v>
      </c>
      <c r="D117" s="425" t="s">
        <v>756</v>
      </c>
      <c r="E117" s="394"/>
    </row>
    <row r="118" spans="1:5" ht="30.75" customHeight="1" x14ac:dyDescent="0.25">
      <c r="A118" s="313" t="s">
        <v>971</v>
      </c>
      <c r="B118" s="448">
        <v>80</v>
      </c>
      <c r="C118" s="50" t="s">
        <v>625</v>
      </c>
      <c r="D118" s="425"/>
      <c r="E118" s="429" t="s">
        <v>898</v>
      </c>
    </row>
    <row r="119" spans="1:5" ht="30.75" customHeight="1" x14ac:dyDescent="0.25">
      <c r="A119" s="313" t="s">
        <v>972</v>
      </c>
      <c r="B119" s="448">
        <v>170</v>
      </c>
      <c r="C119" s="50" t="s">
        <v>625</v>
      </c>
      <c r="D119" s="425"/>
      <c r="E119" s="429" t="s">
        <v>899</v>
      </c>
    </row>
    <row r="120" spans="1:5" ht="30.75" customHeight="1" x14ac:dyDescent="0.25">
      <c r="A120" s="313" t="s">
        <v>973</v>
      </c>
      <c r="B120" s="448">
        <v>30</v>
      </c>
      <c r="C120" s="50" t="s">
        <v>625</v>
      </c>
      <c r="D120" s="425" t="s">
        <v>901</v>
      </c>
      <c r="E120" s="462" t="s">
        <v>900</v>
      </c>
    </row>
    <row r="121" spans="1:5" ht="33.75" customHeight="1" x14ac:dyDescent="0.25">
      <c r="A121" s="313" t="s">
        <v>947</v>
      </c>
      <c r="B121" s="448">
        <v>4</v>
      </c>
      <c r="C121" s="50" t="s">
        <v>949</v>
      </c>
      <c r="D121" s="425"/>
      <c r="E121" s="394" t="s">
        <v>948</v>
      </c>
    </row>
    <row r="122" spans="1:5" x14ac:dyDescent="0.25">
      <c r="A122" s="450" t="s">
        <v>87</v>
      </c>
      <c r="B122" s="450"/>
      <c r="C122" s="450"/>
      <c r="D122" s="450"/>
      <c r="E122" s="450"/>
    </row>
    <row r="123" spans="1:5" ht="30.75" customHeight="1" x14ac:dyDescent="0.25">
      <c r="A123" s="425" t="s">
        <v>758</v>
      </c>
      <c r="B123" s="449">
        <v>0</v>
      </c>
      <c r="C123" s="50" t="s">
        <v>701</v>
      </c>
      <c r="D123" s="425" t="s">
        <v>759</v>
      </c>
      <c r="E123" s="50" t="s">
        <v>760</v>
      </c>
    </row>
    <row r="124" spans="1:5" ht="30.75" customHeight="1" x14ac:dyDescent="0.25">
      <c r="A124" s="425" t="s">
        <v>761</v>
      </c>
      <c r="B124" s="449">
        <v>0</v>
      </c>
      <c r="C124" s="50" t="s">
        <v>701</v>
      </c>
      <c r="D124" s="425" t="s">
        <v>762</v>
      </c>
      <c r="E124" s="50" t="s">
        <v>760</v>
      </c>
    </row>
    <row r="125" spans="1:5" ht="30.75" customHeight="1" x14ac:dyDescent="0.25">
      <c r="A125" s="425" t="s">
        <v>763</v>
      </c>
      <c r="B125" s="449">
        <v>0</v>
      </c>
      <c r="C125" s="50" t="s">
        <v>165</v>
      </c>
      <c r="D125" s="425" t="s">
        <v>764</v>
      </c>
      <c r="E125" s="50" t="s">
        <v>760</v>
      </c>
    </row>
    <row r="126" spans="1:5" ht="30.75" customHeight="1" x14ac:dyDescent="0.25">
      <c r="A126" s="425" t="s">
        <v>765</v>
      </c>
      <c r="B126" s="449">
        <v>0</v>
      </c>
      <c r="C126" s="50" t="s">
        <v>261</v>
      </c>
      <c r="D126" s="425" t="s">
        <v>766</v>
      </c>
      <c r="E126" s="50" t="s">
        <v>760</v>
      </c>
    </row>
    <row r="127" spans="1:5" ht="30.75" customHeight="1" x14ac:dyDescent="0.25">
      <c r="A127" s="92" t="s">
        <v>89</v>
      </c>
      <c r="B127" s="87">
        <v>0</v>
      </c>
      <c r="C127" s="218" t="s">
        <v>261</v>
      </c>
      <c r="D127" s="92" t="s">
        <v>259</v>
      </c>
      <c r="E127" s="92"/>
    </row>
    <row r="128" spans="1:5" x14ac:dyDescent="0.25">
      <c r="A128" s="118" t="s">
        <v>366</v>
      </c>
      <c r="B128" s="119"/>
      <c r="C128" s="119"/>
      <c r="D128" s="119"/>
      <c r="E128" s="120"/>
    </row>
    <row r="129" spans="1:5" x14ac:dyDescent="0.25">
      <c r="A129" s="103" t="s">
        <v>645</v>
      </c>
      <c r="B129" s="103"/>
      <c r="C129" s="103"/>
      <c r="D129" s="103"/>
      <c r="E129" s="117"/>
    </row>
    <row r="130" spans="1:5" ht="34.5" customHeight="1" x14ac:dyDescent="0.25">
      <c r="A130" s="121" t="s">
        <v>646</v>
      </c>
      <c r="B130" s="27">
        <v>0</v>
      </c>
      <c r="C130" s="121" t="s">
        <v>647</v>
      </c>
      <c r="D130" s="121" t="s">
        <v>651</v>
      </c>
      <c r="E130" s="126" t="s">
        <v>648</v>
      </c>
    </row>
    <row r="131" spans="1:5" ht="21.75" customHeight="1" x14ac:dyDescent="0.25">
      <c r="A131" s="103" t="s">
        <v>772</v>
      </c>
      <c r="B131" s="103"/>
      <c r="C131" s="103"/>
      <c r="D131" s="103"/>
      <c r="E131" s="117"/>
    </row>
    <row r="132" spans="1:5" ht="34.5" customHeight="1" x14ac:dyDescent="0.25">
      <c r="A132" s="463" t="s">
        <v>778</v>
      </c>
      <c r="B132" s="503">
        <f>HLOOKUP(B16,H23:I32,3,FALSE)</f>
        <v>0.186</v>
      </c>
      <c r="C132" s="422" t="s">
        <v>475</v>
      </c>
      <c r="D132" s="469" t="s">
        <v>814</v>
      </c>
      <c r="E132" s="108"/>
    </row>
    <row r="133" spans="1:5" ht="34.5" customHeight="1" x14ac:dyDescent="0.25">
      <c r="A133" s="463" t="s">
        <v>942</v>
      </c>
      <c r="B133" s="114">
        <v>2617</v>
      </c>
      <c r="C133" s="422" t="s">
        <v>936</v>
      </c>
      <c r="D133" s="469"/>
      <c r="E133" s="108" t="s">
        <v>937</v>
      </c>
    </row>
    <row r="134" spans="1:5" ht="34.5" customHeight="1" x14ac:dyDescent="0.25">
      <c r="A134" s="463" t="s">
        <v>943</v>
      </c>
      <c r="B134" s="114">
        <v>2617</v>
      </c>
      <c r="C134" s="422" t="s">
        <v>936</v>
      </c>
      <c r="D134" s="467"/>
      <c r="E134" s="108" t="s">
        <v>951</v>
      </c>
    </row>
    <row r="135" spans="1:5" ht="34.5" customHeight="1" x14ac:dyDescent="0.25">
      <c r="A135" s="752" t="s">
        <v>1007</v>
      </c>
      <c r="B135" s="521">
        <f>HLOOKUP(B16,H23:I33,11,FALSE)</f>
        <v>2</v>
      </c>
      <c r="C135" s="422" t="s">
        <v>928</v>
      </c>
      <c r="D135" s="467"/>
      <c r="E135" s="108"/>
    </row>
    <row r="136" spans="1:5" ht="34.5" customHeight="1" x14ac:dyDescent="0.25">
      <c r="A136" s="753"/>
      <c r="B136" s="502">
        <f>B135*0.27</f>
        <v>0.54</v>
      </c>
      <c r="C136" s="422" t="s">
        <v>827</v>
      </c>
      <c r="D136" s="467"/>
      <c r="E136" s="394" t="s">
        <v>773</v>
      </c>
    </row>
    <row r="137" spans="1:5" ht="34.5" customHeight="1" x14ac:dyDescent="0.25">
      <c r="A137" s="745" t="s">
        <v>1008</v>
      </c>
      <c r="B137" s="475">
        <v>0.5</v>
      </c>
      <c r="C137" s="422" t="s">
        <v>928</v>
      </c>
      <c r="D137" s="469"/>
      <c r="E137" s="435" t="s">
        <v>944</v>
      </c>
    </row>
    <row r="138" spans="1:5" ht="34.5" customHeight="1" x14ac:dyDescent="0.25">
      <c r="A138" s="747"/>
      <c r="B138" s="502">
        <f>B137*0.27</f>
        <v>0.13500000000000001</v>
      </c>
      <c r="C138" s="422" t="s">
        <v>827</v>
      </c>
      <c r="D138" s="468" t="s">
        <v>930</v>
      </c>
      <c r="E138" s="394" t="s">
        <v>773</v>
      </c>
    </row>
    <row r="139" spans="1:5" x14ac:dyDescent="0.25">
      <c r="A139" s="103" t="s">
        <v>767</v>
      </c>
      <c r="B139" s="103"/>
      <c r="C139" s="103"/>
      <c r="D139" s="103"/>
      <c r="E139" s="117"/>
    </row>
    <row r="140" spans="1:5" ht="34.5" customHeight="1" x14ac:dyDescent="0.25">
      <c r="A140" s="425" t="s">
        <v>377</v>
      </c>
      <c r="B140" s="368">
        <v>0.63</v>
      </c>
      <c r="C140" s="112" t="s">
        <v>415</v>
      </c>
      <c r="D140" s="267" t="s">
        <v>874</v>
      </c>
      <c r="E140" s="294" t="s">
        <v>420</v>
      </c>
    </row>
    <row r="141" spans="1:5" ht="30" x14ac:dyDescent="0.25">
      <c r="A141" s="425" t="s">
        <v>768</v>
      </c>
      <c r="B141" s="449">
        <v>0</v>
      </c>
      <c r="C141" s="422" t="s">
        <v>604</v>
      </c>
      <c r="D141" s="468" t="s">
        <v>774</v>
      </c>
      <c r="E141" s="394" t="s">
        <v>769</v>
      </c>
    </row>
    <row r="142" spans="1:5" ht="37.5" customHeight="1" x14ac:dyDescent="0.25">
      <c r="A142" s="425" t="s">
        <v>770</v>
      </c>
      <c r="B142" s="449">
        <v>0</v>
      </c>
      <c r="C142" s="422" t="s">
        <v>604</v>
      </c>
      <c r="D142" s="467" t="s">
        <v>775</v>
      </c>
      <c r="E142" s="394" t="s">
        <v>771</v>
      </c>
    </row>
    <row r="143" spans="1:5" x14ac:dyDescent="0.25">
      <c r="A143" s="103" t="s">
        <v>382</v>
      </c>
      <c r="B143" s="103"/>
      <c r="C143" s="103"/>
      <c r="D143" s="103"/>
      <c r="E143" s="117"/>
    </row>
    <row r="144" spans="1:5" ht="27.75" customHeight="1" x14ac:dyDescent="0.25">
      <c r="A144" s="696" t="s">
        <v>824</v>
      </c>
      <c r="B144" s="227">
        <f>B140*B21*B26*(B13/100)</f>
        <v>39690000</v>
      </c>
      <c r="C144" s="112" t="s">
        <v>385</v>
      </c>
      <c r="D144" s="295"/>
      <c r="E144" s="124"/>
    </row>
    <row r="145" spans="1:7" ht="27.75" customHeight="1" x14ac:dyDescent="0.25">
      <c r="A145" s="697"/>
      <c r="B145" s="373">
        <f>B140*B21</f>
        <v>44.1</v>
      </c>
      <c r="C145" s="112" t="s">
        <v>827</v>
      </c>
      <c r="D145" s="92"/>
      <c r="E145" s="124"/>
    </row>
    <row r="146" spans="1:7" ht="27.75" customHeight="1" x14ac:dyDescent="0.25">
      <c r="A146" s="699" t="s">
        <v>974</v>
      </c>
      <c r="B146" s="227">
        <f>B140*B58*B66*(B13/100)</f>
        <v>215460000</v>
      </c>
      <c r="C146" s="112" t="s">
        <v>385</v>
      </c>
      <c r="D146" s="92"/>
      <c r="E146" s="124"/>
    </row>
    <row r="147" spans="1:7" ht="27.75" customHeight="1" x14ac:dyDescent="0.25">
      <c r="A147" s="699"/>
      <c r="B147" s="373">
        <f>B140*B58</f>
        <v>239.4</v>
      </c>
      <c r="C147" s="112" t="s">
        <v>827</v>
      </c>
      <c r="D147" s="92"/>
      <c r="E147" s="124"/>
    </row>
    <row r="148" spans="1:7" ht="27.75" customHeight="1" x14ac:dyDescent="0.25">
      <c r="A148" s="699" t="s">
        <v>1273</v>
      </c>
      <c r="B148" s="227">
        <f>B140*B59*B73*(B13/100)</f>
        <v>5670000</v>
      </c>
      <c r="C148" s="112" t="s">
        <v>385</v>
      </c>
      <c r="D148" s="92"/>
      <c r="E148" s="124"/>
    </row>
    <row r="149" spans="1:7" ht="27.75" customHeight="1" x14ac:dyDescent="0.25">
      <c r="A149" s="699"/>
      <c r="B149" s="373">
        <f>B140*B59</f>
        <v>6.3</v>
      </c>
      <c r="C149" s="112" t="s">
        <v>827</v>
      </c>
      <c r="D149" s="92"/>
      <c r="E149" s="124"/>
    </row>
    <row r="150" spans="1:7" ht="27.75" customHeight="1" x14ac:dyDescent="0.25">
      <c r="A150" s="696" t="s">
        <v>825</v>
      </c>
      <c r="B150" s="373">
        <f>B140*B81*B84*(B13/100)</f>
        <v>12442815</v>
      </c>
      <c r="C150" s="112" t="s">
        <v>385</v>
      </c>
      <c r="D150" s="92"/>
      <c r="E150" s="124"/>
    </row>
    <row r="151" spans="1:7" ht="27.75" customHeight="1" x14ac:dyDescent="0.25">
      <c r="A151" s="697"/>
      <c r="B151" s="373">
        <f>B140*B81*B83</f>
        <v>13.825350000000002</v>
      </c>
      <c r="C151" s="112" t="s">
        <v>827</v>
      </c>
      <c r="D151" s="92"/>
      <c r="E151" s="124"/>
    </row>
    <row r="152" spans="1:7" ht="30.75" customHeight="1" x14ac:dyDescent="0.25">
      <c r="A152" s="693" t="s">
        <v>826</v>
      </c>
      <c r="B152" s="125">
        <f>B132*B19*B26*(B13/100)-(B136*B26*(B13/100))</f>
        <v>464886000.00000006</v>
      </c>
      <c r="C152" s="112" t="s">
        <v>385</v>
      </c>
      <c r="D152" s="92"/>
      <c r="E152" s="124"/>
    </row>
    <row r="153" spans="1:7" ht="30.75" customHeight="1" x14ac:dyDescent="0.25">
      <c r="A153" s="694"/>
      <c r="B153" s="374">
        <f>B132*B19-B136</f>
        <v>516.54000000000008</v>
      </c>
      <c r="C153" s="112" t="s">
        <v>827</v>
      </c>
      <c r="D153" s="101"/>
      <c r="E153" s="99"/>
    </row>
    <row r="154" spans="1:7" ht="30.75" customHeight="1" x14ac:dyDescent="0.25">
      <c r="A154" s="699" t="s">
        <v>945</v>
      </c>
      <c r="B154" s="505">
        <f>(B133*B61*B66*(B13/100))-((B138-B136)*B66*(B13/100))</f>
        <v>63957600</v>
      </c>
      <c r="C154" s="112" t="s">
        <v>385</v>
      </c>
      <c r="D154" s="101" t="s">
        <v>1005</v>
      </c>
      <c r="E154" s="99"/>
    </row>
    <row r="155" spans="1:7" ht="30.75" customHeight="1" x14ac:dyDescent="0.25">
      <c r="A155" s="699"/>
      <c r="B155" s="504">
        <f>B133*B61-(B138-B136)</f>
        <v>71.064000000000007</v>
      </c>
      <c r="C155" s="112" t="s">
        <v>827</v>
      </c>
      <c r="D155" s="101" t="s">
        <v>1005</v>
      </c>
      <c r="E155" s="99"/>
      <c r="G155" s="45" t="s">
        <v>306</v>
      </c>
    </row>
    <row r="156" spans="1:7" ht="30.75" customHeight="1" x14ac:dyDescent="0.25">
      <c r="A156" s="699" t="s">
        <v>946</v>
      </c>
      <c r="B156" s="505">
        <f>(B134/1000)*B64*B66*(B13/100)</f>
        <v>4710600</v>
      </c>
      <c r="C156" s="112" t="s">
        <v>385</v>
      </c>
      <c r="D156" s="101"/>
      <c r="E156" s="99"/>
    </row>
    <row r="157" spans="1:7" ht="30.75" customHeight="1" x14ac:dyDescent="0.25">
      <c r="A157" s="699"/>
      <c r="B157" s="504">
        <f>(B134/1000)*B64</f>
        <v>5.234</v>
      </c>
      <c r="C157" s="112" t="s">
        <v>827</v>
      </c>
      <c r="D157" s="101"/>
      <c r="E157" s="435" t="s">
        <v>950</v>
      </c>
    </row>
    <row r="158" spans="1:7" ht="30.75" customHeight="1" x14ac:dyDescent="0.25">
      <c r="A158" s="693" t="s">
        <v>768</v>
      </c>
      <c r="B158" s="125">
        <f>B141*B24*B26*(B13/100)</f>
        <v>0</v>
      </c>
      <c r="C158" s="112" t="s">
        <v>385</v>
      </c>
      <c r="D158" s="101"/>
      <c r="E158" s="99"/>
    </row>
    <row r="159" spans="1:7" ht="30.75" customHeight="1" x14ac:dyDescent="0.25">
      <c r="A159" s="694"/>
      <c r="B159" s="374">
        <f>B141*B24</f>
        <v>0</v>
      </c>
      <c r="C159" s="112" t="s">
        <v>827</v>
      </c>
      <c r="D159" s="101"/>
      <c r="E159" s="99"/>
    </row>
    <row r="160" spans="1:7" ht="30.75" customHeight="1" x14ac:dyDescent="0.25">
      <c r="A160" s="693" t="s">
        <v>770</v>
      </c>
      <c r="B160" s="125">
        <f>B142*B24*B26*(B13/100)</f>
        <v>0</v>
      </c>
      <c r="C160" s="112" t="s">
        <v>385</v>
      </c>
      <c r="D160" s="101"/>
      <c r="E160" s="99"/>
    </row>
    <row r="161" spans="1:7" ht="30.75" customHeight="1" x14ac:dyDescent="0.25">
      <c r="A161" s="694"/>
      <c r="B161" s="374">
        <f>B142*B24</f>
        <v>0</v>
      </c>
      <c r="C161" s="112" t="s">
        <v>827</v>
      </c>
      <c r="D161" s="101"/>
      <c r="E161" s="99"/>
    </row>
    <row r="162" spans="1:7" ht="30.75" customHeight="1" x14ac:dyDescent="0.25">
      <c r="A162" s="112" t="s">
        <v>528</v>
      </c>
      <c r="B162" s="374">
        <f>B145+B147+B149+B151+B159+B161</f>
        <v>303.62535000000003</v>
      </c>
      <c r="C162" s="112" t="s">
        <v>827</v>
      </c>
      <c r="D162" s="92"/>
      <c r="E162" s="124"/>
    </row>
    <row r="163" spans="1:7" ht="26.25" customHeight="1" x14ac:dyDescent="0.25">
      <c r="A163" s="112" t="s">
        <v>529</v>
      </c>
      <c r="B163" s="374">
        <f>B153+B155+B157</f>
        <v>592.83800000000008</v>
      </c>
      <c r="C163" s="112" t="s">
        <v>827</v>
      </c>
      <c r="D163" s="92"/>
      <c r="E163" s="124"/>
    </row>
    <row r="164" spans="1:7" ht="30" customHeight="1" x14ac:dyDescent="0.25">
      <c r="A164" s="112" t="s">
        <v>530</v>
      </c>
      <c r="B164" s="375">
        <f>B162+B163</f>
        <v>896.4633500000001</v>
      </c>
      <c r="C164" s="112" t="s">
        <v>827</v>
      </c>
      <c r="D164" s="92"/>
      <c r="E164" s="124"/>
      <c r="G164" s="513"/>
    </row>
    <row r="165" spans="1:7" x14ac:dyDescent="0.25">
      <c r="A165" s="103" t="s">
        <v>841</v>
      </c>
      <c r="B165" s="103"/>
      <c r="C165" s="103"/>
      <c r="D165" s="103"/>
      <c r="E165" s="117"/>
    </row>
    <row r="166" spans="1:7" ht="30" customHeight="1" x14ac:dyDescent="0.25">
      <c r="A166" s="92" t="s">
        <v>841</v>
      </c>
      <c r="B166" s="109">
        <f>B12*(B13/100)</f>
        <v>900000</v>
      </c>
      <c r="C166" s="92" t="s">
        <v>842</v>
      </c>
      <c r="D166" s="92" t="s">
        <v>660</v>
      </c>
      <c r="E166" s="92"/>
    </row>
    <row r="167" spans="1:7" x14ac:dyDescent="0.25">
      <c r="A167" s="118" t="s">
        <v>251</v>
      </c>
      <c r="B167" s="119"/>
      <c r="C167" s="119"/>
      <c r="D167" s="119"/>
      <c r="E167" s="120"/>
    </row>
    <row r="168" spans="1:7" x14ac:dyDescent="0.25">
      <c r="A168" s="103" t="s">
        <v>94</v>
      </c>
      <c r="B168" s="103"/>
      <c r="C168" s="103"/>
      <c r="D168" s="103"/>
      <c r="E168" s="117"/>
    </row>
    <row r="169" spans="1:7" ht="29.25" customHeight="1" x14ac:dyDescent="0.25">
      <c r="A169" s="92" t="s">
        <v>836</v>
      </c>
      <c r="B169" s="109">
        <f>B30*(B8/100)</f>
        <v>7810032.4515034379</v>
      </c>
      <c r="C169" s="92" t="s">
        <v>261</v>
      </c>
      <c r="D169" s="92"/>
      <c r="E169" s="92"/>
    </row>
    <row r="170" spans="1:7" ht="30.75" customHeight="1" x14ac:dyDescent="0.25">
      <c r="A170" s="92" t="s">
        <v>828</v>
      </c>
      <c r="B170" s="109">
        <f>B38*(B8/100)</f>
        <v>6756581.8575754473</v>
      </c>
      <c r="C170" s="92" t="s">
        <v>261</v>
      </c>
      <c r="D170" s="92"/>
      <c r="E170" s="92"/>
    </row>
    <row r="171" spans="1:7" ht="30.75" customHeight="1" x14ac:dyDescent="0.25">
      <c r="A171" s="92" t="s">
        <v>829</v>
      </c>
      <c r="B171" s="109">
        <f>B46*(B8/100)</f>
        <v>958883.87933167338</v>
      </c>
      <c r="C171" s="92" t="s">
        <v>261</v>
      </c>
      <c r="D171" s="92"/>
      <c r="E171" s="92"/>
    </row>
    <row r="172" spans="1:7" ht="30.75" customHeight="1" x14ac:dyDescent="0.25">
      <c r="A172" s="92" t="s">
        <v>830</v>
      </c>
      <c r="B172" s="94">
        <f>B54*(B8/100)</f>
        <v>94621.025784926343</v>
      </c>
      <c r="C172" s="92" t="s">
        <v>261</v>
      </c>
      <c r="D172" s="92"/>
      <c r="E172" s="92"/>
    </row>
    <row r="173" spans="1:7" ht="33.75" customHeight="1" x14ac:dyDescent="0.25">
      <c r="A173" s="92" t="s">
        <v>952</v>
      </c>
      <c r="B173" s="94">
        <f>B70*(B8/100)</f>
        <v>12954991.471249441</v>
      </c>
      <c r="C173" s="92" t="s">
        <v>261</v>
      </c>
      <c r="D173" s="92"/>
      <c r="E173" s="92"/>
    </row>
    <row r="174" spans="1:7" ht="33.75" customHeight="1" x14ac:dyDescent="0.25">
      <c r="A174" s="92" t="s">
        <v>1267</v>
      </c>
      <c r="B174" s="94">
        <f>B77*(B8/100)</f>
        <v>5052936.2645832021</v>
      </c>
      <c r="C174" s="92" t="s">
        <v>261</v>
      </c>
      <c r="D174" s="92"/>
      <c r="E174" s="92"/>
    </row>
    <row r="175" spans="1:7" ht="33" customHeight="1" x14ac:dyDescent="0.25">
      <c r="A175" s="92" t="s">
        <v>837</v>
      </c>
      <c r="B175" s="94">
        <f>B88*(B8/100)</f>
        <v>638780.05218841601</v>
      </c>
      <c r="C175" s="92" t="s">
        <v>261</v>
      </c>
      <c r="D175" s="92"/>
      <c r="E175" s="92"/>
    </row>
    <row r="176" spans="1:7" ht="33" customHeight="1" x14ac:dyDescent="0.25">
      <c r="A176" s="92" t="s">
        <v>838</v>
      </c>
      <c r="B176" s="94">
        <f>B101*(B8/100)</f>
        <v>3657917.4557407694</v>
      </c>
      <c r="C176" s="92" t="s">
        <v>261</v>
      </c>
      <c r="D176" s="92"/>
      <c r="E176" s="92"/>
    </row>
    <row r="177" spans="1:5" ht="33" customHeight="1" x14ac:dyDescent="0.25">
      <c r="A177" s="92" t="s">
        <v>839</v>
      </c>
      <c r="B177" s="94">
        <f>B106*(B8/100)</f>
        <v>5518730.6898024073</v>
      </c>
      <c r="C177" s="92" t="s">
        <v>261</v>
      </c>
      <c r="D177" s="92"/>
      <c r="E177" s="92"/>
    </row>
    <row r="178" spans="1:5" ht="31.5" customHeight="1" x14ac:dyDescent="0.25">
      <c r="A178" s="92" t="s">
        <v>840</v>
      </c>
      <c r="B178" s="94">
        <f>B111*(B8/100)</f>
        <v>9134257.8099588156</v>
      </c>
      <c r="C178" s="92" t="s">
        <v>261</v>
      </c>
      <c r="D178" s="92"/>
      <c r="E178" s="92"/>
    </row>
    <row r="179" spans="1:5" ht="31.5" customHeight="1" x14ac:dyDescent="0.25">
      <c r="A179" s="92" t="s">
        <v>758</v>
      </c>
      <c r="B179" s="94">
        <f>SUM(B169:B178)*(B123/100)</f>
        <v>0</v>
      </c>
      <c r="C179" s="92" t="s">
        <v>261</v>
      </c>
      <c r="D179" s="92"/>
      <c r="E179" s="92"/>
    </row>
    <row r="180" spans="1:5" ht="31.5" customHeight="1" x14ac:dyDescent="0.25">
      <c r="A180" s="92" t="s">
        <v>761</v>
      </c>
      <c r="B180" s="94">
        <f>SUM(B169:B178)*(B124/100)</f>
        <v>0</v>
      </c>
      <c r="C180" s="92" t="s">
        <v>261</v>
      </c>
      <c r="D180" s="92"/>
      <c r="E180" s="92"/>
    </row>
    <row r="181" spans="1:5" ht="31.5" customHeight="1" x14ac:dyDescent="0.25">
      <c r="A181" s="92" t="s">
        <v>763</v>
      </c>
      <c r="B181" s="94">
        <f>B125*(B8/100)</f>
        <v>0</v>
      </c>
      <c r="C181" s="92" t="s">
        <v>261</v>
      </c>
      <c r="D181" s="92"/>
      <c r="E181" s="92"/>
    </row>
    <row r="182" spans="1:5" x14ac:dyDescent="0.25">
      <c r="A182" s="103" t="s">
        <v>843</v>
      </c>
      <c r="B182" s="103"/>
      <c r="C182" s="103"/>
      <c r="D182" s="103"/>
      <c r="E182" s="117"/>
    </row>
    <row r="183" spans="1:5" ht="31.5" customHeight="1" x14ac:dyDescent="0.25">
      <c r="A183" s="121" t="s">
        <v>1037</v>
      </c>
      <c r="B183" s="227">
        <f>B95</f>
        <v>3981311.9999999995</v>
      </c>
      <c r="C183" s="121" t="s">
        <v>261</v>
      </c>
      <c r="D183" s="121"/>
      <c r="E183" s="122"/>
    </row>
    <row r="184" spans="1:5" ht="31.5" customHeight="1" x14ac:dyDescent="0.25">
      <c r="A184" s="121" t="s">
        <v>804</v>
      </c>
      <c r="B184" s="125">
        <f>(B31/100)*B30</f>
        <v>1453725.2150283507</v>
      </c>
      <c r="C184" s="121" t="s">
        <v>261</v>
      </c>
      <c r="D184" s="121"/>
      <c r="E184" s="122"/>
    </row>
    <row r="185" spans="1:5" ht="31.5" customHeight="1" x14ac:dyDescent="0.25">
      <c r="A185" s="121" t="s">
        <v>805</v>
      </c>
      <c r="B185" s="125">
        <f>(B39/100)*B38</f>
        <v>1257640.5379557337</v>
      </c>
      <c r="C185" s="121" t="s">
        <v>261</v>
      </c>
      <c r="D185" s="121"/>
      <c r="E185" s="122"/>
    </row>
    <row r="186" spans="1:5" ht="33" customHeight="1" x14ac:dyDescent="0.25">
      <c r="A186" s="121" t="s">
        <v>806</v>
      </c>
      <c r="B186" s="125">
        <f>(B47/100)*B46</f>
        <v>178482.44323239895</v>
      </c>
      <c r="C186" s="121" t="s">
        <v>261</v>
      </c>
      <c r="D186" s="121"/>
      <c r="E186" s="122"/>
    </row>
    <row r="187" spans="1:5" ht="31.5" customHeight="1" x14ac:dyDescent="0.25">
      <c r="A187" s="121" t="s">
        <v>807</v>
      </c>
      <c r="B187" s="125">
        <f>(B55/100)*B54</f>
        <v>17612.343086860812</v>
      </c>
      <c r="C187" s="121" t="s">
        <v>261</v>
      </c>
      <c r="D187" s="121"/>
      <c r="E187" s="122"/>
    </row>
    <row r="188" spans="1:5" ht="31.5" customHeight="1" x14ac:dyDescent="0.25">
      <c r="A188" s="121" t="s">
        <v>953</v>
      </c>
      <c r="B188" s="125">
        <f>(B71/100)*B70</f>
        <v>4822770.6809610436</v>
      </c>
      <c r="C188" s="121" t="s">
        <v>261</v>
      </c>
      <c r="D188" s="121"/>
      <c r="E188" s="122"/>
    </row>
    <row r="189" spans="1:5" ht="31.5" customHeight="1" x14ac:dyDescent="0.25">
      <c r="A189" s="121" t="s">
        <v>1268</v>
      </c>
      <c r="B189" s="125">
        <f>(B78/100)*B77</f>
        <v>5016167.5363874575</v>
      </c>
      <c r="C189" s="121" t="s">
        <v>261</v>
      </c>
      <c r="D189" s="121"/>
      <c r="E189" s="122"/>
    </row>
    <row r="190" spans="1:5" ht="31.5" x14ac:dyDescent="0.25">
      <c r="A190" s="486" t="s">
        <v>808</v>
      </c>
      <c r="B190" s="125">
        <f>(B89/100)*B88</f>
        <v>198166.19937020191</v>
      </c>
      <c r="C190" s="121" t="s">
        <v>261</v>
      </c>
      <c r="D190" s="121"/>
      <c r="E190" s="122"/>
    </row>
    <row r="191" spans="1:5" ht="30" customHeight="1" x14ac:dyDescent="0.25">
      <c r="A191" s="425" t="s">
        <v>765</v>
      </c>
      <c r="B191" s="375">
        <f>B126</f>
        <v>0</v>
      </c>
      <c r="C191" s="121" t="s">
        <v>261</v>
      </c>
      <c r="D191" s="121"/>
      <c r="E191" s="122"/>
    </row>
    <row r="192" spans="1:5" ht="27.75" customHeight="1" x14ac:dyDescent="0.25">
      <c r="A192" s="92" t="s">
        <v>89</v>
      </c>
      <c r="B192" s="375">
        <f>B127</f>
        <v>0</v>
      </c>
      <c r="C192" s="121" t="s">
        <v>261</v>
      </c>
      <c r="D192" s="121"/>
      <c r="E192" s="122"/>
    </row>
    <row r="193" spans="1:5" x14ac:dyDescent="0.25">
      <c r="A193" s="103" t="s">
        <v>844</v>
      </c>
      <c r="B193" s="103"/>
      <c r="C193" s="103"/>
      <c r="D193" s="103"/>
      <c r="E193" s="117"/>
    </row>
    <row r="194" spans="1:5" ht="33.75" customHeight="1" x14ac:dyDescent="0.25">
      <c r="A194" s="428" t="s">
        <v>742</v>
      </c>
      <c r="B194" s="128">
        <f>B115*B24*B26*(B13/100)</f>
        <v>0</v>
      </c>
      <c r="C194" s="92" t="s">
        <v>261</v>
      </c>
      <c r="D194" s="92"/>
      <c r="E194" s="92"/>
    </row>
    <row r="195" spans="1:5" ht="30.75" customHeight="1" x14ac:dyDescent="0.25">
      <c r="A195" s="487" t="s">
        <v>849</v>
      </c>
      <c r="B195" s="128">
        <f>B116*B19*B26*(B13/100)</f>
        <v>75059999.999999985</v>
      </c>
      <c r="C195" s="92" t="s">
        <v>261</v>
      </c>
      <c r="D195" s="92"/>
      <c r="E195" s="92"/>
    </row>
    <row r="196" spans="1:5" ht="25.5" customHeight="1" x14ac:dyDescent="0.25">
      <c r="A196" s="488" t="s">
        <v>813</v>
      </c>
      <c r="B196" s="128">
        <f>B117*B21*B26*(B13/100)</f>
        <v>5229000.0000000009</v>
      </c>
      <c r="C196" s="92" t="s">
        <v>261</v>
      </c>
      <c r="D196" s="92"/>
      <c r="E196" s="92"/>
    </row>
    <row r="197" spans="1:5" ht="30.75" customHeight="1" x14ac:dyDescent="0.25">
      <c r="A197" s="313" t="s">
        <v>954</v>
      </c>
      <c r="B197" s="128">
        <f>B117*B58*B66*(B13/100)</f>
        <v>28386000.000000004</v>
      </c>
      <c r="C197" s="92" t="s">
        <v>261</v>
      </c>
      <c r="D197" s="92"/>
      <c r="E197" s="92"/>
    </row>
    <row r="198" spans="1:5" ht="30.75" customHeight="1" x14ac:dyDescent="0.25">
      <c r="A198" s="313" t="s">
        <v>1269</v>
      </c>
      <c r="B198" s="128">
        <f>B117*B59*B73*(B13/100)</f>
        <v>747000.00000000012</v>
      </c>
      <c r="C198" s="92" t="s">
        <v>261</v>
      </c>
      <c r="D198" s="92"/>
      <c r="E198" s="92"/>
    </row>
    <row r="199" spans="1:5" ht="30.75" customHeight="1" x14ac:dyDescent="0.25">
      <c r="A199" s="313" t="s">
        <v>955</v>
      </c>
      <c r="B199" s="128">
        <f>B118*B60*B66*(B13/100)</f>
        <v>3600000</v>
      </c>
      <c r="C199" s="92" t="s">
        <v>261</v>
      </c>
      <c r="D199" s="92"/>
      <c r="E199" s="92"/>
    </row>
    <row r="200" spans="1:5" ht="30.75" customHeight="1" x14ac:dyDescent="0.25">
      <c r="A200" s="313" t="s">
        <v>942</v>
      </c>
      <c r="B200" s="128">
        <f>B119*B61*B66*(B13/100)</f>
        <v>4131000</v>
      </c>
      <c r="C200" s="92" t="s">
        <v>261</v>
      </c>
      <c r="D200" s="92"/>
      <c r="E200" s="92"/>
    </row>
    <row r="201" spans="1:5" ht="30.75" customHeight="1" x14ac:dyDescent="0.25">
      <c r="A201" s="313" t="s">
        <v>925</v>
      </c>
      <c r="B201" s="128">
        <f>B121*B66*B64*(B13/100)</f>
        <v>7200000</v>
      </c>
      <c r="C201" s="92" t="s">
        <v>261</v>
      </c>
      <c r="D201" s="92"/>
      <c r="E201" s="92"/>
    </row>
    <row r="202" spans="1:5" ht="30.75" customHeight="1" x14ac:dyDescent="0.25">
      <c r="A202" s="313" t="s">
        <v>956</v>
      </c>
      <c r="B202" s="128">
        <f>B120*B62*B66*(B13/100)</f>
        <v>5400000</v>
      </c>
      <c r="C202" s="92" t="s">
        <v>261</v>
      </c>
      <c r="D202" s="92"/>
      <c r="E202" s="92"/>
    </row>
    <row r="203" spans="1:5" ht="27.75" customHeight="1" x14ac:dyDescent="0.25">
      <c r="A203" s="313" t="s">
        <v>815</v>
      </c>
      <c r="B203" s="128">
        <f>B117*B81*B84*(B13/100)</f>
        <v>1639291.5</v>
      </c>
      <c r="C203" s="92" t="s">
        <v>261</v>
      </c>
      <c r="D203" s="92"/>
      <c r="E203" s="92"/>
    </row>
    <row r="204" spans="1:5" ht="30" customHeight="1" x14ac:dyDescent="0.25">
      <c r="A204" s="313" t="s">
        <v>765</v>
      </c>
      <c r="B204" s="489">
        <f>B126*(B8/100)</f>
        <v>0</v>
      </c>
      <c r="C204" s="92" t="s">
        <v>261</v>
      </c>
      <c r="D204" s="92"/>
      <c r="E204" s="92"/>
    </row>
    <row r="205" spans="1:5" ht="32.25" customHeight="1" x14ac:dyDescent="0.25">
      <c r="A205" s="92" t="s">
        <v>89</v>
      </c>
      <c r="B205" s="109">
        <f>B127*(B8/100)</f>
        <v>0</v>
      </c>
      <c r="C205" s="92" t="s">
        <v>261</v>
      </c>
      <c r="D205" s="92"/>
      <c r="E205" s="92"/>
    </row>
    <row r="206" spans="1:5" ht="30.75" customHeight="1" x14ac:dyDescent="0.25">
      <c r="A206" s="92" t="s">
        <v>649</v>
      </c>
      <c r="B206" s="109">
        <f>B130*B163*B166/1000</f>
        <v>0</v>
      </c>
      <c r="C206" s="92" t="s">
        <v>261</v>
      </c>
      <c r="D206" s="92" t="s">
        <v>650</v>
      </c>
      <c r="E206" s="92"/>
    </row>
    <row r="207" spans="1:5" x14ac:dyDescent="0.25">
      <c r="A207" s="103" t="s">
        <v>495</v>
      </c>
      <c r="B207" s="103"/>
      <c r="C207" s="103"/>
      <c r="D207" s="103"/>
      <c r="E207" s="117"/>
    </row>
    <row r="208" spans="1:5" ht="30.75" customHeight="1" x14ac:dyDescent="0.25">
      <c r="A208" s="268" t="s">
        <v>846</v>
      </c>
      <c r="B208" s="493">
        <f>B19+B21</f>
        <v>2850</v>
      </c>
      <c r="C208" s="92" t="s">
        <v>791</v>
      </c>
      <c r="D208" s="92"/>
      <c r="E208" s="218"/>
    </row>
    <row r="209" spans="1:5" ht="30.75" customHeight="1" x14ac:dyDescent="0.25">
      <c r="A209" s="268" t="s">
        <v>848</v>
      </c>
      <c r="B209" s="495">
        <f>B81*B83</f>
        <v>21.945</v>
      </c>
      <c r="C209" s="92" t="s">
        <v>791</v>
      </c>
      <c r="D209" s="92"/>
      <c r="E209" s="218"/>
    </row>
    <row r="210" spans="1:5" ht="30.75" customHeight="1" x14ac:dyDescent="0.25">
      <c r="A210" s="101" t="s">
        <v>957</v>
      </c>
      <c r="B210" s="493">
        <f>B58</f>
        <v>380</v>
      </c>
      <c r="C210" s="92" t="s">
        <v>791</v>
      </c>
      <c r="D210" s="92"/>
      <c r="E210" s="218"/>
    </row>
    <row r="211" spans="1:5" ht="30.75" customHeight="1" x14ac:dyDescent="0.25">
      <c r="A211" s="101" t="s">
        <v>1270</v>
      </c>
      <c r="B211" s="493">
        <f>B59</f>
        <v>10</v>
      </c>
      <c r="C211" s="92" t="s">
        <v>791</v>
      </c>
      <c r="D211" s="92"/>
      <c r="E211" s="218"/>
    </row>
    <row r="212" spans="1:5" ht="30.75" customHeight="1" x14ac:dyDescent="0.25">
      <c r="A212" s="268" t="s">
        <v>845</v>
      </c>
      <c r="B212" s="604">
        <f>SUM(B208:B211)</f>
        <v>3261.9450000000002</v>
      </c>
      <c r="C212" s="92" t="s">
        <v>791</v>
      </c>
      <c r="D212" s="92"/>
      <c r="E212" s="218"/>
    </row>
    <row r="213" spans="1:5" x14ac:dyDescent="0.25">
      <c r="A213" s="103" t="s">
        <v>258</v>
      </c>
      <c r="B213" s="103"/>
      <c r="C213" s="103"/>
      <c r="D213" s="103"/>
      <c r="E213" s="117"/>
    </row>
    <row r="214" spans="1:5" ht="36" customHeight="1" x14ac:dyDescent="0.25">
      <c r="A214" s="123" t="s">
        <v>908</v>
      </c>
      <c r="B214" s="197">
        <f t="shared" ref="B214:B226" si="0">B169/$B$166</f>
        <v>8.6778138350038194</v>
      </c>
      <c r="C214" s="92" t="s">
        <v>858</v>
      </c>
      <c r="D214" s="113"/>
      <c r="E214" s="455"/>
    </row>
    <row r="215" spans="1:5" ht="34.5" customHeight="1" x14ac:dyDescent="0.25">
      <c r="A215" s="123" t="s">
        <v>909</v>
      </c>
      <c r="B215" s="197">
        <f t="shared" si="0"/>
        <v>7.50731317508383</v>
      </c>
      <c r="C215" s="92" t="s">
        <v>858</v>
      </c>
      <c r="D215" s="113"/>
      <c r="E215" s="455"/>
    </row>
    <row r="216" spans="1:5" ht="31.5" x14ac:dyDescent="0.25">
      <c r="A216" s="123" t="s">
        <v>910</v>
      </c>
      <c r="B216" s="197">
        <f t="shared" si="0"/>
        <v>1.0654265325907482</v>
      </c>
      <c r="C216" s="92" t="s">
        <v>858</v>
      </c>
      <c r="D216" s="113"/>
      <c r="E216" s="455"/>
    </row>
    <row r="217" spans="1:5" ht="33.75" customHeight="1" x14ac:dyDescent="0.25">
      <c r="A217" s="123" t="s">
        <v>911</v>
      </c>
      <c r="B217" s="197">
        <f t="shared" si="0"/>
        <v>0.10513447309436261</v>
      </c>
      <c r="C217" s="92" t="s">
        <v>858</v>
      </c>
      <c r="D217" s="113"/>
      <c r="E217" s="455"/>
    </row>
    <row r="218" spans="1:5" ht="30.75" customHeight="1" x14ac:dyDescent="0.25">
      <c r="A218" s="123" t="s">
        <v>958</v>
      </c>
      <c r="B218" s="197">
        <f t="shared" si="0"/>
        <v>14.394434968054934</v>
      </c>
      <c r="C218" s="92" t="s">
        <v>858</v>
      </c>
      <c r="D218" s="113"/>
      <c r="E218" s="455"/>
    </row>
    <row r="219" spans="1:5" ht="30.75" customHeight="1" x14ac:dyDescent="0.25">
      <c r="A219" s="123" t="s">
        <v>1271</v>
      </c>
      <c r="B219" s="197">
        <f t="shared" si="0"/>
        <v>5.6143736273146692</v>
      </c>
      <c r="C219" s="92" t="s">
        <v>858</v>
      </c>
      <c r="D219" s="113"/>
      <c r="E219" s="455"/>
    </row>
    <row r="220" spans="1:5" ht="33.75" customHeight="1" x14ac:dyDescent="0.25">
      <c r="A220" s="123" t="s">
        <v>913</v>
      </c>
      <c r="B220" s="197">
        <f t="shared" si="0"/>
        <v>0.70975561354268446</v>
      </c>
      <c r="C220" s="92" t="s">
        <v>858</v>
      </c>
      <c r="D220" s="113"/>
      <c r="E220" s="455"/>
    </row>
    <row r="221" spans="1:5" ht="32.25" customHeight="1" x14ac:dyDescent="0.25">
      <c r="A221" s="123" t="s">
        <v>914</v>
      </c>
      <c r="B221" s="197">
        <f t="shared" si="0"/>
        <v>4.0643527286008547</v>
      </c>
      <c r="C221" s="92" t="s">
        <v>858</v>
      </c>
      <c r="D221" s="113"/>
      <c r="E221" s="455"/>
    </row>
    <row r="222" spans="1:5" ht="34.5" customHeight="1" x14ac:dyDescent="0.25">
      <c r="A222" s="123" t="s">
        <v>915</v>
      </c>
      <c r="B222" s="197">
        <f t="shared" si="0"/>
        <v>6.1319229886693414</v>
      </c>
      <c r="C222" s="92" t="s">
        <v>858</v>
      </c>
      <c r="D222" s="113"/>
      <c r="E222" s="455"/>
    </row>
    <row r="223" spans="1:5" ht="33.75" customHeight="1" x14ac:dyDescent="0.25">
      <c r="A223" s="123" t="s">
        <v>916</v>
      </c>
      <c r="B223" s="197">
        <f t="shared" si="0"/>
        <v>10.149175344398683</v>
      </c>
      <c r="C223" s="92" t="s">
        <v>858</v>
      </c>
      <c r="D223" s="113"/>
      <c r="E223" s="455"/>
    </row>
    <row r="224" spans="1:5" ht="36" customHeight="1" x14ac:dyDescent="0.25">
      <c r="A224" s="123" t="s">
        <v>917</v>
      </c>
      <c r="B224" s="197">
        <f t="shared" si="0"/>
        <v>0</v>
      </c>
      <c r="C224" s="92" t="s">
        <v>858</v>
      </c>
      <c r="D224" s="113"/>
      <c r="E224" s="455"/>
    </row>
    <row r="225" spans="1:7" ht="32.25" customHeight="1" x14ac:dyDescent="0.25">
      <c r="A225" s="123" t="s">
        <v>918</v>
      </c>
      <c r="B225" s="197">
        <f t="shared" si="0"/>
        <v>0</v>
      </c>
      <c r="C225" s="92" t="s">
        <v>858</v>
      </c>
      <c r="D225" s="113"/>
      <c r="E225" s="455"/>
    </row>
    <row r="226" spans="1:7" ht="33.75" customHeight="1" x14ac:dyDescent="0.25">
      <c r="A226" s="123" t="s">
        <v>919</v>
      </c>
      <c r="B226" s="197">
        <f t="shared" si="0"/>
        <v>0</v>
      </c>
      <c r="C226" s="92" t="s">
        <v>858</v>
      </c>
      <c r="D226" s="113"/>
      <c r="E226" s="455"/>
    </row>
    <row r="227" spans="1:7" ht="33.75" customHeight="1" x14ac:dyDescent="0.25">
      <c r="A227" s="486" t="s">
        <v>1038</v>
      </c>
      <c r="B227" s="197">
        <f>B183/$B$166</f>
        <v>4.4236799999999992</v>
      </c>
      <c r="C227" s="92" t="s">
        <v>858</v>
      </c>
      <c r="D227" s="113"/>
      <c r="E227" s="455"/>
    </row>
    <row r="228" spans="1:7" ht="33.75" customHeight="1" x14ac:dyDescent="0.25">
      <c r="A228" s="486" t="s">
        <v>904</v>
      </c>
      <c r="B228" s="197">
        <f>(B184+B185+B186+B187+B188+B189+B190)/$B$166</f>
        <v>14.382849951135608</v>
      </c>
      <c r="C228" s="92" t="s">
        <v>858</v>
      </c>
      <c r="D228" s="113"/>
      <c r="E228" s="455"/>
    </row>
    <row r="229" spans="1:7" ht="38.25" customHeight="1" x14ac:dyDescent="0.25">
      <c r="A229" s="123" t="s">
        <v>855</v>
      </c>
      <c r="B229" s="197">
        <f>B191/$B$166</f>
        <v>0</v>
      </c>
      <c r="C229" s="92" t="s">
        <v>858</v>
      </c>
      <c r="D229" s="113"/>
      <c r="E229" s="455"/>
    </row>
    <row r="230" spans="1:7" ht="34.5" customHeight="1" x14ac:dyDescent="0.25">
      <c r="A230" s="123" t="s">
        <v>856</v>
      </c>
      <c r="B230" s="197">
        <f>B192/$B$166</f>
        <v>0</v>
      </c>
      <c r="C230" s="92" t="s">
        <v>858</v>
      </c>
      <c r="D230" s="113"/>
      <c r="E230" s="455"/>
    </row>
    <row r="231" spans="1:7" ht="30.75" customHeight="1" x14ac:dyDescent="0.25">
      <c r="A231" s="496" t="s">
        <v>920</v>
      </c>
      <c r="B231" s="197">
        <f t="shared" ref="B231:B239" si="1">B194/$B$166</f>
        <v>0</v>
      </c>
      <c r="C231" s="92" t="s">
        <v>858</v>
      </c>
      <c r="D231" s="113"/>
      <c r="E231" s="455"/>
    </row>
    <row r="232" spans="1:7" ht="33.75" customHeight="1" x14ac:dyDescent="0.25">
      <c r="A232" s="496" t="s">
        <v>851</v>
      </c>
      <c r="B232" s="197">
        <f>B195/$B$166</f>
        <v>83.399999999999977</v>
      </c>
      <c r="C232" s="92" t="s">
        <v>858</v>
      </c>
      <c r="D232" s="113"/>
      <c r="E232" s="455"/>
    </row>
    <row r="233" spans="1:7" ht="35.25" customHeight="1" x14ac:dyDescent="0.25">
      <c r="A233" s="497" t="s">
        <v>852</v>
      </c>
      <c r="B233" s="197">
        <f t="shared" si="1"/>
        <v>5.8100000000000014</v>
      </c>
      <c r="C233" s="92" t="s">
        <v>858</v>
      </c>
      <c r="D233" s="113"/>
      <c r="E233" s="455"/>
    </row>
    <row r="234" spans="1:7" ht="33.75" customHeight="1" x14ac:dyDescent="0.25">
      <c r="A234" s="314" t="s">
        <v>959</v>
      </c>
      <c r="B234" s="197">
        <f t="shared" si="1"/>
        <v>31.540000000000003</v>
      </c>
      <c r="C234" s="92" t="s">
        <v>858</v>
      </c>
      <c r="D234" s="113"/>
      <c r="E234" s="455"/>
    </row>
    <row r="235" spans="1:7" ht="33.75" customHeight="1" x14ac:dyDescent="0.25">
      <c r="A235" s="314" t="s">
        <v>1272</v>
      </c>
      <c r="B235" s="197">
        <f t="shared" si="1"/>
        <v>0.83000000000000018</v>
      </c>
      <c r="C235" s="92" t="s">
        <v>858</v>
      </c>
      <c r="D235" s="113"/>
      <c r="E235" s="455"/>
    </row>
    <row r="236" spans="1:7" ht="33.75" customHeight="1" x14ac:dyDescent="0.25">
      <c r="A236" s="313" t="s">
        <v>960</v>
      </c>
      <c r="B236" s="197">
        <f t="shared" si="1"/>
        <v>4</v>
      </c>
      <c r="C236" s="92" t="s">
        <v>858</v>
      </c>
      <c r="D236" s="113"/>
      <c r="E236" s="455"/>
    </row>
    <row r="237" spans="1:7" ht="33.75" customHeight="1" x14ac:dyDescent="0.25">
      <c r="A237" s="313" t="s">
        <v>961</v>
      </c>
      <c r="B237" s="197">
        <f t="shared" si="1"/>
        <v>4.59</v>
      </c>
      <c r="C237" s="92" t="s">
        <v>858</v>
      </c>
      <c r="D237" s="113"/>
      <c r="E237" s="455"/>
    </row>
    <row r="238" spans="1:7" ht="33.75" customHeight="1" x14ac:dyDescent="0.25">
      <c r="A238" s="314" t="s">
        <v>962</v>
      </c>
      <c r="B238" s="197">
        <f t="shared" si="1"/>
        <v>8</v>
      </c>
      <c r="C238" s="92" t="s">
        <v>858</v>
      </c>
      <c r="D238" s="113"/>
      <c r="E238" s="455"/>
      <c r="G238" s="349"/>
    </row>
    <row r="239" spans="1:7" ht="33.75" customHeight="1" x14ac:dyDescent="0.25">
      <c r="A239" s="313" t="s">
        <v>963</v>
      </c>
      <c r="B239" s="197">
        <f t="shared" si="1"/>
        <v>6</v>
      </c>
      <c r="C239" s="92" t="s">
        <v>858</v>
      </c>
      <c r="D239" s="113"/>
      <c r="E239" s="455"/>
    </row>
    <row r="240" spans="1:7" ht="33" customHeight="1" x14ac:dyDescent="0.25">
      <c r="A240" s="314" t="s">
        <v>854</v>
      </c>
      <c r="B240" s="197">
        <f t="shared" ref="B240:B243" si="2">B203/$B$166</f>
        <v>1.8214349999999999</v>
      </c>
      <c r="C240" s="92" t="s">
        <v>858</v>
      </c>
      <c r="D240" s="113"/>
      <c r="E240" s="455"/>
    </row>
    <row r="241" spans="1:5" ht="36" customHeight="1" x14ac:dyDescent="0.25">
      <c r="A241" s="314" t="s">
        <v>855</v>
      </c>
      <c r="B241" s="197">
        <f t="shared" si="2"/>
        <v>0</v>
      </c>
      <c r="C241" s="92" t="s">
        <v>858</v>
      </c>
      <c r="D241" s="113"/>
      <c r="E241" s="455"/>
    </row>
    <row r="242" spans="1:5" ht="33.75" customHeight="1" x14ac:dyDescent="0.25">
      <c r="A242" s="123" t="s">
        <v>856</v>
      </c>
      <c r="B242" s="197">
        <f t="shared" si="2"/>
        <v>0</v>
      </c>
      <c r="C242" s="92" t="s">
        <v>858</v>
      </c>
      <c r="D242" s="113"/>
      <c r="E242" s="455"/>
    </row>
    <row r="243" spans="1:5" ht="34.5" customHeight="1" x14ac:dyDescent="0.25">
      <c r="A243" s="123" t="s">
        <v>857</v>
      </c>
      <c r="B243" s="197">
        <f t="shared" si="2"/>
        <v>0</v>
      </c>
      <c r="C243" s="92" t="s">
        <v>858</v>
      </c>
      <c r="D243" s="113"/>
      <c r="E243" s="455"/>
    </row>
    <row r="244" spans="1:5" ht="38.25" customHeight="1" x14ac:dyDescent="0.25">
      <c r="A244" s="123" t="s">
        <v>1188</v>
      </c>
      <c r="B244" s="130">
        <f>SUM(B214:B243)</f>
        <v>223.21766823748951</v>
      </c>
      <c r="C244" s="92" t="s">
        <v>858</v>
      </c>
      <c r="D244" s="92"/>
      <c r="E244" s="92"/>
    </row>
    <row r="245" spans="1:5" ht="34.5" customHeight="1" x14ac:dyDescent="0.25">
      <c r="A245" s="123" t="s">
        <v>1188</v>
      </c>
      <c r="B245" s="130">
        <f>B244/B5</f>
        <v>318.88238319641357</v>
      </c>
      <c r="C245" s="92" t="s">
        <v>873</v>
      </c>
      <c r="D245" s="92"/>
      <c r="E245" s="92"/>
    </row>
    <row r="246" spans="1:5" x14ac:dyDescent="0.25">
      <c r="A246" s="270"/>
      <c r="B246" s="326"/>
    </row>
    <row r="247" spans="1:5" x14ac:dyDescent="0.25">
      <c r="B247" s="326"/>
    </row>
    <row r="250" spans="1:5" x14ac:dyDescent="0.25">
      <c r="B250" s="326"/>
    </row>
  </sheetData>
  <mergeCells count="46">
    <mergeCell ref="A158:A159"/>
    <mergeCell ref="A160:A161"/>
    <mergeCell ref="A137:A138"/>
    <mergeCell ref="A154:A155"/>
    <mergeCell ref="A156:A157"/>
    <mergeCell ref="A152:A153"/>
    <mergeCell ref="A108:A111"/>
    <mergeCell ref="E108:E110"/>
    <mergeCell ref="A144:A145"/>
    <mergeCell ref="A146:A147"/>
    <mergeCell ref="A150:A151"/>
    <mergeCell ref="A135:A136"/>
    <mergeCell ref="A148:A149"/>
    <mergeCell ref="A107:E107"/>
    <mergeCell ref="A65:E65"/>
    <mergeCell ref="A67:A70"/>
    <mergeCell ref="A82:E82"/>
    <mergeCell ref="A85:A88"/>
    <mergeCell ref="E85:E87"/>
    <mergeCell ref="A97:E97"/>
    <mergeCell ref="A98:A101"/>
    <mergeCell ref="E98:E100"/>
    <mergeCell ref="A102:E102"/>
    <mergeCell ref="A103:A106"/>
    <mergeCell ref="E103:E105"/>
    <mergeCell ref="A72:E72"/>
    <mergeCell ref="A74:A77"/>
    <mergeCell ref="A43:A46"/>
    <mergeCell ref="E43:E45"/>
    <mergeCell ref="A48:E48"/>
    <mergeCell ref="A49:A50"/>
    <mergeCell ref="A51:A54"/>
    <mergeCell ref="E51:E53"/>
    <mergeCell ref="A41:A42"/>
    <mergeCell ref="E41:E42"/>
    <mergeCell ref="G22:I22"/>
    <mergeCell ref="J22:K22"/>
    <mergeCell ref="A16:A19"/>
    <mergeCell ref="A22:A24"/>
    <mergeCell ref="A25:E25"/>
    <mergeCell ref="A27:A30"/>
    <mergeCell ref="E27:E29"/>
    <mergeCell ref="A32:E32"/>
    <mergeCell ref="A33:A34"/>
    <mergeCell ref="A35:A38"/>
    <mergeCell ref="A40:E40"/>
  </mergeCells>
  <dataValidations count="1">
    <dataValidation type="list" allowBlank="1" showInputMessage="1" showErrorMessage="1" sqref="B16" xr:uid="{6ECBF1F7-03E4-4552-A614-7BBFFC79ADC8}">
      <formula1>$H$23:$I$23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C1862-9C5B-4CFF-88F2-E4188AD0451D}">
  <sheetPr>
    <tabColor rgb="FFFFC000"/>
  </sheetPr>
  <dimension ref="A1:G178"/>
  <sheetViews>
    <sheetView topLeftCell="A159" zoomScale="70" zoomScaleNormal="70" workbookViewId="0">
      <selection activeCell="G103" sqref="G103"/>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7" width="32.42578125" style="45" customWidth="1"/>
    <col min="8" max="8" width="16.7109375" style="45" customWidth="1"/>
    <col min="9" max="9" width="18.140625" style="45" customWidth="1"/>
    <col min="10" max="11" width="44.85546875" style="45" customWidth="1"/>
    <col min="12" max="13" width="37.5703125" style="45" customWidth="1"/>
    <col min="14" max="14" width="38.28515625" style="45" customWidth="1"/>
    <col min="15" max="16384" width="9.140625" style="45"/>
  </cols>
  <sheetData>
    <row r="1" spans="1:5" ht="16.5" thickBot="1" x14ac:dyDescent="0.3">
      <c r="A1" s="74" t="s">
        <v>156</v>
      </c>
      <c r="B1" s="75"/>
      <c r="C1" s="75"/>
      <c r="D1" s="75"/>
      <c r="E1" s="75"/>
    </row>
    <row r="2" spans="1:5" ht="17.25" thickTop="1" thickBot="1" x14ac:dyDescent="0.3">
      <c r="A2" s="46"/>
      <c r="B2" s="46"/>
      <c r="C2" s="46"/>
      <c r="D2" s="46"/>
      <c r="E2" s="46"/>
    </row>
    <row r="3" spans="1:5" x14ac:dyDescent="0.25">
      <c r="A3" s="53" t="s">
        <v>152</v>
      </c>
      <c r="B3" s="54" t="s">
        <v>41</v>
      </c>
      <c r="C3" s="54" t="s">
        <v>40</v>
      </c>
      <c r="D3" s="55" t="s">
        <v>42</v>
      </c>
      <c r="E3" s="56" t="s">
        <v>43</v>
      </c>
    </row>
    <row r="4" spans="1:5" ht="16.5" thickBot="1" x14ac:dyDescent="0.3">
      <c r="A4" s="209" t="s">
        <v>44</v>
      </c>
      <c r="B4" s="210"/>
      <c r="C4" s="210"/>
      <c r="D4" s="210"/>
      <c r="E4" s="211"/>
    </row>
    <row r="5" spans="1:5" ht="33.75" customHeight="1" x14ac:dyDescent="0.25">
      <c r="A5" s="212" t="s">
        <v>644</v>
      </c>
      <c r="B5" s="213">
        <f>0.7</f>
        <v>0.7</v>
      </c>
      <c r="C5" s="214" t="s">
        <v>45</v>
      </c>
      <c r="D5" s="215"/>
      <c r="E5" s="310">
        <f>0.7</f>
        <v>0.7</v>
      </c>
    </row>
    <row r="6" spans="1:5" ht="30.75" customHeight="1" x14ac:dyDescent="0.25">
      <c r="A6" s="193" t="s">
        <v>46</v>
      </c>
      <c r="B6" s="259">
        <v>7</v>
      </c>
      <c r="C6" s="580" t="s">
        <v>47</v>
      </c>
      <c r="D6" s="248" t="s">
        <v>48</v>
      </c>
      <c r="E6" s="581">
        <v>7</v>
      </c>
    </row>
    <row r="7" spans="1:5" ht="30" customHeight="1" x14ac:dyDescent="0.25">
      <c r="A7" s="144" t="s">
        <v>49</v>
      </c>
      <c r="B7" s="27">
        <v>30</v>
      </c>
      <c r="C7" s="62" t="s">
        <v>50</v>
      </c>
      <c r="D7" s="62"/>
      <c r="E7" s="237"/>
    </row>
    <row r="8" spans="1:5" ht="33" customHeight="1" x14ac:dyDescent="0.25">
      <c r="A8" s="144" t="s">
        <v>52</v>
      </c>
      <c r="B8" s="575">
        <f>(($B$6/100)*(1+$B$6/100)^$B$7)/(((1+$B$6/100)^$B$7)-1)*100</f>
        <v>8.0586403511111193</v>
      </c>
      <c r="C8" s="62" t="s">
        <v>47</v>
      </c>
      <c r="D8" s="62" t="s">
        <v>53</v>
      </c>
      <c r="E8" s="578"/>
    </row>
    <row r="9" spans="1:5" ht="33" customHeight="1" thickBot="1" x14ac:dyDescent="0.3">
      <c r="A9" s="150" t="s">
        <v>1210</v>
      </c>
      <c r="B9" s="579">
        <v>100</v>
      </c>
      <c r="C9" s="151" t="s">
        <v>1211</v>
      </c>
      <c r="D9" s="576" t="s">
        <v>1212</v>
      </c>
      <c r="E9" s="577" t="s">
        <v>1281</v>
      </c>
    </row>
    <row r="10" spans="1:5" ht="16.5" thickBot="1" x14ac:dyDescent="0.3"/>
    <row r="11" spans="1:5" ht="16.5" thickBot="1" x14ac:dyDescent="0.3">
      <c r="A11" s="172" t="s">
        <v>181</v>
      </c>
      <c r="B11" s="89"/>
      <c r="C11" s="89"/>
      <c r="D11" s="89"/>
      <c r="E11" s="90"/>
    </row>
    <row r="12" spans="1:5" ht="29.25" customHeight="1" x14ac:dyDescent="0.25">
      <c r="A12" s="417" t="s">
        <v>690</v>
      </c>
      <c r="B12" s="216">
        <v>1000000</v>
      </c>
      <c r="C12" s="92" t="s">
        <v>605</v>
      </c>
      <c r="D12" s="92" t="s">
        <v>1040</v>
      </c>
      <c r="E12" s="93"/>
    </row>
    <row r="13" spans="1:5" ht="30" customHeight="1" x14ac:dyDescent="0.25">
      <c r="A13" s="313" t="s">
        <v>498</v>
      </c>
      <c r="B13" s="96">
        <v>90</v>
      </c>
      <c r="C13" s="92" t="s">
        <v>47</v>
      </c>
      <c r="D13" s="92" t="s">
        <v>497</v>
      </c>
      <c r="E13" s="52"/>
    </row>
    <row r="14" spans="1:5" ht="16.5" thickBot="1" x14ac:dyDescent="0.3">
      <c r="A14" s="450" t="s">
        <v>965</v>
      </c>
      <c r="B14" s="450"/>
      <c r="C14" s="450"/>
      <c r="D14" s="450"/>
      <c r="E14" s="450"/>
    </row>
    <row r="15" spans="1:5" x14ac:dyDescent="0.25">
      <c r="A15" s="431" t="s">
        <v>964</v>
      </c>
      <c r="B15" s="432"/>
      <c r="C15" s="432"/>
      <c r="D15" s="432"/>
      <c r="E15" s="433"/>
    </row>
    <row r="16" spans="1:5" ht="31.5" customHeight="1" x14ac:dyDescent="0.25">
      <c r="A16" s="417" t="s">
        <v>966</v>
      </c>
      <c r="B16" s="430">
        <v>453</v>
      </c>
      <c r="C16" s="50" t="s">
        <v>791</v>
      </c>
      <c r="D16" s="469" t="s">
        <v>967</v>
      </c>
      <c r="E16" s="435" t="s">
        <v>968</v>
      </c>
    </row>
    <row r="17" spans="1:5" ht="34.5" customHeight="1" x14ac:dyDescent="0.25">
      <c r="A17" s="474" t="s">
        <v>1264</v>
      </c>
      <c r="B17" s="430">
        <v>10</v>
      </c>
      <c r="C17" s="50" t="s">
        <v>791</v>
      </c>
      <c r="D17" s="469" t="s">
        <v>1265</v>
      </c>
      <c r="E17" s="429" t="s">
        <v>1266</v>
      </c>
    </row>
    <row r="18" spans="1:5" ht="30" x14ac:dyDescent="0.25">
      <c r="A18" s="434" t="s">
        <v>877</v>
      </c>
      <c r="B18" s="443">
        <v>0.05</v>
      </c>
      <c r="C18" s="50" t="s">
        <v>884</v>
      </c>
      <c r="D18" s="425" t="s">
        <v>878</v>
      </c>
      <c r="E18" s="394" t="s">
        <v>879</v>
      </c>
    </row>
    <row r="19" spans="1:5" ht="30" x14ac:dyDescent="0.25">
      <c r="A19" s="434" t="s">
        <v>880</v>
      </c>
      <c r="B19" s="350">
        <v>2.7E-2</v>
      </c>
      <c r="C19" s="50" t="s">
        <v>885</v>
      </c>
      <c r="D19" s="425" t="s">
        <v>881</v>
      </c>
      <c r="E19" s="394" t="s">
        <v>882</v>
      </c>
    </row>
    <row r="20" spans="1:5" ht="30" x14ac:dyDescent="0.25">
      <c r="A20" s="434" t="s">
        <v>888</v>
      </c>
      <c r="B20" s="443">
        <v>0.2</v>
      </c>
      <c r="C20" s="50" t="s">
        <v>890</v>
      </c>
      <c r="D20" s="425" t="s">
        <v>889</v>
      </c>
      <c r="E20" s="435" t="s">
        <v>969</v>
      </c>
    </row>
    <row r="21" spans="1:5" ht="30.75" customHeight="1" x14ac:dyDescent="0.25">
      <c r="A21" s="459" t="s">
        <v>746</v>
      </c>
      <c r="B21" s="368">
        <v>5.3999999999999999E-2</v>
      </c>
      <c r="C21" s="50" t="s">
        <v>792</v>
      </c>
      <c r="D21" s="425" t="s">
        <v>924</v>
      </c>
      <c r="E21" s="462" t="s">
        <v>940</v>
      </c>
    </row>
    <row r="22" spans="1:5" ht="30.75" customHeight="1" x14ac:dyDescent="0.25">
      <c r="A22" s="463" t="s">
        <v>925</v>
      </c>
      <c r="B22" s="501">
        <v>2</v>
      </c>
      <c r="C22" s="419" t="s">
        <v>938</v>
      </c>
      <c r="D22" s="463" t="s">
        <v>926</v>
      </c>
      <c r="E22" s="400" t="s">
        <v>941</v>
      </c>
    </row>
    <row r="23" spans="1:5" x14ac:dyDescent="0.25">
      <c r="A23" s="744" t="s">
        <v>975</v>
      </c>
      <c r="B23" s="744"/>
      <c r="C23" s="744"/>
      <c r="D23" s="744"/>
      <c r="E23" s="744"/>
    </row>
    <row r="24" spans="1:5" ht="31.5" customHeight="1" x14ac:dyDescent="0.25">
      <c r="A24" s="454" t="s">
        <v>970</v>
      </c>
      <c r="B24" s="465">
        <f>B12</f>
        <v>1000000</v>
      </c>
      <c r="C24" s="50" t="s">
        <v>842</v>
      </c>
      <c r="D24" s="466" t="s">
        <v>707</v>
      </c>
      <c r="E24" s="435"/>
    </row>
    <row r="25" spans="1:5" ht="33" customHeight="1" x14ac:dyDescent="0.25">
      <c r="A25" s="745" t="s">
        <v>94</v>
      </c>
      <c r="B25" s="424">
        <v>0.8</v>
      </c>
      <c r="C25" s="50" t="s">
        <v>161</v>
      </c>
      <c r="D25" s="425" t="s">
        <v>697</v>
      </c>
      <c r="E25" s="498" t="s">
        <v>1276</v>
      </c>
    </row>
    <row r="26" spans="1:5" ht="30" customHeight="1" x14ac:dyDescent="0.25">
      <c r="A26" s="746"/>
      <c r="B26" s="603">
        <v>4920000</v>
      </c>
      <c r="C26" s="50" t="s">
        <v>842</v>
      </c>
      <c r="D26" s="425" t="s">
        <v>699</v>
      </c>
      <c r="E26" s="498" t="s">
        <v>1276</v>
      </c>
    </row>
    <row r="27" spans="1:5" ht="28.5" customHeight="1" x14ac:dyDescent="0.25">
      <c r="A27" s="746"/>
      <c r="B27" s="426">
        <v>575105392.15686274</v>
      </c>
      <c r="C27" s="50" t="s">
        <v>165</v>
      </c>
      <c r="D27" s="425" t="s">
        <v>700</v>
      </c>
      <c r="E27" s="498" t="s">
        <v>1276</v>
      </c>
    </row>
    <row r="28" spans="1:5" ht="28.5" customHeight="1" x14ac:dyDescent="0.25">
      <c r="A28" s="747"/>
      <c r="B28" s="125">
        <f>B27*((B24/B26)^B25)*B9/100</f>
        <v>160759022.69870147</v>
      </c>
      <c r="C28" s="50" t="s">
        <v>165</v>
      </c>
      <c r="D28" s="425" t="s">
        <v>1280</v>
      </c>
      <c r="E28" s="50"/>
    </row>
    <row r="29" spans="1:5" ht="29.25" customHeight="1" x14ac:dyDescent="0.25">
      <c r="A29" s="425" t="s">
        <v>719</v>
      </c>
      <c r="B29" s="499">
        <v>3</v>
      </c>
      <c r="C29" s="50" t="s">
        <v>701</v>
      </c>
      <c r="D29" s="425" t="s">
        <v>162</v>
      </c>
      <c r="E29" s="438" t="s">
        <v>876</v>
      </c>
    </row>
    <row r="30" spans="1:5" ht="18" customHeight="1" x14ac:dyDescent="0.25">
      <c r="A30" s="744" t="s">
        <v>1258</v>
      </c>
      <c r="B30" s="744"/>
      <c r="C30" s="744"/>
      <c r="D30" s="744"/>
      <c r="E30" s="744"/>
    </row>
    <row r="31" spans="1:5" ht="29.25" customHeight="1" x14ac:dyDescent="0.25">
      <c r="A31" s="454" t="s">
        <v>1259</v>
      </c>
      <c r="B31" s="465">
        <f>B12</f>
        <v>1000000</v>
      </c>
      <c r="C31" s="50" t="s">
        <v>842</v>
      </c>
      <c r="D31" s="466" t="s">
        <v>707</v>
      </c>
      <c r="E31" s="435"/>
    </row>
    <row r="32" spans="1:5" ht="29.25" customHeight="1" x14ac:dyDescent="0.25">
      <c r="A32" s="745" t="s">
        <v>94</v>
      </c>
      <c r="B32" s="424">
        <v>0.8</v>
      </c>
      <c r="C32" s="50" t="s">
        <v>161</v>
      </c>
      <c r="D32" s="425" t="s">
        <v>697</v>
      </c>
      <c r="E32" s="394" t="s">
        <v>1260</v>
      </c>
    </row>
    <row r="33" spans="1:5" ht="29.25" customHeight="1" x14ac:dyDescent="0.25">
      <c r="A33" s="746"/>
      <c r="B33" s="603">
        <v>4000000</v>
      </c>
      <c r="C33" s="50" t="s">
        <v>842</v>
      </c>
      <c r="D33" s="425" t="s">
        <v>699</v>
      </c>
      <c r="E33" s="394" t="s">
        <v>1260</v>
      </c>
    </row>
    <row r="34" spans="1:5" ht="29.25" customHeight="1" x14ac:dyDescent="0.25">
      <c r="A34" s="746"/>
      <c r="B34" s="426">
        <v>190077205.88235295</v>
      </c>
      <c r="C34" s="50" t="s">
        <v>165</v>
      </c>
      <c r="D34" s="425" t="s">
        <v>700</v>
      </c>
      <c r="E34" s="394" t="s">
        <v>1260</v>
      </c>
    </row>
    <row r="35" spans="1:5" ht="29.25" customHeight="1" x14ac:dyDescent="0.25">
      <c r="A35" s="747"/>
      <c r="B35" s="125">
        <f>B34*((B31/B33)^B32)*B9/100</f>
        <v>62702094.204843216</v>
      </c>
      <c r="C35" s="50" t="s">
        <v>165</v>
      </c>
      <c r="D35" s="425" t="s">
        <v>1280</v>
      </c>
      <c r="E35" s="50"/>
    </row>
    <row r="36" spans="1:5" ht="29.25" customHeight="1" x14ac:dyDescent="0.25">
      <c r="A36" s="425" t="s">
        <v>719</v>
      </c>
      <c r="B36" s="529">
        <v>8</v>
      </c>
      <c r="C36" s="50" t="s">
        <v>701</v>
      </c>
      <c r="D36" s="425" t="s">
        <v>162</v>
      </c>
      <c r="E36" s="394" t="s">
        <v>1260</v>
      </c>
    </row>
    <row r="37" spans="1:5" ht="16.5" thickBot="1" x14ac:dyDescent="0.3">
      <c r="A37" s="450" t="s">
        <v>863</v>
      </c>
      <c r="B37" s="450"/>
      <c r="C37" s="450"/>
      <c r="D37" s="450"/>
      <c r="E37" s="450"/>
    </row>
    <row r="38" spans="1:5" x14ac:dyDescent="0.25">
      <c r="A38" s="431" t="s">
        <v>721</v>
      </c>
      <c r="B38" s="432"/>
      <c r="C38" s="432"/>
      <c r="D38" s="432"/>
      <c r="E38" s="433"/>
    </row>
    <row r="39" spans="1:5" ht="30" x14ac:dyDescent="0.25">
      <c r="A39" s="456" t="s">
        <v>377</v>
      </c>
      <c r="B39" s="430">
        <v>385</v>
      </c>
      <c r="C39" s="50" t="s">
        <v>817</v>
      </c>
      <c r="D39" s="425" t="s">
        <v>754</v>
      </c>
      <c r="E39" s="462" t="s">
        <v>818</v>
      </c>
    </row>
    <row r="40" spans="1:5" x14ac:dyDescent="0.25">
      <c r="A40" s="744" t="s">
        <v>822</v>
      </c>
      <c r="B40" s="744"/>
      <c r="C40" s="744"/>
      <c r="D40" s="744"/>
      <c r="E40" s="744"/>
    </row>
    <row r="41" spans="1:5" ht="31.5" x14ac:dyDescent="0.25">
      <c r="A41" s="452" t="s">
        <v>722</v>
      </c>
      <c r="B41" s="439">
        <f>B21</f>
        <v>5.3999999999999999E-2</v>
      </c>
      <c r="C41" s="50" t="s">
        <v>792</v>
      </c>
      <c r="D41" s="314" t="s">
        <v>823</v>
      </c>
      <c r="E41" s="453"/>
    </row>
    <row r="42" spans="1:5" ht="30" customHeight="1" x14ac:dyDescent="0.25">
      <c r="A42" s="492" t="s">
        <v>821</v>
      </c>
      <c r="B42" s="202">
        <f>B41*B24</f>
        <v>54000</v>
      </c>
      <c r="C42" s="50" t="s">
        <v>723</v>
      </c>
      <c r="D42" s="314"/>
      <c r="E42" s="453"/>
    </row>
    <row r="43" spans="1:5" ht="30.75" customHeight="1" x14ac:dyDescent="0.25">
      <c r="A43" s="745" t="s">
        <v>94</v>
      </c>
      <c r="B43" s="442">
        <v>0.63570000000000004</v>
      </c>
      <c r="C43" s="50" t="s">
        <v>161</v>
      </c>
      <c r="D43" s="425" t="s">
        <v>697</v>
      </c>
      <c r="E43" s="736" t="s">
        <v>698</v>
      </c>
    </row>
    <row r="44" spans="1:5" ht="30.75" customHeight="1" x14ac:dyDescent="0.25">
      <c r="A44" s="746"/>
      <c r="B44" s="443">
        <v>8.76</v>
      </c>
      <c r="C44" s="50" t="s">
        <v>723</v>
      </c>
      <c r="D44" s="425" t="s">
        <v>699</v>
      </c>
      <c r="E44" s="736"/>
    </row>
    <row r="45" spans="1:5" ht="30" customHeight="1" x14ac:dyDescent="0.25">
      <c r="A45" s="746"/>
      <c r="B45" s="426">
        <v>29849</v>
      </c>
      <c r="C45" s="50" t="s">
        <v>165</v>
      </c>
      <c r="D45" s="425" t="s">
        <v>700</v>
      </c>
      <c r="E45" s="736"/>
    </row>
    <row r="46" spans="1:5" ht="30" customHeight="1" x14ac:dyDescent="0.25">
      <c r="A46" s="747"/>
      <c r="B46" s="125">
        <f>B45*((B42/B44)^B43)*B9/100</f>
        <v>7658833.6866556033</v>
      </c>
      <c r="C46" s="50" t="s">
        <v>165</v>
      </c>
      <c r="D46" s="425" t="s">
        <v>1280</v>
      </c>
      <c r="E46" s="394"/>
    </row>
    <row r="47" spans="1:5" ht="30" x14ac:dyDescent="0.25">
      <c r="A47" s="422" t="s">
        <v>162</v>
      </c>
      <c r="B47" s="449">
        <v>2.5</v>
      </c>
      <c r="C47" s="50" t="s">
        <v>701</v>
      </c>
      <c r="D47" s="425" t="s">
        <v>162</v>
      </c>
      <c r="E47" s="394" t="s">
        <v>724</v>
      </c>
    </row>
    <row r="48" spans="1:5" x14ac:dyDescent="0.25">
      <c r="A48" s="418" t="s">
        <v>997</v>
      </c>
      <c r="B48" s="418"/>
      <c r="C48" s="418"/>
      <c r="D48" s="418"/>
      <c r="E48" s="418"/>
    </row>
    <row r="49" spans="1:5" ht="35.25" customHeight="1" x14ac:dyDescent="0.25">
      <c r="A49" s="101" t="s">
        <v>1035</v>
      </c>
      <c r="B49" s="221">
        <v>8</v>
      </c>
      <c r="C49" s="101" t="s">
        <v>1030</v>
      </c>
      <c r="D49" s="524"/>
      <c r="E49" s="93" t="s">
        <v>1213</v>
      </c>
    </row>
    <row r="50" spans="1:5" ht="39" customHeight="1" x14ac:dyDescent="0.25">
      <c r="A50" s="101" t="s">
        <v>1027</v>
      </c>
      <c r="B50" s="27">
        <v>4.8</v>
      </c>
      <c r="C50" s="101" t="s">
        <v>1031</v>
      </c>
      <c r="D50" s="268" t="s">
        <v>1028</v>
      </c>
      <c r="E50" s="99" t="s">
        <v>1029</v>
      </c>
    </row>
    <row r="51" spans="1:5" ht="36" customHeight="1" x14ac:dyDescent="0.25">
      <c r="A51" s="112" t="s">
        <v>1020</v>
      </c>
      <c r="B51" s="523">
        <v>1920</v>
      </c>
      <c r="C51" s="112" t="s">
        <v>1021</v>
      </c>
      <c r="D51" s="524"/>
      <c r="E51" s="124" t="s">
        <v>1022</v>
      </c>
    </row>
    <row r="52" spans="1:5" ht="32.25" customHeight="1" x14ac:dyDescent="0.25">
      <c r="A52" s="112" t="s">
        <v>1024</v>
      </c>
      <c r="B52" s="616">
        <v>36</v>
      </c>
      <c r="C52" s="112" t="s">
        <v>1023</v>
      </c>
      <c r="D52" s="524"/>
      <c r="E52" s="93" t="s">
        <v>1025</v>
      </c>
    </row>
    <row r="53" spans="1:5" ht="30.75" customHeight="1" x14ac:dyDescent="0.25">
      <c r="A53" s="62" t="s">
        <v>802</v>
      </c>
      <c r="B53" s="227">
        <f>B49*B50*B51*B52</f>
        <v>2654208</v>
      </c>
      <c r="C53" s="62" t="s">
        <v>261</v>
      </c>
      <c r="D53" s="524"/>
      <c r="E53" s="524"/>
    </row>
    <row r="54" spans="1:5" x14ac:dyDescent="0.25">
      <c r="A54" s="450" t="s">
        <v>725</v>
      </c>
      <c r="B54" s="450"/>
      <c r="C54" s="450"/>
      <c r="D54" s="450"/>
      <c r="E54" s="450"/>
    </row>
    <row r="55" spans="1:5" x14ac:dyDescent="0.25">
      <c r="A55" s="744" t="s">
        <v>726</v>
      </c>
      <c r="B55" s="744"/>
      <c r="C55" s="744"/>
      <c r="D55" s="744"/>
      <c r="E55" s="744"/>
    </row>
    <row r="56" spans="1:5" ht="27.75" customHeight="1" x14ac:dyDescent="0.25">
      <c r="A56" s="745" t="s">
        <v>94</v>
      </c>
      <c r="B56" s="442">
        <v>0.55840000000000001</v>
      </c>
      <c r="C56" s="50" t="s">
        <v>161</v>
      </c>
      <c r="D56" s="425" t="s">
        <v>697</v>
      </c>
      <c r="E56" s="736" t="s">
        <v>698</v>
      </c>
    </row>
    <row r="57" spans="1:5" ht="25.5" customHeight="1" x14ac:dyDescent="0.25">
      <c r="A57" s="746"/>
      <c r="B57" s="443">
        <v>8.76</v>
      </c>
      <c r="C57" s="50" t="s">
        <v>605</v>
      </c>
      <c r="D57" s="425" t="s">
        <v>750</v>
      </c>
      <c r="E57" s="736"/>
    </row>
    <row r="58" spans="1:5" ht="30" customHeight="1" x14ac:dyDescent="0.25">
      <c r="A58" s="746"/>
      <c r="B58" s="426">
        <v>68056</v>
      </c>
      <c r="C58" s="50" t="s">
        <v>165</v>
      </c>
      <c r="D58" s="425" t="s">
        <v>700</v>
      </c>
      <c r="E58" s="736"/>
    </row>
    <row r="59" spans="1:5" ht="30" customHeight="1" x14ac:dyDescent="0.25">
      <c r="A59" s="747"/>
      <c r="B59" s="125">
        <f>B58*((B12/B57)^B56)*B9/100</f>
        <v>45391248.35415218</v>
      </c>
      <c r="C59" s="50" t="s">
        <v>165</v>
      </c>
      <c r="D59" s="425" t="s">
        <v>1280</v>
      </c>
      <c r="E59" s="394"/>
    </row>
    <row r="60" spans="1:5" x14ac:dyDescent="0.25">
      <c r="A60" s="744" t="s">
        <v>727</v>
      </c>
      <c r="B60" s="744"/>
      <c r="C60" s="744"/>
      <c r="D60" s="744"/>
      <c r="E60" s="744"/>
    </row>
    <row r="61" spans="1:5" ht="25.5" customHeight="1" x14ac:dyDescent="0.25">
      <c r="A61" s="745" t="s">
        <v>94</v>
      </c>
      <c r="B61" s="442">
        <v>0.8</v>
      </c>
      <c r="C61" s="50" t="s">
        <v>161</v>
      </c>
      <c r="D61" s="425" t="s">
        <v>697</v>
      </c>
      <c r="E61" s="736" t="s">
        <v>698</v>
      </c>
    </row>
    <row r="62" spans="1:5" ht="26.25" customHeight="1" x14ac:dyDescent="0.25">
      <c r="A62" s="746"/>
      <c r="B62" s="443">
        <v>8.76</v>
      </c>
      <c r="C62" s="50" t="s">
        <v>605</v>
      </c>
      <c r="D62" s="425" t="s">
        <v>750</v>
      </c>
      <c r="E62" s="736"/>
    </row>
    <row r="63" spans="1:5" ht="27.75" customHeight="1" x14ac:dyDescent="0.25">
      <c r="A63" s="746"/>
      <c r="B63" s="426">
        <v>6160</v>
      </c>
      <c r="C63" s="50" t="s">
        <v>165</v>
      </c>
      <c r="D63" s="425" t="s">
        <v>700</v>
      </c>
      <c r="E63" s="736"/>
    </row>
    <row r="64" spans="1:5" ht="27.75" customHeight="1" x14ac:dyDescent="0.25">
      <c r="A64" s="747"/>
      <c r="B64" s="125">
        <f>B63*((B12/B62)^B61)*B9/100</f>
        <v>68482156.410435766</v>
      </c>
      <c r="C64" s="50" t="s">
        <v>165</v>
      </c>
      <c r="D64" s="425" t="s">
        <v>1280</v>
      </c>
      <c r="E64" s="394"/>
    </row>
    <row r="65" spans="1:5" x14ac:dyDescent="0.25">
      <c r="A65" s="744" t="s">
        <v>728</v>
      </c>
      <c r="B65" s="744"/>
      <c r="C65" s="744"/>
      <c r="D65" s="744"/>
      <c r="E65" s="744"/>
    </row>
    <row r="66" spans="1:5" ht="24.75" customHeight="1" x14ac:dyDescent="0.25">
      <c r="A66" s="745" t="s">
        <v>94</v>
      </c>
      <c r="B66" s="442">
        <v>0.55830000000000002</v>
      </c>
      <c r="C66" s="50" t="s">
        <v>161</v>
      </c>
      <c r="D66" s="425" t="s">
        <v>697</v>
      </c>
      <c r="E66" s="736" t="s">
        <v>698</v>
      </c>
    </row>
    <row r="67" spans="1:5" ht="24.75" customHeight="1" x14ac:dyDescent="0.25">
      <c r="A67" s="746"/>
      <c r="B67" s="443">
        <v>8.76</v>
      </c>
      <c r="C67" s="50" t="s">
        <v>605</v>
      </c>
      <c r="D67" s="425" t="s">
        <v>750</v>
      </c>
      <c r="E67" s="736"/>
    </row>
    <row r="68" spans="1:5" ht="25.5" customHeight="1" x14ac:dyDescent="0.25">
      <c r="A68" s="746"/>
      <c r="B68" s="426">
        <v>170142</v>
      </c>
      <c r="C68" s="50" t="s">
        <v>165</v>
      </c>
      <c r="D68" s="425" t="s">
        <v>700</v>
      </c>
      <c r="E68" s="736"/>
    </row>
    <row r="69" spans="1:5" ht="30" customHeight="1" x14ac:dyDescent="0.25">
      <c r="A69" s="747"/>
      <c r="B69" s="125">
        <f>B68*((B12/B67)^B66)*B9/100</f>
        <v>113347381.34453897</v>
      </c>
      <c r="C69" s="50" t="s">
        <v>165</v>
      </c>
      <c r="D69" s="112" t="s">
        <v>1280</v>
      </c>
      <c r="E69" s="113"/>
    </row>
    <row r="70" spans="1:5" x14ac:dyDescent="0.25">
      <c r="A70" s="103" t="s">
        <v>88</v>
      </c>
      <c r="B70" s="103"/>
      <c r="C70" s="103"/>
      <c r="D70" s="103"/>
      <c r="E70" s="117"/>
    </row>
    <row r="71" spans="1:5" ht="30.75" customHeight="1" x14ac:dyDescent="0.25">
      <c r="A71" s="92" t="s">
        <v>88</v>
      </c>
      <c r="B71" s="87">
        <v>0</v>
      </c>
      <c r="C71" s="218" t="s">
        <v>165</v>
      </c>
      <c r="D71" s="92" t="s">
        <v>259</v>
      </c>
      <c r="E71" s="92"/>
    </row>
    <row r="72" spans="1:5" ht="15.75" customHeight="1" x14ac:dyDescent="0.25">
      <c r="A72" s="450" t="s">
        <v>755</v>
      </c>
      <c r="B72" s="450"/>
      <c r="C72" s="450"/>
      <c r="D72" s="450"/>
      <c r="E72" s="450"/>
    </row>
    <row r="73" spans="1:5" ht="30.75" customHeight="1" x14ac:dyDescent="0.25">
      <c r="A73" s="452" t="s">
        <v>377</v>
      </c>
      <c r="B73" s="368">
        <v>0.152</v>
      </c>
      <c r="C73" s="50" t="s">
        <v>262</v>
      </c>
      <c r="D73" s="425" t="s">
        <v>756</v>
      </c>
      <c r="E73" s="394"/>
    </row>
    <row r="74" spans="1:5" ht="30.75" customHeight="1" x14ac:dyDescent="0.25">
      <c r="A74" s="313" t="s">
        <v>971</v>
      </c>
      <c r="B74" s="448">
        <v>80</v>
      </c>
      <c r="C74" s="50" t="s">
        <v>625</v>
      </c>
      <c r="D74" s="425"/>
      <c r="E74" s="429" t="s">
        <v>898</v>
      </c>
    </row>
    <row r="75" spans="1:5" ht="30.75" customHeight="1" x14ac:dyDescent="0.25">
      <c r="A75" s="313" t="s">
        <v>972</v>
      </c>
      <c r="B75" s="448">
        <v>170</v>
      </c>
      <c r="C75" s="50" t="s">
        <v>625</v>
      </c>
      <c r="D75" s="425"/>
      <c r="E75" s="429" t="s">
        <v>899</v>
      </c>
    </row>
    <row r="76" spans="1:5" ht="30.75" customHeight="1" x14ac:dyDescent="0.25">
      <c r="A76" s="313" t="s">
        <v>973</v>
      </c>
      <c r="B76" s="448">
        <v>30</v>
      </c>
      <c r="C76" s="50" t="s">
        <v>625</v>
      </c>
      <c r="D76" s="425" t="s">
        <v>901</v>
      </c>
      <c r="E76" s="462" t="s">
        <v>900</v>
      </c>
    </row>
    <row r="77" spans="1:5" ht="33.75" customHeight="1" x14ac:dyDescent="0.25">
      <c r="A77" s="313" t="s">
        <v>947</v>
      </c>
      <c r="B77" s="448">
        <v>4</v>
      </c>
      <c r="C77" s="50" t="s">
        <v>949</v>
      </c>
      <c r="D77" s="425"/>
      <c r="E77" s="394" t="s">
        <v>948</v>
      </c>
    </row>
    <row r="78" spans="1:5" x14ac:dyDescent="0.25">
      <c r="A78" s="450" t="s">
        <v>87</v>
      </c>
      <c r="B78" s="450"/>
      <c r="C78" s="450"/>
      <c r="D78" s="450"/>
      <c r="E78" s="450"/>
    </row>
    <row r="79" spans="1:5" ht="30.75" customHeight="1" x14ac:dyDescent="0.25">
      <c r="A79" s="425" t="s">
        <v>758</v>
      </c>
      <c r="B79" s="449">
        <v>0</v>
      </c>
      <c r="C79" s="50" t="s">
        <v>701</v>
      </c>
      <c r="D79" s="425" t="s">
        <v>759</v>
      </c>
      <c r="E79" s="50" t="s">
        <v>760</v>
      </c>
    </row>
    <row r="80" spans="1:5" ht="30.75" customHeight="1" x14ac:dyDescent="0.25">
      <c r="A80" s="425" t="s">
        <v>761</v>
      </c>
      <c r="B80" s="449">
        <v>0</v>
      </c>
      <c r="C80" s="50" t="s">
        <v>701</v>
      </c>
      <c r="D80" s="425" t="s">
        <v>762</v>
      </c>
      <c r="E80" s="50" t="s">
        <v>760</v>
      </c>
    </row>
    <row r="81" spans="1:7" ht="30.75" customHeight="1" x14ac:dyDescent="0.25">
      <c r="A81" s="425" t="s">
        <v>763</v>
      </c>
      <c r="B81" s="449">
        <v>0</v>
      </c>
      <c r="C81" s="50" t="s">
        <v>165</v>
      </c>
      <c r="D81" s="425" t="s">
        <v>764</v>
      </c>
      <c r="E81" s="50" t="s">
        <v>760</v>
      </c>
    </row>
    <row r="82" spans="1:7" ht="30.75" customHeight="1" x14ac:dyDescent="0.25">
      <c r="A82" s="425" t="s">
        <v>765</v>
      </c>
      <c r="B82" s="449">
        <v>0</v>
      </c>
      <c r="C82" s="50" t="s">
        <v>261</v>
      </c>
      <c r="D82" s="425" t="s">
        <v>766</v>
      </c>
      <c r="E82" s="50" t="s">
        <v>760</v>
      </c>
    </row>
    <row r="83" spans="1:7" ht="30.75" customHeight="1" x14ac:dyDescent="0.25">
      <c r="A83" s="92" t="s">
        <v>89</v>
      </c>
      <c r="B83" s="87">
        <v>0</v>
      </c>
      <c r="C83" s="218" t="s">
        <v>261</v>
      </c>
      <c r="D83" s="92" t="s">
        <v>259</v>
      </c>
      <c r="E83" s="92"/>
    </row>
    <row r="84" spans="1:7" x14ac:dyDescent="0.25">
      <c r="A84" s="118" t="s">
        <v>366</v>
      </c>
      <c r="B84" s="119"/>
      <c r="C84" s="119"/>
      <c r="D84" s="119"/>
      <c r="E84" s="120"/>
    </row>
    <row r="85" spans="1:7" x14ac:dyDescent="0.25">
      <c r="A85" s="103" t="s">
        <v>645</v>
      </c>
      <c r="B85" s="103"/>
      <c r="C85" s="103"/>
      <c r="D85" s="103"/>
      <c r="E85" s="117"/>
    </row>
    <row r="86" spans="1:7" ht="34.5" customHeight="1" x14ac:dyDescent="0.25">
      <c r="A86" s="121" t="s">
        <v>646</v>
      </c>
      <c r="B86" s="27">
        <v>0</v>
      </c>
      <c r="C86" s="121" t="s">
        <v>647</v>
      </c>
      <c r="D86" s="121" t="s">
        <v>651</v>
      </c>
      <c r="E86" s="126" t="s">
        <v>648</v>
      </c>
    </row>
    <row r="87" spans="1:7" ht="21.75" customHeight="1" x14ac:dyDescent="0.25">
      <c r="A87" s="103" t="s">
        <v>772</v>
      </c>
      <c r="B87" s="103"/>
      <c r="C87" s="103"/>
      <c r="D87" s="103"/>
      <c r="E87" s="117"/>
    </row>
    <row r="88" spans="1:7" ht="34.5" customHeight="1" x14ac:dyDescent="0.25">
      <c r="A88" s="463" t="s">
        <v>942</v>
      </c>
      <c r="B88" s="114">
        <v>2617</v>
      </c>
      <c r="C88" s="422" t="s">
        <v>936</v>
      </c>
      <c r="D88" s="469"/>
      <c r="E88" s="108" t="s">
        <v>937</v>
      </c>
    </row>
    <row r="89" spans="1:7" ht="34.5" customHeight="1" x14ac:dyDescent="0.25">
      <c r="A89" s="463" t="s">
        <v>943</v>
      </c>
      <c r="B89" s="114">
        <v>2617</v>
      </c>
      <c r="C89" s="422" t="s">
        <v>936</v>
      </c>
      <c r="D89" s="467"/>
      <c r="E89" s="108" t="s">
        <v>951</v>
      </c>
    </row>
    <row r="90" spans="1:7" ht="34.5" customHeight="1" x14ac:dyDescent="0.25">
      <c r="A90" s="752" t="s">
        <v>1007</v>
      </c>
      <c r="B90" s="114">
        <v>2</v>
      </c>
      <c r="C90" s="422" t="s">
        <v>928</v>
      </c>
      <c r="D90" s="467"/>
      <c r="E90" s="108"/>
    </row>
    <row r="91" spans="1:7" ht="34.5" customHeight="1" x14ac:dyDescent="0.25">
      <c r="A91" s="753"/>
      <c r="B91" s="502">
        <f>B90*0.27</f>
        <v>0.54</v>
      </c>
      <c r="C91" s="422" t="s">
        <v>827</v>
      </c>
      <c r="D91" s="467"/>
      <c r="E91" s="394" t="s">
        <v>773</v>
      </c>
    </row>
    <row r="92" spans="1:7" ht="34.5" customHeight="1" x14ac:dyDescent="0.25">
      <c r="A92" s="745" t="s">
        <v>1008</v>
      </c>
      <c r="B92" s="475">
        <v>0.5</v>
      </c>
      <c r="C92" s="422" t="s">
        <v>928</v>
      </c>
      <c r="D92" s="469"/>
      <c r="E92" s="435" t="s">
        <v>944</v>
      </c>
    </row>
    <row r="93" spans="1:7" ht="34.5" customHeight="1" x14ac:dyDescent="0.25">
      <c r="A93" s="747"/>
      <c r="B93" s="502">
        <f>B92*0.27</f>
        <v>0.13500000000000001</v>
      </c>
      <c r="C93" s="422" t="s">
        <v>827</v>
      </c>
      <c r="D93" s="468" t="s">
        <v>930</v>
      </c>
      <c r="E93" s="394" t="s">
        <v>773</v>
      </c>
    </row>
    <row r="94" spans="1:7" x14ac:dyDescent="0.25">
      <c r="A94" s="103" t="s">
        <v>767</v>
      </c>
      <c r="B94" s="103"/>
      <c r="C94" s="103"/>
      <c r="D94" s="103"/>
      <c r="E94" s="117"/>
    </row>
    <row r="95" spans="1:7" ht="34.5" customHeight="1" x14ac:dyDescent="0.25">
      <c r="A95" s="425" t="s">
        <v>377</v>
      </c>
      <c r="B95" s="368">
        <v>0.63</v>
      </c>
      <c r="C95" s="112" t="s">
        <v>415</v>
      </c>
      <c r="D95" s="267" t="s">
        <v>874</v>
      </c>
      <c r="E95" s="294" t="s">
        <v>420</v>
      </c>
    </row>
    <row r="96" spans="1:7" ht="30" x14ac:dyDescent="0.25">
      <c r="A96" s="425" t="s">
        <v>768</v>
      </c>
      <c r="B96" s="449">
        <v>0</v>
      </c>
      <c r="C96" s="422" t="s">
        <v>604</v>
      </c>
      <c r="D96" s="468" t="s">
        <v>774</v>
      </c>
      <c r="E96" s="394" t="s">
        <v>769</v>
      </c>
      <c r="G96" s="349"/>
    </row>
    <row r="97" spans="1:7" ht="37.5" customHeight="1" x14ac:dyDescent="0.25">
      <c r="A97" s="425" t="s">
        <v>770</v>
      </c>
      <c r="B97" s="449">
        <v>0</v>
      </c>
      <c r="C97" s="422" t="s">
        <v>604</v>
      </c>
      <c r="D97" s="467" t="s">
        <v>775</v>
      </c>
      <c r="E97" s="394" t="s">
        <v>771</v>
      </c>
    </row>
    <row r="98" spans="1:7" x14ac:dyDescent="0.25">
      <c r="A98" s="103" t="s">
        <v>382</v>
      </c>
      <c r="B98" s="103"/>
      <c r="C98" s="103"/>
      <c r="D98" s="103"/>
      <c r="E98" s="117"/>
    </row>
    <row r="99" spans="1:7" ht="27.75" customHeight="1" x14ac:dyDescent="0.25">
      <c r="A99" s="699" t="s">
        <v>974</v>
      </c>
      <c r="B99" s="227">
        <f>B95*B16*B24*(B13/100)</f>
        <v>256851000</v>
      </c>
      <c r="C99" s="112" t="s">
        <v>385</v>
      </c>
      <c r="D99" s="92"/>
      <c r="E99" s="124"/>
      <c r="G99" s="45" t="s">
        <v>306</v>
      </c>
    </row>
    <row r="100" spans="1:7" ht="27.75" customHeight="1" x14ac:dyDescent="0.25">
      <c r="A100" s="699"/>
      <c r="B100" s="373">
        <f>B95*B16</f>
        <v>285.39</v>
      </c>
      <c r="C100" s="112" t="s">
        <v>827</v>
      </c>
      <c r="D100" s="92"/>
      <c r="E100" s="124"/>
    </row>
    <row r="101" spans="1:7" ht="27.75" customHeight="1" x14ac:dyDescent="0.25">
      <c r="A101" s="699" t="s">
        <v>1273</v>
      </c>
      <c r="B101" s="227">
        <f>B95*B17*B31*(B13/100)</f>
        <v>5670000</v>
      </c>
      <c r="C101" s="112" t="s">
        <v>385</v>
      </c>
      <c r="D101" s="92"/>
      <c r="E101" s="124"/>
    </row>
    <row r="102" spans="1:7" ht="27.75" customHeight="1" x14ac:dyDescent="0.25">
      <c r="A102" s="699"/>
      <c r="B102" s="373">
        <f>B95*B17</f>
        <v>6.3</v>
      </c>
      <c r="C102" s="112" t="s">
        <v>827</v>
      </c>
      <c r="D102" s="92"/>
      <c r="E102" s="124"/>
    </row>
    <row r="103" spans="1:7" ht="27.75" customHeight="1" x14ac:dyDescent="0.25">
      <c r="A103" s="696" t="s">
        <v>825</v>
      </c>
      <c r="B103" s="373">
        <f>B95*B39*B42*(B13/100)</f>
        <v>11787930</v>
      </c>
      <c r="C103" s="112" t="s">
        <v>385</v>
      </c>
      <c r="D103" s="92"/>
      <c r="E103" s="124"/>
    </row>
    <row r="104" spans="1:7" ht="27.75" customHeight="1" x14ac:dyDescent="0.25">
      <c r="A104" s="697"/>
      <c r="B104" s="373">
        <f>B95*B39*B41</f>
        <v>13.0977</v>
      </c>
      <c r="C104" s="112" t="s">
        <v>827</v>
      </c>
      <c r="D104" s="92"/>
      <c r="E104" s="124"/>
    </row>
    <row r="105" spans="1:7" ht="30.75" customHeight="1" x14ac:dyDescent="0.25">
      <c r="A105" s="699" t="s">
        <v>945</v>
      </c>
      <c r="B105" s="505">
        <f>(B88*B19*B24*(B13/100))-((B93-B91)*B24*(B13/100))</f>
        <v>63957600</v>
      </c>
      <c r="C105" s="112" t="s">
        <v>385</v>
      </c>
      <c r="D105" s="101" t="s">
        <v>1005</v>
      </c>
      <c r="E105" s="99"/>
    </row>
    <row r="106" spans="1:7" ht="30.75" customHeight="1" x14ac:dyDescent="0.25">
      <c r="A106" s="699"/>
      <c r="B106" s="504">
        <f>B88*B19-(B93-B91)</f>
        <v>71.064000000000007</v>
      </c>
      <c r="C106" s="112" t="s">
        <v>827</v>
      </c>
      <c r="D106" s="101" t="s">
        <v>1005</v>
      </c>
      <c r="E106" s="99"/>
    </row>
    <row r="107" spans="1:7" ht="30.75" customHeight="1" x14ac:dyDescent="0.25">
      <c r="A107" s="699" t="s">
        <v>946</v>
      </c>
      <c r="B107" s="505">
        <f>(B89/1000)*B22*B24*(B13/100)</f>
        <v>4710600</v>
      </c>
      <c r="C107" s="112" t="s">
        <v>385</v>
      </c>
      <c r="D107" s="101"/>
      <c r="E107" s="99"/>
    </row>
    <row r="108" spans="1:7" ht="30.75" customHeight="1" x14ac:dyDescent="0.25">
      <c r="A108" s="699"/>
      <c r="B108" s="504">
        <f>(B89/1000)*B22</f>
        <v>5.234</v>
      </c>
      <c r="C108" s="112" t="s">
        <v>827</v>
      </c>
      <c r="D108" s="101"/>
      <c r="E108" s="435" t="s">
        <v>950</v>
      </c>
      <c r="G108" s="513"/>
    </row>
    <row r="109" spans="1:7" ht="30.75" customHeight="1" x14ac:dyDescent="0.25">
      <c r="A109" s="112" t="s">
        <v>528</v>
      </c>
      <c r="B109" s="374">
        <f>B100+B102+B104</f>
        <v>304.78769999999997</v>
      </c>
      <c r="C109" s="112" t="s">
        <v>827</v>
      </c>
      <c r="D109" s="92"/>
      <c r="E109" s="124"/>
    </row>
    <row r="110" spans="1:7" ht="26.25" customHeight="1" x14ac:dyDescent="0.25">
      <c r="A110" s="112" t="s">
        <v>529</v>
      </c>
      <c r="B110" s="374">
        <f>B106+B108</f>
        <v>76.298000000000002</v>
      </c>
      <c r="C110" s="112" t="s">
        <v>827</v>
      </c>
      <c r="D110" s="92"/>
      <c r="E110" s="124"/>
    </row>
    <row r="111" spans="1:7" ht="30" customHeight="1" x14ac:dyDescent="0.25">
      <c r="A111" s="112" t="s">
        <v>530</v>
      </c>
      <c r="B111" s="375">
        <f>B109+B110</f>
        <v>381.08569999999997</v>
      </c>
      <c r="C111" s="112" t="s">
        <v>827</v>
      </c>
      <c r="D111" s="92"/>
      <c r="E111" s="124"/>
    </row>
    <row r="112" spans="1:7" x14ac:dyDescent="0.25">
      <c r="A112" s="103" t="s">
        <v>841</v>
      </c>
      <c r="B112" s="103"/>
      <c r="C112" s="103"/>
      <c r="D112" s="103"/>
      <c r="E112" s="117"/>
    </row>
    <row r="113" spans="1:5" ht="30" customHeight="1" x14ac:dyDescent="0.25">
      <c r="A113" s="92" t="s">
        <v>841</v>
      </c>
      <c r="B113" s="109">
        <f>B12*(B13/100)</f>
        <v>900000</v>
      </c>
      <c r="C113" s="92" t="s">
        <v>842</v>
      </c>
      <c r="D113" s="92" t="s">
        <v>660</v>
      </c>
      <c r="E113" s="92"/>
    </row>
    <row r="114" spans="1:5" x14ac:dyDescent="0.25">
      <c r="A114" s="118" t="s">
        <v>251</v>
      </c>
      <c r="B114" s="119"/>
      <c r="C114" s="119"/>
      <c r="D114" s="119"/>
      <c r="E114" s="120"/>
    </row>
    <row r="115" spans="1:5" x14ac:dyDescent="0.25">
      <c r="A115" s="103" t="s">
        <v>94</v>
      </c>
      <c r="B115" s="103"/>
      <c r="C115" s="103"/>
      <c r="D115" s="103"/>
      <c r="E115" s="117"/>
    </row>
    <row r="116" spans="1:5" ht="33.75" customHeight="1" x14ac:dyDescent="0.25">
      <c r="A116" s="92" t="s">
        <v>952</v>
      </c>
      <c r="B116" s="94">
        <f>B28*(B8/100)</f>
        <v>12954991.471249441</v>
      </c>
      <c r="C116" s="92" t="s">
        <v>261</v>
      </c>
      <c r="D116" s="92"/>
      <c r="E116" s="92"/>
    </row>
    <row r="117" spans="1:5" ht="33.75" customHeight="1" x14ac:dyDescent="0.25">
      <c r="A117" s="92" t="s">
        <v>1267</v>
      </c>
      <c r="B117" s="94">
        <f>B35*(B8/100)</f>
        <v>5052936.2645832021</v>
      </c>
      <c r="C117" s="92" t="s">
        <v>261</v>
      </c>
      <c r="D117" s="92"/>
      <c r="E117" s="92"/>
    </row>
    <row r="118" spans="1:5" ht="33" customHeight="1" x14ac:dyDescent="0.25">
      <c r="A118" s="92" t="s">
        <v>837</v>
      </c>
      <c r="B118" s="94">
        <f>B46*(B8/100)</f>
        <v>617197.86189731979</v>
      </c>
      <c r="C118" s="92" t="s">
        <v>261</v>
      </c>
      <c r="D118" s="92"/>
      <c r="E118" s="92"/>
    </row>
    <row r="119" spans="1:5" ht="33" customHeight="1" x14ac:dyDescent="0.25">
      <c r="A119" s="92" t="s">
        <v>838</v>
      </c>
      <c r="B119" s="94">
        <f>B59*(B8/100)</f>
        <v>3657917.4557407694</v>
      </c>
      <c r="C119" s="92" t="s">
        <v>261</v>
      </c>
      <c r="D119" s="92"/>
      <c r="E119" s="92"/>
    </row>
    <row r="120" spans="1:5" ht="33" customHeight="1" x14ac:dyDescent="0.25">
      <c r="A120" s="92" t="s">
        <v>839</v>
      </c>
      <c r="B120" s="94">
        <f>B64*(B8/100)</f>
        <v>5518730.6898024073</v>
      </c>
      <c r="C120" s="92" t="s">
        <v>261</v>
      </c>
      <c r="D120" s="92"/>
      <c r="E120" s="92"/>
    </row>
    <row r="121" spans="1:5" ht="31.5" customHeight="1" x14ac:dyDescent="0.25">
      <c r="A121" s="92" t="s">
        <v>840</v>
      </c>
      <c r="B121" s="94">
        <f>B69*(B8/100)</f>
        <v>9134257.8099588156</v>
      </c>
      <c r="C121" s="92" t="s">
        <v>261</v>
      </c>
      <c r="D121" s="92"/>
      <c r="E121" s="92"/>
    </row>
    <row r="122" spans="1:5" ht="31.5" customHeight="1" x14ac:dyDescent="0.25">
      <c r="A122" s="92" t="s">
        <v>758</v>
      </c>
      <c r="B122" s="94">
        <f>SUM(B116:B121)*(B79/100)</f>
        <v>0</v>
      </c>
      <c r="C122" s="92" t="s">
        <v>261</v>
      </c>
      <c r="D122" s="92"/>
      <c r="E122" s="92"/>
    </row>
    <row r="123" spans="1:5" ht="31.5" customHeight="1" x14ac:dyDescent="0.25">
      <c r="A123" s="92" t="s">
        <v>761</v>
      </c>
      <c r="B123" s="94">
        <f>SUM(B116:B121)*(B80/100)</f>
        <v>0</v>
      </c>
      <c r="C123" s="92" t="s">
        <v>261</v>
      </c>
      <c r="D123" s="92"/>
      <c r="E123" s="92"/>
    </row>
    <row r="124" spans="1:5" ht="31.5" customHeight="1" x14ac:dyDescent="0.25">
      <c r="A124" s="92" t="s">
        <v>763</v>
      </c>
      <c r="B124" s="94">
        <f>B81*(B8/100)</f>
        <v>0</v>
      </c>
      <c r="C124" s="92" t="s">
        <v>261</v>
      </c>
      <c r="D124" s="92"/>
      <c r="E124" s="92"/>
    </row>
    <row r="125" spans="1:5" x14ac:dyDescent="0.25">
      <c r="A125" s="103" t="s">
        <v>843</v>
      </c>
      <c r="B125" s="103"/>
      <c r="C125" s="103"/>
      <c r="D125" s="103"/>
      <c r="E125" s="117"/>
    </row>
    <row r="126" spans="1:5" ht="31.5" customHeight="1" x14ac:dyDescent="0.25">
      <c r="A126" s="121" t="s">
        <v>1037</v>
      </c>
      <c r="B126" s="227">
        <f>B53</f>
        <v>2654208</v>
      </c>
      <c r="C126" s="121" t="s">
        <v>261</v>
      </c>
      <c r="D126" s="121"/>
      <c r="E126" s="122"/>
    </row>
    <row r="127" spans="1:5" ht="31.5" customHeight="1" x14ac:dyDescent="0.25">
      <c r="A127" s="121" t="s">
        <v>953</v>
      </c>
      <c r="B127" s="125">
        <f>(B29/100)*B28</f>
        <v>4822770.6809610436</v>
      </c>
      <c r="C127" s="121" t="s">
        <v>261</v>
      </c>
      <c r="D127" s="121"/>
      <c r="E127" s="122"/>
    </row>
    <row r="128" spans="1:5" ht="31.5" customHeight="1" x14ac:dyDescent="0.25">
      <c r="A128" s="121" t="s">
        <v>1268</v>
      </c>
      <c r="B128" s="125">
        <f>(B36/100)*B35</f>
        <v>5016167.5363874575</v>
      </c>
      <c r="C128" s="121" t="s">
        <v>261</v>
      </c>
      <c r="D128" s="121"/>
      <c r="E128" s="122"/>
    </row>
    <row r="129" spans="1:5" ht="31.5" x14ac:dyDescent="0.25">
      <c r="A129" s="486" t="s">
        <v>808</v>
      </c>
      <c r="B129" s="125">
        <f>(B47/100)*B46</f>
        <v>191470.8421663901</v>
      </c>
      <c r="C129" s="121" t="s">
        <v>261</v>
      </c>
      <c r="D129" s="121"/>
      <c r="E129" s="122"/>
    </row>
    <row r="130" spans="1:5" ht="30" customHeight="1" x14ac:dyDescent="0.25">
      <c r="A130" s="425" t="s">
        <v>765</v>
      </c>
      <c r="B130" s="375">
        <f>B82</f>
        <v>0</v>
      </c>
      <c r="C130" s="121" t="s">
        <v>261</v>
      </c>
      <c r="D130" s="121"/>
      <c r="E130" s="122"/>
    </row>
    <row r="131" spans="1:5" ht="27.75" customHeight="1" x14ac:dyDescent="0.25">
      <c r="A131" s="92" t="s">
        <v>89</v>
      </c>
      <c r="B131" s="375">
        <f>B83</f>
        <v>0</v>
      </c>
      <c r="C131" s="121" t="s">
        <v>261</v>
      </c>
      <c r="D131" s="121"/>
      <c r="E131" s="122"/>
    </row>
    <row r="132" spans="1:5" x14ac:dyDescent="0.25">
      <c r="A132" s="103" t="s">
        <v>844</v>
      </c>
      <c r="B132" s="103"/>
      <c r="C132" s="103"/>
      <c r="D132" s="103"/>
      <c r="E132" s="117"/>
    </row>
    <row r="133" spans="1:5" ht="30.75" customHeight="1" x14ac:dyDescent="0.25">
      <c r="A133" s="313" t="s">
        <v>954</v>
      </c>
      <c r="B133" s="128">
        <f>B73*B16*B24*(B13/100)</f>
        <v>61970400</v>
      </c>
      <c r="C133" s="92" t="s">
        <v>261</v>
      </c>
      <c r="D133" s="92"/>
      <c r="E133" s="92"/>
    </row>
    <row r="134" spans="1:5" ht="30.75" customHeight="1" x14ac:dyDescent="0.25">
      <c r="A134" s="313" t="s">
        <v>1269</v>
      </c>
      <c r="B134" s="128">
        <f>B73*B17*B31*(B13/100)</f>
        <v>1368000</v>
      </c>
      <c r="C134" s="92" t="s">
        <v>261</v>
      </c>
      <c r="D134" s="92"/>
      <c r="E134" s="92"/>
    </row>
    <row r="135" spans="1:5" ht="30.75" customHeight="1" x14ac:dyDescent="0.25">
      <c r="A135" s="313" t="s">
        <v>955</v>
      </c>
      <c r="B135" s="128">
        <f>B74*B18*B24*(B13/100)</f>
        <v>3600000</v>
      </c>
      <c r="C135" s="92" t="s">
        <v>261</v>
      </c>
      <c r="D135" s="92"/>
      <c r="E135" s="92"/>
    </row>
    <row r="136" spans="1:5" ht="30.75" customHeight="1" x14ac:dyDescent="0.25">
      <c r="A136" s="313" t="s">
        <v>942</v>
      </c>
      <c r="B136" s="128">
        <f>B75*B19*B24*(B13/100)</f>
        <v>4131000</v>
      </c>
      <c r="C136" s="92" t="s">
        <v>261</v>
      </c>
      <c r="D136" s="92"/>
      <c r="E136" s="92"/>
    </row>
    <row r="137" spans="1:5" ht="30.75" customHeight="1" x14ac:dyDescent="0.25">
      <c r="A137" s="313" t="s">
        <v>925</v>
      </c>
      <c r="B137" s="128">
        <f>B77*B24*B22*(B13/100)</f>
        <v>7200000</v>
      </c>
      <c r="C137" s="92" t="s">
        <v>261</v>
      </c>
      <c r="D137" s="92"/>
      <c r="E137" s="92"/>
    </row>
    <row r="138" spans="1:5" ht="30.75" customHeight="1" x14ac:dyDescent="0.25">
      <c r="A138" s="313" t="s">
        <v>956</v>
      </c>
      <c r="B138" s="128">
        <f>B76*B20*B24*(B13/100)</f>
        <v>5400000</v>
      </c>
      <c r="C138" s="92" t="s">
        <v>261</v>
      </c>
      <c r="D138" s="92"/>
      <c r="E138" s="92"/>
    </row>
    <row r="139" spans="1:5" ht="27.75" customHeight="1" x14ac:dyDescent="0.25">
      <c r="A139" s="313" t="s">
        <v>815</v>
      </c>
      <c r="B139" s="128">
        <f>B73*B39*B42*(B13/100)</f>
        <v>2844072</v>
      </c>
      <c r="C139" s="92" t="s">
        <v>261</v>
      </c>
      <c r="D139" s="92"/>
      <c r="E139" s="92"/>
    </row>
    <row r="140" spans="1:5" ht="30" customHeight="1" x14ac:dyDescent="0.25">
      <c r="A140" s="313" t="s">
        <v>765</v>
      </c>
      <c r="B140" s="489">
        <f>B82*(B8/100)</f>
        <v>0</v>
      </c>
      <c r="C140" s="92" t="s">
        <v>261</v>
      </c>
      <c r="D140" s="92"/>
      <c r="E140" s="92"/>
    </row>
    <row r="141" spans="1:5" ht="32.25" customHeight="1" x14ac:dyDescent="0.25">
      <c r="A141" s="92" t="s">
        <v>89</v>
      </c>
      <c r="B141" s="109">
        <f>B83*(B8/100)</f>
        <v>0</v>
      </c>
      <c r="C141" s="92" t="s">
        <v>261</v>
      </c>
      <c r="D141" s="92"/>
      <c r="E141" s="92"/>
    </row>
    <row r="142" spans="1:5" ht="30.75" customHeight="1" x14ac:dyDescent="0.25">
      <c r="A142" s="92" t="s">
        <v>649</v>
      </c>
      <c r="B142" s="109">
        <f>B86*B110*B113/1000</f>
        <v>0</v>
      </c>
      <c r="C142" s="92" t="s">
        <v>261</v>
      </c>
      <c r="D142" s="92" t="s">
        <v>650</v>
      </c>
      <c r="E142" s="92"/>
    </row>
    <row r="143" spans="1:5" x14ac:dyDescent="0.25">
      <c r="A143" s="103" t="s">
        <v>495</v>
      </c>
      <c r="B143" s="103"/>
      <c r="C143" s="103"/>
      <c r="D143" s="103"/>
      <c r="E143" s="117"/>
    </row>
    <row r="144" spans="1:5" ht="30.75" customHeight="1" x14ac:dyDescent="0.25">
      <c r="A144" s="268" t="s">
        <v>848</v>
      </c>
      <c r="B144" s="495">
        <f>B39*B41</f>
        <v>20.79</v>
      </c>
      <c r="C144" s="92" t="s">
        <v>791</v>
      </c>
      <c r="D144" s="92"/>
      <c r="E144" s="218"/>
    </row>
    <row r="145" spans="1:5" ht="30.75" customHeight="1" x14ac:dyDescent="0.25">
      <c r="A145" s="101" t="s">
        <v>957</v>
      </c>
      <c r="B145" s="493">
        <f>B16</f>
        <v>453</v>
      </c>
      <c r="C145" s="92" t="s">
        <v>791</v>
      </c>
      <c r="D145" s="92"/>
      <c r="E145" s="218"/>
    </row>
    <row r="146" spans="1:5" ht="30.75" customHeight="1" x14ac:dyDescent="0.25">
      <c r="A146" s="101" t="s">
        <v>1270</v>
      </c>
      <c r="B146" s="493">
        <f>B17</f>
        <v>10</v>
      </c>
      <c r="C146" s="92" t="s">
        <v>791</v>
      </c>
      <c r="D146" s="92"/>
      <c r="E146" s="218"/>
    </row>
    <row r="147" spans="1:5" ht="30.75" customHeight="1" x14ac:dyDescent="0.25">
      <c r="A147" s="268" t="s">
        <v>845</v>
      </c>
      <c r="B147" s="494">
        <f>SUM(B144:B146)</f>
        <v>483.79</v>
      </c>
      <c r="C147" s="92" t="s">
        <v>791</v>
      </c>
      <c r="D147" s="92"/>
      <c r="E147" s="218"/>
    </row>
    <row r="148" spans="1:5" x14ac:dyDescent="0.25">
      <c r="A148" s="103" t="s">
        <v>258</v>
      </c>
      <c r="B148" s="103"/>
      <c r="C148" s="103"/>
      <c r="D148" s="103"/>
      <c r="E148" s="117"/>
    </row>
    <row r="149" spans="1:5" ht="30.75" customHeight="1" x14ac:dyDescent="0.25">
      <c r="A149" s="123" t="s">
        <v>958</v>
      </c>
      <c r="B149" s="197">
        <f t="shared" ref="B149:B157" si="0">B116/$B$113</f>
        <v>14.394434968054934</v>
      </c>
      <c r="C149" s="92" t="s">
        <v>858</v>
      </c>
      <c r="D149" s="113"/>
      <c r="E149" s="455"/>
    </row>
    <row r="150" spans="1:5" ht="30.75" customHeight="1" x14ac:dyDescent="0.25">
      <c r="A150" s="123" t="s">
        <v>1271</v>
      </c>
      <c r="B150" s="197">
        <f t="shared" si="0"/>
        <v>5.6143736273146692</v>
      </c>
      <c r="C150" s="92" t="s">
        <v>858</v>
      </c>
      <c r="D150" s="113"/>
      <c r="E150" s="455"/>
    </row>
    <row r="151" spans="1:5" ht="33.75" customHeight="1" x14ac:dyDescent="0.25">
      <c r="A151" s="123" t="s">
        <v>913</v>
      </c>
      <c r="B151" s="197">
        <f t="shared" si="0"/>
        <v>0.68577540210813315</v>
      </c>
      <c r="C151" s="92" t="s">
        <v>858</v>
      </c>
      <c r="D151" s="113"/>
      <c r="E151" s="455"/>
    </row>
    <row r="152" spans="1:5" ht="32.25" customHeight="1" x14ac:dyDescent="0.25">
      <c r="A152" s="123" t="s">
        <v>914</v>
      </c>
      <c r="B152" s="197">
        <f t="shared" si="0"/>
        <v>4.0643527286008547</v>
      </c>
      <c r="C152" s="92" t="s">
        <v>858</v>
      </c>
      <c r="D152" s="113"/>
      <c r="E152" s="455"/>
    </row>
    <row r="153" spans="1:5" ht="34.5" customHeight="1" x14ac:dyDescent="0.25">
      <c r="A153" s="123" t="s">
        <v>915</v>
      </c>
      <c r="B153" s="197">
        <f t="shared" si="0"/>
        <v>6.1319229886693414</v>
      </c>
      <c r="C153" s="92" t="s">
        <v>858</v>
      </c>
      <c r="D153" s="113"/>
      <c r="E153" s="455"/>
    </row>
    <row r="154" spans="1:5" ht="33.75" customHeight="1" x14ac:dyDescent="0.25">
      <c r="A154" s="123" t="s">
        <v>916</v>
      </c>
      <c r="B154" s="197">
        <f t="shared" si="0"/>
        <v>10.149175344398683</v>
      </c>
      <c r="C154" s="92" t="s">
        <v>858</v>
      </c>
      <c r="D154" s="113"/>
      <c r="E154" s="455"/>
    </row>
    <row r="155" spans="1:5" ht="36" customHeight="1" x14ac:dyDescent="0.25">
      <c r="A155" s="123" t="s">
        <v>917</v>
      </c>
      <c r="B155" s="197">
        <f t="shared" si="0"/>
        <v>0</v>
      </c>
      <c r="C155" s="92" t="s">
        <v>858</v>
      </c>
      <c r="D155" s="113"/>
      <c r="E155" s="455"/>
    </row>
    <row r="156" spans="1:5" ht="32.25" customHeight="1" x14ac:dyDescent="0.25">
      <c r="A156" s="123" t="s">
        <v>918</v>
      </c>
      <c r="B156" s="197">
        <f t="shared" si="0"/>
        <v>0</v>
      </c>
      <c r="C156" s="92" t="s">
        <v>858</v>
      </c>
      <c r="D156" s="113"/>
      <c r="E156" s="455"/>
    </row>
    <row r="157" spans="1:5" ht="33.75" customHeight="1" x14ac:dyDescent="0.25">
      <c r="A157" s="123" t="s">
        <v>919</v>
      </c>
      <c r="B157" s="197">
        <f t="shared" si="0"/>
        <v>0</v>
      </c>
      <c r="C157" s="92" t="s">
        <v>858</v>
      </c>
      <c r="D157" s="113"/>
      <c r="E157" s="455"/>
    </row>
    <row r="158" spans="1:5" ht="33.75" customHeight="1" x14ac:dyDescent="0.25">
      <c r="A158" s="486" t="s">
        <v>1038</v>
      </c>
      <c r="B158" s="197">
        <f>B126/$B$113</f>
        <v>2.9491200000000002</v>
      </c>
      <c r="C158" s="92" t="s">
        <v>858</v>
      </c>
      <c r="D158" s="113"/>
      <c r="E158" s="455"/>
    </row>
    <row r="159" spans="1:5" ht="33.75" customHeight="1" x14ac:dyDescent="0.25">
      <c r="A159" s="486" t="s">
        <v>904</v>
      </c>
      <c r="B159" s="197">
        <f>(B127+B128+B129)/$B$113</f>
        <v>11.144898955016545</v>
      </c>
      <c r="C159" s="92" t="s">
        <v>858</v>
      </c>
      <c r="D159" s="113"/>
      <c r="E159" s="455"/>
    </row>
    <row r="160" spans="1:5" ht="38.25" customHeight="1" x14ac:dyDescent="0.25">
      <c r="A160" s="123" t="s">
        <v>855</v>
      </c>
      <c r="B160" s="197">
        <f>B130/$B$113</f>
        <v>0</v>
      </c>
      <c r="C160" s="92" t="s">
        <v>858</v>
      </c>
      <c r="D160" s="113"/>
      <c r="E160" s="455"/>
    </row>
    <row r="161" spans="1:5" ht="34.5" customHeight="1" x14ac:dyDescent="0.25">
      <c r="A161" s="123" t="s">
        <v>856</v>
      </c>
      <c r="B161" s="197">
        <f>B131/$B$113</f>
        <v>0</v>
      </c>
      <c r="C161" s="92" t="s">
        <v>858</v>
      </c>
      <c r="D161" s="113"/>
      <c r="E161" s="455"/>
    </row>
    <row r="162" spans="1:5" ht="33.75" customHeight="1" x14ac:dyDescent="0.25">
      <c r="A162" s="314" t="s">
        <v>959</v>
      </c>
      <c r="B162" s="197">
        <f>B133/$B$113</f>
        <v>68.855999999999995</v>
      </c>
      <c r="C162" s="92" t="s">
        <v>858</v>
      </c>
      <c r="D162" s="113"/>
      <c r="E162" s="455"/>
    </row>
    <row r="163" spans="1:5" ht="33.75" customHeight="1" x14ac:dyDescent="0.25">
      <c r="A163" s="314" t="s">
        <v>1272</v>
      </c>
      <c r="B163" s="197">
        <f>B134/$B$113</f>
        <v>1.52</v>
      </c>
      <c r="C163" s="92" t="s">
        <v>858</v>
      </c>
      <c r="D163" s="113"/>
      <c r="E163" s="455"/>
    </row>
    <row r="164" spans="1:5" ht="33.75" customHeight="1" x14ac:dyDescent="0.25">
      <c r="A164" s="313" t="s">
        <v>960</v>
      </c>
      <c r="B164" s="197">
        <f t="shared" ref="B164:B171" si="1">B135/$B$113</f>
        <v>4</v>
      </c>
      <c r="C164" s="92" t="s">
        <v>858</v>
      </c>
      <c r="D164" s="113"/>
      <c r="E164" s="455"/>
    </row>
    <row r="165" spans="1:5" ht="33.75" customHeight="1" x14ac:dyDescent="0.25">
      <c r="A165" s="313" t="s">
        <v>961</v>
      </c>
      <c r="B165" s="197">
        <f t="shared" si="1"/>
        <v>4.59</v>
      </c>
      <c r="C165" s="92" t="s">
        <v>858</v>
      </c>
      <c r="D165" s="113"/>
      <c r="E165" s="455"/>
    </row>
    <row r="166" spans="1:5" ht="33.75" customHeight="1" x14ac:dyDescent="0.25">
      <c r="A166" s="314" t="s">
        <v>962</v>
      </c>
      <c r="B166" s="197">
        <f t="shared" si="1"/>
        <v>8</v>
      </c>
      <c r="C166" s="92" t="s">
        <v>858</v>
      </c>
      <c r="D166" s="113"/>
      <c r="E166" s="455"/>
    </row>
    <row r="167" spans="1:5" ht="33.75" customHeight="1" x14ac:dyDescent="0.25">
      <c r="A167" s="313" t="s">
        <v>963</v>
      </c>
      <c r="B167" s="197">
        <f t="shared" si="1"/>
        <v>6</v>
      </c>
      <c r="C167" s="92" t="s">
        <v>858</v>
      </c>
      <c r="D167" s="113"/>
      <c r="E167" s="455"/>
    </row>
    <row r="168" spans="1:5" ht="33" customHeight="1" x14ac:dyDescent="0.25">
      <c r="A168" s="314" t="s">
        <v>854</v>
      </c>
      <c r="B168" s="197">
        <f t="shared" si="1"/>
        <v>3.1600799999999998</v>
      </c>
      <c r="C168" s="92" t="s">
        <v>858</v>
      </c>
      <c r="D168" s="113"/>
      <c r="E168" s="455"/>
    </row>
    <row r="169" spans="1:5" ht="36" customHeight="1" x14ac:dyDescent="0.25">
      <c r="A169" s="314" t="s">
        <v>855</v>
      </c>
      <c r="B169" s="197">
        <f t="shared" si="1"/>
        <v>0</v>
      </c>
      <c r="C169" s="92" t="s">
        <v>858</v>
      </c>
      <c r="D169" s="113"/>
      <c r="E169" s="455"/>
    </row>
    <row r="170" spans="1:5" ht="33.75" customHeight="1" x14ac:dyDescent="0.25">
      <c r="A170" s="123" t="s">
        <v>856</v>
      </c>
      <c r="B170" s="197">
        <f t="shared" si="1"/>
        <v>0</v>
      </c>
      <c r="C170" s="92" t="s">
        <v>858</v>
      </c>
      <c r="D170" s="113"/>
      <c r="E170" s="455"/>
    </row>
    <row r="171" spans="1:5" ht="34.5" customHeight="1" x14ac:dyDescent="0.25">
      <c r="A171" s="123" t="s">
        <v>857</v>
      </c>
      <c r="B171" s="197">
        <f t="shared" si="1"/>
        <v>0</v>
      </c>
      <c r="C171" s="92" t="s">
        <v>858</v>
      </c>
      <c r="D171" s="113"/>
      <c r="E171" s="455"/>
    </row>
    <row r="172" spans="1:5" ht="38.25" customHeight="1" x14ac:dyDescent="0.25">
      <c r="A172" s="123" t="s">
        <v>1188</v>
      </c>
      <c r="B172" s="130">
        <f>SUM(B149:B171)</f>
        <v>151.26013401416313</v>
      </c>
      <c r="C172" s="92" t="s">
        <v>858</v>
      </c>
      <c r="D172" s="92"/>
      <c r="E172" s="92"/>
    </row>
    <row r="173" spans="1:5" ht="34.5" customHeight="1" x14ac:dyDescent="0.25">
      <c r="A173" s="123" t="s">
        <v>1188</v>
      </c>
      <c r="B173" s="130">
        <f>B172/B5</f>
        <v>216.08590573451878</v>
      </c>
      <c r="C173" s="92" t="s">
        <v>873</v>
      </c>
      <c r="D173" s="92"/>
      <c r="E173" s="92"/>
    </row>
    <row r="174" spans="1:5" x14ac:dyDescent="0.25">
      <c r="A174" s="270"/>
      <c r="B174" s="326"/>
    </row>
    <row r="175" spans="1:5" x14ac:dyDescent="0.25">
      <c r="B175" s="326"/>
    </row>
    <row r="178" spans="2:2" x14ac:dyDescent="0.25">
      <c r="B178" s="326"/>
    </row>
  </sheetData>
  <mergeCells count="23">
    <mergeCell ref="A65:E65"/>
    <mergeCell ref="A23:E23"/>
    <mergeCell ref="A25:A28"/>
    <mergeCell ref="A40:E40"/>
    <mergeCell ref="A43:A46"/>
    <mergeCell ref="E43:E45"/>
    <mergeCell ref="A55:E55"/>
    <mergeCell ref="A56:A59"/>
    <mergeCell ref="E56:E58"/>
    <mergeCell ref="A60:E60"/>
    <mergeCell ref="A61:A64"/>
    <mergeCell ref="E61:E63"/>
    <mergeCell ref="A30:E30"/>
    <mergeCell ref="A32:A35"/>
    <mergeCell ref="A103:A104"/>
    <mergeCell ref="A105:A106"/>
    <mergeCell ref="A107:A108"/>
    <mergeCell ref="A66:A69"/>
    <mergeCell ref="E66:E68"/>
    <mergeCell ref="A90:A91"/>
    <mergeCell ref="A92:A93"/>
    <mergeCell ref="A99:A100"/>
    <mergeCell ref="A101:A10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4C4A7-F8AD-47EC-917D-0B687CC05BA8}">
  <sheetPr>
    <tabColor rgb="FFFFC000"/>
  </sheetPr>
  <dimension ref="A1:G167"/>
  <sheetViews>
    <sheetView topLeftCell="A144" zoomScale="70" zoomScaleNormal="70" workbookViewId="0">
      <selection activeCell="G96" sqref="G96"/>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7" width="32.42578125" style="45" customWidth="1"/>
    <col min="8" max="8" width="16.7109375" style="45" customWidth="1"/>
    <col min="9" max="9" width="18.140625" style="45" customWidth="1"/>
    <col min="10" max="11" width="44.85546875" style="45" customWidth="1"/>
    <col min="12" max="13" width="37.5703125" style="45" customWidth="1"/>
    <col min="14" max="14" width="38.28515625" style="45" customWidth="1"/>
    <col min="15" max="16384" width="9.140625" style="45"/>
  </cols>
  <sheetData>
    <row r="1" spans="1:5" ht="16.5" thickBot="1" x14ac:dyDescent="0.3">
      <c r="A1" s="74" t="s">
        <v>156</v>
      </c>
      <c r="B1" s="75"/>
      <c r="C1" s="75"/>
      <c r="D1" s="75"/>
      <c r="E1" s="75"/>
    </row>
    <row r="2" spans="1:5" ht="17.25" thickTop="1" thickBot="1" x14ac:dyDescent="0.3">
      <c r="A2" s="46"/>
      <c r="B2" s="46"/>
      <c r="C2" s="46"/>
      <c r="D2" s="46"/>
      <c r="E2" s="46"/>
    </row>
    <row r="3" spans="1:5" x14ac:dyDescent="0.25">
      <c r="A3" s="53" t="s">
        <v>152</v>
      </c>
      <c r="B3" s="54" t="s">
        <v>41</v>
      </c>
      <c r="C3" s="54" t="s">
        <v>40</v>
      </c>
      <c r="D3" s="55" t="s">
        <v>42</v>
      </c>
      <c r="E3" s="56" t="s">
        <v>43</v>
      </c>
    </row>
    <row r="4" spans="1:5" ht="16.5" thickBot="1" x14ac:dyDescent="0.3">
      <c r="A4" s="209" t="s">
        <v>44</v>
      </c>
      <c r="B4" s="210"/>
      <c r="C4" s="210"/>
      <c r="D4" s="210"/>
      <c r="E4" s="211"/>
    </row>
    <row r="5" spans="1:5" ht="33.75" customHeight="1" x14ac:dyDescent="0.25">
      <c r="A5" s="212" t="s">
        <v>644</v>
      </c>
      <c r="B5" s="213">
        <f>0.7</f>
        <v>0.7</v>
      </c>
      <c r="C5" s="214" t="s">
        <v>45</v>
      </c>
      <c r="D5" s="215"/>
      <c r="E5" s="310">
        <f>0.7</f>
        <v>0.7</v>
      </c>
    </row>
    <row r="6" spans="1:5" ht="30.75" customHeight="1" x14ac:dyDescent="0.25">
      <c r="A6" s="144" t="s">
        <v>46</v>
      </c>
      <c r="B6" s="216">
        <v>7</v>
      </c>
      <c r="C6" s="146" t="s">
        <v>47</v>
      </c>
      <c r="D6" s="147" t="s">
        <v>48</v>
      </c>
      <c r="E6" s="309">
        <v>7</v>
      </c>
    </row>
    <row r="7" spans="1:5" ht="30" customHeight="1" x14ac:dyDescent="0.25">
      <c r="A7" s="193" t="s">
        <v>49</v>
      </c>
      <c r="B7" s="27">
        <v>30</v>
      </c>
      <c r="C7" s="179" t="s">
        <v>50</v>
      </c>
      <c r="D7" s="248"/>
      <c r="E7" s="238"/>
    </row>
    <row r="8" spans="1:5" ht="33" customHeight="1" x14ac:dyDescent="0.25">
      <c r="A8" s="144" t="s">
        <v>52</v>
      </c>
      <c r="B8" s="575">
        <f>(($B$6/100)*(1+$B$6/100)^$B$7)/(((1+$B$6/100)^$B$7)-1)*100</f>
        <v>8.0586403511111193</v>
      </c>
      <c r="C8" s="62" t="s">
        <v>47</v>
      </c>
      <c r="D8" s="62" t="s">
        <v>53</v>
      </c>
      <c r="E8" s="578"/>
    </row>
    <row r="9" spans="1:5" ht="33" customHeight="1" thickBot="1" x14ac:dyDescent="0.3">
      <c r="A9" s="150" t="s">
        <v>1210</v>
      </c>
      <c r="B9" s="579">
        <v>100</v>
      </c>
      <c r="C9" s="151" t="s">
        <v>1211</v>
      </c>
      <c r="D9" s="576" t="s">
        <v>1212</v>
      </c>
      <c r="E9" s="577" t="s">
        <v>1281</v>
      </c>
    </row>
    <row r="10" spans="1:5" ht="16.5" thickBot="1" x14ac:dyDescent="0.3"/>
    <row r="11" spans="1:5" ht="16.5" thickBot="1" x14ac:dyDescent="0.3">
      <c r="A11" s="172" t="s">
        <v>181</v>
      </c>
      <c r="B11" s="89"/>
      <c r="C11" s="89"/>
      <c r="D11" s="89"/>
      <c r="E11" s="90"/>
    </row>
    <row r="12" spans="1:5" ht="29.25" customHeight="1" x14ac:dyDescent="0.25">
      <c r="A12" s="417" t="s">
        <v>690</v>
      </c>
      <c r="B12" s="216">
        <v>1000000</v>
      </c>
      <c r="C12" s="92" t="s">
        <v>605</v>
      </c>
      <c r="D12" s="92" t="s">
        <v>1040</v>
      </c>
      <c r="E12" s="93"/>
    </row>
    <row r="13" spans="1:5" ht="30" customHeight="1" x14ac:dyDescent="0.25">
      <c r="A13" s="313" t="s">
        <v>498</v>
      </c>
      <c r="B13" s="96">
        <v>90</v>
      </c>
      <c r="C13" s="92" t="s">
        <v>47</v>
      </c>
      <c r="D13" s="92" t="s">
        <v>497</v>
      </c>
      <c r="E13" s="52"/>
    </row>
    <row r="14" spans="1:5" ht="16.5" customHeight="1" thickBot="1" x14ac:dyDescent="0.3">
      <c r="A14" s="514" t="s">
        <v>976</v>
      </c>
      <c r="B14" s="514"/>
      <c r="C14" s="514"/>
      <c r="D14" s="514"/>
      <c r="E14" s="514"/>
    </row>
    <row r="15" spans="1:5" ht="16.5" customHeight="1" x14ac:dyDescent="0.25">
      <c r="A15" s="431" t="s">
        <v>977</v>
      </c>
      <c r="B15" s="432"/>
      <c r="C15" s="432"/>
      <c r="D15" s="432"/>
      <c r="E15" s="433"/>
    </row>
    <row r="16" spans="1:5" ht="31.5" customHeight="1" x14ac:dyDescent="0.25">
      <c r="A16" s="474" t="s">
        <v>1274</v>
      </c>
      <c r="B16" s="430">
        <v>21</v>
      </c>
      <c r="C16" s="50" t="s">
        <v>791</v>
      </c>
      <c r="D16" s="425" t="s">
        <v>985</v>
      </c>
      <c r="E16" s="429" t="s">
        <v>993</v>
      </c>
    </row>
    <row r="17" spans="1:5" ht="31.5" customHeight="1" x14ac:dyDescent="0.25">
      <c r="A17" s="474" t="s">
        <v>1264</v>
      </c>
      <c r="B17" s="430">
        <v>10</v>
      </c>
      <c r="C17" s="50" t="s">
        <v>791</v>
      </c>
      <c r="D17" s="469" t="s">
        <v>1265</v>
      </c>
      <c r="E17" s="429" t="s">
        <v>1266</v>
      </c>
    </row>
    <row r="18" spans="1:5" ht="32.25" customHeight="1" x14ac:dyDescent="0.25">
      <c r="A18" s="434" t="s">
        <v>877</v>
      </c>
      <c r="B18" s="368">
        <v>4.2999999999999997E-2</v>
      </c>
      <c r="C18" s="50" t="s">
        <v>884</v>
      </c>
      <c r="D18" s="425" t="s">
        <v>986</v>
      </c>
      <c r="E18" s="429" t="s">
        <v>994</v>
      </c>
    </row>
    <row r="19" spans="1:5" ht="35.25" customHeight="1" x14ac:dyDescent="0.25">
      <c r="A19" s="459" t="s">
        <v>746</v>
      </c>
      <c r="B19" s="460">
        <v>7.9000000000000001E-2</v>
      </c>
      <c r="C19" s="322" t="s">
        <v>792</v>
      </c>
      <c r="D19" s="436" t="s">
        <v>987</v>
      </c>
      <c r="E19" s="437" t="s">
        <v>995</v>
      </c>
    </row>
    <row r="20" spans="1:5" ht="33.75" customHeight="1" x14ac:dyDescent="0.25">
      <c r="A20" s="417" t="s">
        <v>989</v>
      </c>
      <c r="B20" s="368">
        <v>5.8000000000000003E-2</v>
      </c>
      <c r="C20" s="50" t="s">
        <v>992</v>
      </c>
      <c r="D20" s="425" t="s">
        <v>990</v>
      </c>
      <c r="E20" s="462" t="s">
        <v>991</v>
      </c>
    </row>
    <row r="21" spans="1:5" ht="16.5" customHeight="1" x14ac:dyDescent="0.25">
      <c r="A21" s="418" t="s">
        <v>984</v>
      </c>
      <c r="B21" s="418"/>
      <c r="C21" s="418"/>
      <c r="D21" s="418"/>
      <c r="E21" s="418"/>
    </row>
    <row r="22" spans="1:5" ht="29.25" customHeight="1" x14ac:dyDescent="0.25">
      <c r="A22" s="454" t="s">
        <v>978</v>
      </c>
      <c r="B22" s="465">
        <f>B12</f>
        <v>1000000</v>
      </c>
      <c r="C22" s="50" t="s">
        <v>842</v>
      </c>
      <c r="D22" s="425"/>
      <c r="E22" s="394"/>
    </row>
    <row r="23" spans="1:5" ht="29.25" customHeight="1" x14ac:dyDescent="0.25">
      <c r="A23" s="745" t="s">
        <v>94</v>
      </c>
      <c r="B23" s="515">
        <v>0.8</v>
      </c>
      <c r="C23" s="419" t="s">
        <v>161</v>
      </c>
      <c r="D23" s="420" t="s">
        <v>697</v>
      </c>
      <c r="E23" s="757" t="s">
        <v>979</v>
      </c>
    </row>
    <row r="24" spans="1:5" ht="29.25" customHeight="1" x14ac:dyDescent="0.25">
      <c r="A24" s="746"/>
      <c r="B24" s="426">
        <v>4323327</v>
      </c>
      <c r="C24" s="50" t="s">
        <v>842</v>
      </c>
      <c r="D24" s="420" t="s">
        <v>699</v>
      </c>
      <c r="E24" s="757"/>
    </row>
    <row r="25" spans="1:5" ht="29.25" customHeight="1" x14ac:dyDescent="0.25">
      <c r="A25" s="746"/>
      <c r="B25" s="516">
        <v>447412500</v>
      </c>
      <c r="C25" s="50" t="s">
        <v>165</v>
      </c>
      <c r="D25" s="420" t="s">
        <v>700</v>
      </c>
      <c r="E25" s="757"/>
    </row>
    <row r="26" spans="1:5" ht="29.25" customHeight="1" x14ac:dyDescent="0.25">
      <c r="A26" s="747"/>
      <c r="B26" s="125">
        <f>B25*((B22/B24)^B23)*B9/100</f>
        <v>138692713.55321488</v>
      </c>
      <c r="C26" s="50" t="s">
        <v>165</v>
      </c>
      <c r="D26" s="425" t="s">
        <v>1280</v>
      </c>
      <c r="E26" s="520"/>
    </row>
    <row r="27" spans="1:5" ht="31.5" customHeight="1" x14ac:dyDescent="0.25">
      <c r="A27" s="425" t="s">
        <v>719</v>
      </c>
      <c r="B27" s="518">
        <v>5</v>
      </c>
      <c r="C27" s="419" t="s">
        <v>701</v>
      </c>
      <c r="D27" s="517" t="s">
        <v>162</v>
      </c>
      <c r="E27" s="482" t="s">
        <v>983</v>
      </c>
    </row>
    <row r="28" spans="1:5" ht="17.25" customHeight="1" x14ac:dyDescent="0.25">
      <c r="A28" s="744" t="s">
        <v>1258</v>
      </c>
      <c r="B28" s="744"/>
      <c r="C28" s="744"/>
      <c r="D28" s="744"/>
      <c r="E28" s="744"/>
    </row>
    <row r="29" spans="1:5" ht="31.5" customHeight="1" x14ac:dyDescent="0.25">
      <c r="A29" s="454" t="s">
        <v>1259</v>
      </c>
      <c r="B29" s="465">
        <f>B12</f>
        <v>1000000</v>
      </c>
      <c r="C29" s="50" t="s">
        <v>842</v>
      </c>
      <c r="D29" s="466" t="s">
        <v>707</v>
      </c>
      <c r="E29" s="435"/>
    </row>
    <row r="30" spans="1:5" ht="31.5" customHeight="1" x14ac:dyDescent="0.25">
      <c r="A30" s="745" t="s">
        <v>94</v>
      </c>
      <c r="B30" s="424">
        <v>0.8</v>
      </c>
      <c r="C30" s="50" t="s">
        <v>161</v>
      </c>
      <c r="D30" s="425" t="s">
        <v>697</v>
      </c>
      <c r="E30" s="394" t="s">
        <v>1260</v>
      </c>
    </row>
    <row r="31" spans="1:5" ht="31.5" customHeight="1" x14ac:dyDescent="0.25">
      <c r="A31" s="746"/>
      <c r="B31" s="603">
        <v>4000000</v>
      </c>
      <c r="C31" s="50" t="s">
        <v>842</v>
      </c>
      <c r="D31" s="425" t="s">
        <v>699</v>
      </c>
      <c r="E31" s="394" t="s">
        <v>1260</v>
      </c>
    </row>
    <row r="32" spans="1:5" ht="31.5" customHeight="1" x14ac:dyDescent="0.25">
      <c r="A32" s="746"/>
      <c r="B32" s="426">
        <v>190077205.88235295</v>
      </c>
      <c r="C32" s="50" t="s">
        <v>165</v>
      </c>
      <c r="D32" s="425" t="s">
        <v>700</v>
      </c>
      <c r="E32" s="394" t="s">
        <v>1260</v>
      </c>
    </row>
    <row r="33" spans="1:5" ht="31.5" customHeight="1" x14ac:dyDescent="0.25">
      <c r="A33" s="747"/>
      <c r="B33" s="125">
        <f>B32*((B29/B31)^B30)*B9/100</f>
        <v>62702094.204843216</v>
      </c>
      <c r="C33" s="50" t="s">
        <v>165</v>
      </c>
      <c r="D33" s="425" t="s">
        <v>1280</v>
      </c>
      <c r="E33" s="50"/>
    </row>
    <row r="34" spans="1:5" ht="31.5" customHeight="1" x14ac:dyDescent="0.25">
      <c r="A34" s="425" t="s">
        <v>719</v>
      </c>
      <c r="B34" s="529">
        <v>8</v>
      </c>
      <c r="C34" s="50" t="s">
        <v>701</v>
      </c>
      <c r="D34" s="425" t="s">
        <v>162</v>
      </c>
      <c r="E34" s="394" t="s">
        <v>1260</v>
      </c>
    </row>
    <row r="35" spans="1:5" x14ac:dyDescent="0.25">
      <c r="A35" s="450" t="s">
        <v>863</v>
      </c>
      <c r="B35" s="450"/>
      <c r="C35" s="450"/>
      <c r="D35" s="450"/>
      <c r="E35" s="450"/>
    </row>
    <row r="36" spans="1:5" x14ac:dyDescent="0.25">
      <c r="A36" s="471" t="s">
        <v>721</v>
      </c>
      <c r="B36" s="472"/>
      <c r="C36" s="472"/>
      <c r="D36" s="472"/>
      <c r="E36" s="473"/>
    </row>
    <row r="37" spans="1:5" ht="30" x14ac:dyDescent="0.25">
      <c r="A37" s="456" t="s">
        <v>377</v>
      </c>
      <c r="B37" s="430">
        <v>385</v>
      </c>
      <c r="C37" s="50" t="s">
        <v>817</v>
      </c>
      <c r="D37" s="425" t="s">
        <v>754</v>
      </c>
      <c r="E37" s="462" t="s">
        <v>818</v>
      </c>
    </row>
    <row r="38" spans="1:5" x14ac:dyDescent="0.25">
      <c r="A38" s="744" t="s">
        <v>822</v>
      </c>
      <c r="B38" s="744"/>
      <c r="C38" s="744"/>
      <c r="D38" s="744"/>
      <c r="E38" s="744"/>
    </row>
    <row r="39" spans="1:5" ht="31.5" x14ac:dyDescent="0.25">
      <c r="A39" s="452" t="s">
        <v>722</v>
      </c>
      <c r="B39" s="439">
        <f>B19</f>
        <v>7.9000000000000001E-2</v>
      </c>
      <c r="C39" s="50" t="s">
        <v>792</v>
      </c>
      <c r="D39" s="314" t="s">
        <v>823</v>
      </c>
      <c r="E39" s="453"/>
    </row>
    <row r="40" spans="1:5" ht="30" customHeight="1" x14ac:dyDescent="0.25">
      <c r="A40" s="492" t="s">
        <v>821</v>
      </c>
      <c r="B40" s="202">
        <f>B39*B22</f>
        <v>79000</v>
      </c>
      <c r="C40" s="50" t="s">
        <v>723</v>
      </c>
      <c r="D40" s="314"/>
      <c r="E40" s="453"/>
    </row>
    <row r="41" spans="1:5" ht="30.75" customHeight="1" x14ac:dyDescent="0.25">
      <c r="A41" s="745" t="s">
        <v>94</v>
      </c>
      <c r="B41" s="442">
        <v>0.63570000000000004</v>
      </c>
      <c r="C41" s="50" t="s">
        <v>161</v>
      </c>
      <c r="D41" s="425" t="s">
        <v>697</v>
      </c>
      <c r="E41" s="736" t="s">
        <v>698</v>
      </c>
    </row>
    <row r="42" spans="1:5" ht="30.75" customHeight="1" x14ac:dyDescent="0.25">
      <c r="A42" s="746"/>
      <c r="B42" s="443">
        <v>8.76</v>
      </c>
      <c r="C42" s="50" t="s">
        <v>723</v>
      </c>
      <c r="D42" s="425" t="s">
        <v>699</v>
      </c>
      <c r="E42" s="736"/>
    </row>
    <row r="43" spans="1:5" ht="30" customHeight="1" x14ac:dyDescent="0.25">
      <c r="A43" s="746"/>
      <c r="B43" s="426">
        <v>29849</v>
      </c>
      <c r="C43" s="50" t="s">
        <v>165</v>
      </c>
      <c r="D43" s="425" t="s">
        <v>700</v>
      </c>
      <c r="E43" s="736"/>
    </row>
    <row r="44" spans="1:5" ht="30" customHeight="1" x14ac:dyDescent="0.25">
      <c r="A44" s="747"/>
      <c r="B44" s="125">
        <f>B43*((B40/B42)^B41)*B9/100</f>
        <v>9754420.3679933604</v>
      </c>
      <c r="C44" s="50" t="s">
        <v>165</v>
      </c>
      <c r="D44" s="425" t="s">
        <v>1280</v>
      </c>
      <c r="E44" s="394"/>
    </row>
    <row r="45" spans="1:5" ht="30" x14ac:dyDescent="0.25">
      <c r="A45" s="422" t="s">
        <v>162</v>
      </c>
      <c r="B45" s="449">
        <v>2.5</v>
      </c>
      <c r="C45" s="50" t="s">
        <v>701</v>
      </c>
      <c r="D45" s="425" t="s">
        <v>162</v>
      </c>
      <c r="E45" s="394" t="s">
        <v>724</v>
      </c>
    </row>
    <row r="46" spans="1:5" x14ac:dyDescent="0.25">
      <c r="A46" s="418" t="s">
        <v>1221</v>
      </c>
      <c r="B46" s="418"/>
      <c r="C46" s="418"/>
      <c r="D46" s="418"/>
      <c r="E46" s="418"/>
    </row>
    <row r="47" spans="1:5" ht="36" customHeight="1" x14ac:dyDescent="0.25">
      <c r="A47" s="101" t="s">
        <v>1035</v>
      </c>
      <c r="B47" s="221">
        <v>8</v>
      </c>
      <c r="C47" s="101" t="s">
        <v>1030</v>
      </c>
      <c r="D47" s="524"/>
      <c r="E47" s="93" t="s">
        <v>1214</v>
      </c>
    </row>
    <row r="48" spans="1:5" ht="37.5" customHeight="1" x14ac:dyDescent="0.25">
      <c r="A48" s="101" t="s">
        <v>1027</v>
      </c>
      <c r="B48" s="27">
        <v>4.8</v>
      </c>
      <c r="C48" s="101" t="s">
        <v>1031</v>
      </c>
      <c r="D48" s="268" t="s">
        <v>1028</v>
      </c>
      <c r="E48" s="99" t="s">
        <v>1029</v>
      </c>
    </row>
    <row r="49" spans="1:5" ht="33" customHeight="1" x14ac:dyDescent="0.25">
      <c r="A49" s="112" t="s">
        <v>1020</v>
      </c>
      <c r="B49" s="523">
        <v>1920</v>
      </c>
      <c r="C49" s="112" t="s">
        <v>1021</v>
      </c>
      <c r="D49" s="524"/>
      <c r="E49" s="124" t="s">
        <v>1022</v>
      </c>
    </row>
    <row r="50" spans="1:5" ht="35.25" customHeight="1" x14ac:dyDescent="0.25">
      <c r="A50" s="112" t="s">
        <v>1024</v>
      </c>
      <c r="B50" s="616">
        <v>36</v>
      </c>
      <c r="C50" s="112" t="s">
        <v>1023</v>
      </c>
      <c r="D50" s="524"/>
      <c r="E50" s="93" t="s">
        <v>1025</v>
      </c>
    </row>
    <row r="51" spans="1:5" ht="36" customHeight="1" x14ac:dyDescent="0.25">
      <c r="A51" s="62" t="s">
        <v>802</v>
      </c>
      <c r="B51" s="227">
        <f>B47*B48*B49*B50</f>
        <v>2654208</v>
      </c>
      <c r="C51" s="62" t="s">
        <v>261</v>
      </c>
      <c r="D51" s="524"/>
      <c r="E51" s="524"/>
    </row>
    <row r="52" spans="1:5" x14ac:dyDescent="0.25">
      <c r="A52" s="450" t="s">
        <v>725</v>
      </c>
      <c r="B52" s="450"/>
      <c r="C52" s="450"/>
      <c r="D52" s="450"/>
      <c r="E52" s="450"/>
    </row>
    <row r="53" spans="1:5" x14ac:dyDescent="0.25">
      <c r="A53" s="744" t="s">
        <v>726</v>
      </c>
      <c r="B53" s="744"/>
      <c r="C53" s="744"/>
      <c r="D53" s="744"/>
      <c r="E53" s="744"/>
    </row>
    <row r="54" spans="1:5" ht="27.75" customHeight="1" x14ac:dyDescent="0.25">
      <c r="A54" s="745" t="s">
        <v>94</v>
      </c>
      <c r="B54" s="442">
        <v>0.55840000000000001</v>
      </c>
      <c r="C54" s="50" t="s">
        <v>161</v>
      </c>
      <c r="D54" s="425" t="s">
        <v>697</v>
      </c>
      <c r="E54" s="736" t="s">
        <v>698</v>
      </c>
    </row>
    <row r="55" spans="1:5" ht="25.5" customHeight="1" x14ac:dyDescent="0.25">
      <c r="A55" s="746"/>
      <c r="B55" s="443">
        <v>8.76</v>
      </c>
      <c r="C55" s="50" t="s">
        <v>605</v>
      </c>
      <c r="D55" s="425" t="s">
        <v>750</v>
      </c>
      <c r="E55" s="736"/>
    </row>
    <row r="56" spans="1:5" ht="30" customHeight="1" x14ac:dyDescent="0.25">
      <c r="A56" s="746"/>
      <c r="B56" s="426">
        <v>68056</v>
      </c>
      <c r="C56" s="50" t="s">
        <v>165</v>
      </c>
      <c r="D56" s="425" t="s">
        <v>700</v>
      </c>
      <c r="E56" s="736"/>
    </row>
    <row r="57" spans="1:5" ht="30" customHeight="1" x14ac:dyDescent="0.25">
      <c r="A57" s="747"/>
      <c r="B57" s="125">
        <f>B56*((B12/B55)^B54)*B9/100</f>
        <v>45391248.35415218</v>
      </c>
      <c r="C57" s="50" t="s">
        <v>165</v>
      </c>
      <c r="D57" s="425" t="s">
        <v>1280</v>
      </c>
      <c r="E57" s="394"/>
    </row>
    <row r="58" spans="1:5" x14ac:dyDescent="0.25">
      <c r="A58" s="744" t="s">
        <v>727</v>
      </c>
      <c r="B58" s="744"/>
      <c r="C58" s="744"/>
      <c r="D58" s="744"/>
      <c r="E58" s="744"/>
    </row>
    <row r="59" spans="1:5" ht="25.5" customHeight="1" x14ac:dyDescent="0.25">
      <c r="A59" s="745" t="s">
        <v>94</v>
      </c>
      <c r="B59" s="442">
        <v>0.8</v>
      </c>
      <c r="C59" s="50" t="s">
        <v>161</v>
      </c>
      <c r="D59" s="425" t="s">
        <v>697</v>
      </c>
      <c r="E59" s="736" t="s">
        <v>698</v>
      </c>
    </row>
    <row r="60" spans="1:5" ht="26.25" customHeight="1" x14ac:dyDescent="0.25">
      <c r="A60" s="746"/>
      <c r="B60" s="443">
        <v>8.76</v>
      </c>
      <c r="C60" s="50" t="s">
        <v>605</v>
      </c>
      <c r="D60" s="425" t="s">
        <v>750</v>
      </c>
      <c r="E60" s="736"/>
    </row>
    <row r="61" spans="1:5" ht="27.75" customHeight="1" x14ac:dyDescent="0.25">
      <c r="A61" s="746"/>
      <c r="B61" s="426">
        <v>6160</v>
      </c>
      <c r="C61" s="50" t="s">
        <v>165</v>
      </c>
      <c r="D61" s="425" t="s">
        <v>700</v>
      </c>
      <c r="E61" s="736"/>
    </row>
    <row r="62" spans="1:5" ht="27.75" customHeight="1" x14ac:dyDescent="0.25">
      <c r="A62" s="747"/>
      <c r="B62" s="125">
        <f>B61*((B12/B60)^B59)*B9/100</f>
        <v>68482156.410435766</v>
      </c>
      <c r="C62" s="50" t="s">
        <v>165</v>
      </c>
      <c r="D62" s="425" t="s">
        <v>1280</v>
      </c>
      <c r="E62" s="394"/>
    </row>
    <row r="63" spans="1:5" x14ac:dyDescent="0.25">
      <c r="A63" s="744" t="s">
        <v>728</v>
      </c>
      <c r="B63" s="744"/>
      <c r="C63" s="744"/>
      <c r="D63" s="744"/>
      <c r="E63" s="744"/>
    </row>
    <row r="64" spans="1:5" ht="24.75" customHeight="1" x14ac:dyDescent="0.25">
      <c r="A64" s="745" t="s">
        <v>94</v>
      </c>
      <c r="B64" s="442">
        <v>0.55830000000000002</v>
      </c>
      <c r="C64" s="50" t="s">
        <v>161</v>
      </c>
      <c r="D64" s="425" t="s">
        <v>697</v>
      </c>
      <c r="E64" s="736" t="s">
        <v>698</v>
      </c>
    </row>
    <row r="65" spans="1:5" ht="24.75" customHeight="1" x14ac:dyDescent="0.25">
      <c r="A65" s="746"/>
      <c r="B65" s="443">
        <v>8.76</v>
      </c>
      <c r="C65" s="50" t="s">
        <v>605</v>
      </c>
      <c r="D65" s="425" t="s">
        <v>750</v>
      </c>
      <c r="E65" s="736"/>
    </row>
    <row r="66" spans="1:5" ht="25.5" customHeight="1" x14ac:dyDescent="0.25">
      <c r="A66" s="746"/>
      <c r="B66" s="426">
        <v>170142</v>
      </c>
      <c r="C66" s="50" t="s">
        <v>165</v>
      </c>
      <c r="D66" s="425" t="s">
        <v>700</v>
      </c>
      <c r="E66" s="736"/>
    </row>
    <row r="67" spans="1:5" ht="30" customHeight="1" x14ac:dyDescent="0.25">
      <c r="A67" s="747"/>
      <c r="B67" s="125">
        <f>B66*((B12/B65)^B64)*B9/100</f>
        <v>113347381.34453897</v>
      </c>
      <c r="C67" s="50" t="s">
        <v>165</v>
      </c>
      <c r="D67" s="112" t="s">
        <v>1280</v>
      </c>
      <c r="E67" s="113"/>
    </row>
    <row r="68" spans="1:5" x14ac:dyDescent="0.25">
      <c r="A68" s="103" t="s">
        <v>88</v>
      </c>
      <c r="B68" s="103"/>
      <c r="C68" s="103"/>
      <c r="D68" s="103"/>
      <c r="E68" s="117"/>
    </row>
    <row r="69" spans="1:5" ht="30.75" customHeight="1" x14ac:dyDescent="0.25">
      <c r="A69" s="92" t="s">
        <v>88</v>
      </c>
      <c r="B69" s="87">
        <v>0</v>
      </c>
      <c r="C69" s="218" t="s">
        <v>165</v>
      </c>
      <c r="D69" s="92" t="s">
        <v>259</v>
      </c>
      <c r="E69" s="92"/>
    </row>
    <row r="70" spans="1:5" ht="15.75" customHeight="1" x14ac:dyDescent="0.25">
      <c r="A70" s="450" t="s">
        <v>755</v>
      </c>
      <c r="B70" s="450"/>
      <c r="C70" s="450"/>
      <c r="D70" s="450"/>
      <c r="E70" s="450"/>
    </row>
    <row r="71" spans="1:5" ht="30.75" customHeight="1" x14ac:dyDescent="0.25">
      <c r="A71" s="452" t="s">
        <v>377</v>
      </c>
      <c r="B71" s="368">
        <v>0.152</v>
      </c>
      <c r="C71" s="50" t="s">
        <v>262</v>
      </c>
      <c r="D71" s="425" t="s">
        <v>756</v>
      </c>
      <c r="E71" s="394" t="s">
        <v>757</v>
      </c>
    </row>
    <row r="72" spans="1:5" ht="30.75" customHeight="1" x14ac:dyDescent="0.25">
      <c r="A72" s="313" t="s">
        <v>1215</v>
      </c>
      <c r="B72" s="448">
        <v>80</v>
      </c>
      <c r="C72" s="50" t="s">
        <v>625</v>
      </c>
      <c r="D72" s="425"/>
      <c r="E72" s="429" t="s">
        <v>898</v>
      </c>
    </row>
    <row r="73" spans="1:5" ht="30.75" customHeight="1" x14ac:dyDescent="0.25">
      <c r="A73" s="313" t="s">
        <v>1216</v>
      </c>
      <c r="B73" s="448">
        <v>170</v>
      </c>
      <c r="C73" s="50" t="s">
        <v>625</v>
      </c>
      <c r="D73" s="425"/>
      <c r="E73" s="429" t="s">
        <v>899</v>
      </c>
    </row>
    <row r="74" spans="1:5" ht="30.75" customHeight="1" x14ac:dyDescent="0.25">
      <c r="A74" s="313" t="s">
        <v>1217</v>
      </c>
      <c r="B74" s="448">
        <v>30</v>
      </c>
      <c r="C74" s="50" t="s">
        <v>625</v>
      </c>
      <c r="D74" s="425" t="s">
        <v>901</v>
      </c>
      <c r="E74" s="462" t="s">
        <v>900</v>
      </c>
    </row>
    <row r="75" spans="1:5" x14ac:dyDescent="0.25">
      <c r="A75" s="450" t="s">
        <v>87</v>
      </c>
      <c r="B75" s="450"/>
      <c r="C75" s="450"/>
      <c r="D75" s="450"/>
      <c r="E75" s="450"/>
    </row>
    <row r="76" spans="1:5" ht="30.75" customHeight="1" x14ac:dyDescent="0.25">
      <c r="A76" s="425" t="s">
        <v>758</v>
      </c>
      <c r="B76" s="449">
        <v>0</v>
      </c>
      <c r="C76" s="50" t="s">
        <v>701</v>
      </c>
      <c r="D76" s="425" t="s">
        <v>759</v>
      </c>
      <c r="E76" s="50" t="s">
        <v>760</v>
      </c>
    </row>
    <row r="77" spans="1:5" ht="30.75" customHeight="1" x14ac:dyDescent="0.25">
      <c r="A77" s="425" t="s">
        <v>761</v>
      </c>
      <c r="B77" s="449">
        <v>0</v>
      </c>
      <c r="C77" s="50" t="s">
        <v>701</v>
      </c>
      <c r="D77" s="425" t="s">
        <v>762</v>
      </c>
      <c r="E77" s="50" t="s">
        <v>760</v>
      </c>
    </row>
    <row r="78" spans="1:5" ht="30.75" customHeight="1" x14ac:dyDescent="0.25">
      <c r="A78" s="425" t="s">
        <v>763</v>
      </c>
      <c r="B78" s="449">
        <v>0</v>
      </c>
      <c r="C78" s="50" t="s">
        <v>165</v>
      </c>
      <c r="D78" s="425" t="s">
        <v>764</v>
      </c>
      <c r="E78" s="50" t="s">
        <v>760</v>
      </c>
    </row>
    <row r="79" spans="1:5" ht="30.75" customHeight="1" x14ac:dyDescent="0.25">
      <c r="A79" s="425" t="s">
        <v>765</v>
      </c>
      <c r="B79" s="449">
        <v>0</v>
      </c>
      <c r="C79" s="50" t="s">
        <v>261</v>
      </c>
      <c r="D79" s="425" t="s">
        <v>766</v>
      </c>
      <c r="E79" s="50" t="s">
        <v>760</v>
      </c>
    </row>
    <row r="80" spans="1:5" ht="30.75" customHeight="1" x14ac:dyDescent="0.25">
      <c r="A80" s="92" t="s">
        <v>89</v>
      </c>
      <c r="B80" s="87">
        <v>0</v>
      </c>
      <c r="C80" s="218" t="s">
        <v>261</v>
      </c>
      <c r="D80" s="92" t="s">
        <v>259</v>
      </c>
      <c r="E80" s="92"/>
    </row>
    <row r="81" spans="1:7" x14ac:dyDescent="0.25">
      <c r="A81" s="118" t="s">
        <v>366</v>
      </c>
      <c r="B81" s="119"/>
      <c r="C81" s="119"/>
      <c r="D81" s="119"/>
      <c r="E81" s="120"/>
    </row>
    <row r="82" spans="1:7" x14ac:dyDescent="0.25">
      <c r="A82" s="103" t="s">
        <v>645</v>
      </c>
      <c r="B82" s="103"/>
      <c r="C82" s="103"/>
      <c r="D82" s="103"/>
      <c r="E82" s="117"/>
    </row>
    <row r="83" spans="1:7" ht="34.5" customHeight="1" x14ac:dyDescent="0.25">
      <c r="A83" s="121" t="s">
        <v>646</v>
      </c>
      <c r="B83" s="27">
        <v>0</v>
      </c>
      <c r="C83" s="121" t="s">
        <v>647</v>
      </c>
      <c r="D83" s="121" t="s">
        <v>651</v>
      </c>
      <c r="E83" s="126" t="s">
        <v>648</v>
      </c>
    </row>
    <row r="84" spans="1:7" ht="17.25" customHeight="1" x14ac:dyDescent="0.25">
      <c r="A84" s="103" t="s">
        <v>772</v>
      </c>
      <c r="B84" s="103"/>
      <c r="C84" s="103"/>
      <c r="D84" s="103"/>
      <c r="E84" s="117"/>
    </row>
    <row r="85" spans="1:7" ht="36.75" customHeight="1" x14ac:dyDescent="0.25">
      <c r="A85" s="710" t="s">
        <v>1218</v>
      </c>
      <c r="B85" s="475">
        <v>2</v>
      </c>
      <c r="C85" s="422" t="s">
        <v>928</v>
      </c>
      <c r="D85" s="112" t="s">
        <v>1219</v>
      </c>
      <c r="E85" s="455"/>
    </row>
    <row r="86" spans="1:7" ht="36.75" customHeight="1" x14ac:dyDescent="0.25">
      <c r="A86" s="712"/>
      <c r="B86" s="540">
        <f>B85*0.27</f>
        <v>0.54</v>
      </c>
      <c r="C86" s="422" t="s">
        <v>827</v>
      </c>
      <c r="D86" s="468" t="s">
        <v>1220</v>
      </c>
      <c r="E86" s="394" t="s">
        <v>773</v>
      </c>
    </row>
    <row r="87" spans="1:7" ht="34.5" customHeight="1" x14ac:dyDescent="0.25">
      <c r="A87" s="745" t="s">
        <v>1002</v>
      </c>
      <c r="B87" s="475">
        <v>0.5</v>
      </c>
      <c r="C87" s="422" t="s">
        <v>928</v>
      </c>
      <c r="D87" s="469" t="s">
        <v>1010</v>
      </c>
      <c r="E87" s="435" t="s">
        <v>944</v>
      </c>
    </row>
    <row r="88" spans="1:7" ht="34.5" customHeight="1" x14ac:dyDescent="0.25">
      <c r="A88" s="747"/>
      <c r="B88" s="502">
        <f>B87*0.27</f>
        <v>0.13500000000000001</v>
      </c>
      <c r="C88" s="422" t="s">
        <v>827</v>
      </c>
      <c r="D88" s="468" t="s">
        <v>930</v>
      </c>
      <c r="E88" s="394" t="s">
        <v>773</v>
      </c>
    </row>
    <row r="89" spans="1:7" x14ac:dyDescent="0.25">
      <c r="A89" s="103" t="s">
        <v>767</v>
      </c>
      <c r="B89" s="103"/>
      <c r="C89" s="103"/>
      <c r="D89" s="103"/>
      <c r="E89" s="117"/>
    </row>
    <row r="90" spans="1:7" ht="34.5" customHeight="1" x14ac:dyDescent="0.25">
      <c r="A90" s="463" t="s">
        <v>377</v>
      </c>
      <c r="B90" s="368">
        <v>0.63</v>
      </c>
      <c r="C90" s="112" t="s">
        <v>415</v>
      </c>
      <c r="D90" s="267" t="s">
        <v>874</v>
      </c>
      <c r="E90" s="294" t="s">
        <v>420</v>
      </c>
    </row>
    <row r="91" spans="1:7" ht="30" x14ac:dyDescent="0.25">
      <c r="A91" s="425" t="s">
        <v>768</v>
      </c>
      <c r="B91" s="449">
        <v>0</v>
      </c>
      <c r="C91" s="422" t="s">
        <v>604</v>
      </c>
      <c r="D91" s="468" t="s">
        <v>774</v>
      </c>
      <c r="E91" s="394" t="s">
        <v>769</v>
      </c>
      <c r="G91" s="349"/>
    </row>
    <row r="92" spans="1:7" ht="37.5" customHeight="1" x14ac:dyDescent="0.25">
      <c r="A92" s="425" t="s">
        <v>770</v>
      </c>
      <c r="B92" s="449">
        <v>0</v>
      </c>
      <c r="C92" s="422" t="s">
        <v>604</v>
      </c>
      <c r="D92" s="467" t="s">
        <v>775</v>
      </c>
      <c r="E92" s="394" t="s">
        <v>771</v>
      </c>
    </row>
    <row r="93" spans="1:7" x14ac:dyDescent="0.25">
      <c r="A93" s="103" t="s">
        <v>382</v>
      </c>
      <c r="B93" s="103"/>
      <c r="C93" s="103"/>
      <c r="D93" s="103"/>
      <c r="E93" s="117"/>
    </row>
    <row r="94" spans="1:7" ht="27.75" customHeight="1" x14ac:dyDescent="0.25">
      <c r="A94" s="696" t="s">
        <v>1001</v>
      </c>
      <c r="B94" s="127">
        <f>B90*B16*B22*(B13/100)</f>
        <v>11907000</v>
      </c>
      <c r="C94" s="112" t="s">
        <v>385</v>
      </c>
      <c r="D94" s="92"/>
      <c r="E94" s="124"/>
    </row>
    <row r="95" spans="1:7" ht="27.75" customHeight="1" x14ac:dyDescent="0.25">
      <c r="A95" s="697"/>
      <c r="B95" s="373">
        <f>B90*B16</f>
        <v>13.23</v>
      </c>
      <c r="C95" s="112" t="s">
        <v>827</v>
      </c>
      <c r="D95" s="92"/>
      <c r="E95" s="124"/>
    </row>
    <row r="96" spans="1:7" ht="27.75" customHeight="1" x14ac:dyDescent="0.25">
      <c r="A96" s="696" t="s">
        <v>1273</v>
      </c>
      <c r="B96" s="127">
        <f>B90*B17*B29*(B13/100)</f>
        <v>5670000</v>
      </c>
      <c r="C96" s="112" t="s">
        <v>385</v>
      </c>
      <c r="D96" s="92"/>
      <c r="E96" s="124"/>
    </row>
    <row r="97" spans="1:5" ht="27.75" customHeight="1" x14ac:dyDescent="0.25">
      <c r="A97" s="697"/>
      <c r="B97" s="373">
        <f>B90*B17</f>
        <v>6.3</v>
      </c>
      <c r="C97" s="112" t="s">
        <v>827</v>
      </c>
      <c r="D97" s="92"/>
      <c r="E97" s="124"/>
    </row>
    <row r="98" spans="1:5" ht="27.75" customHeight="1" x14ac:dyDescent="0.25">
      <c r="A98" s="696" t="s">
        <v>825</v>
      </c>
      <c r="B98" s="373">
        <f>B90*B37*B40*(B13/100)</f>
        <v>17245305</v>
      </c>
      <c r="C98" s="112" t="s">
        <v>385</v>
      </c>
      <c r="D98" s="92"/>
      <c r="E98" s="124"/>
    </row>
    <row r="99" spans="1:5" ht="27.75" customHeight="1" x14ac:dyDescent="0.25">
      <c r="A99" s="751"/>
      <c r="B99" s="509">
        <f>B90*B37*B39</f>
        <v>19.161450000000002</v>
      </c>
      <c r="C99" s="264" t="s">
        <v>827</v>
      </c>
      <c r="D99" s="92"/>
      <c r="E99" s="124"/>
    </row>
    <row r="100" spans="1:5" ht="35.25" customHeight="1" x14ac:dyDescent="0.25">
      <c r="A100" s="699" t="s">
        <v>1004</v>
      </c>
      <c r="B100" s="512">
        <f>(B86-B88)*B22*(B13/100)</f>
        <v>364500</v>
      </c>
      <c r="C100" s="112" t="s">
        <v>385</v>
      </c>
      <c r="D100" s="101" t="s">
        <v>1005</v>
      </c>
      <c r="E100" s="99"/>
    </row>
    <row r="101" spans="1:5" ht="35.25" customHeight="1" x14ac:dyDescent="0.25">
      <c r="A101" s="699"/>
      <c r="B101" s="609">
        <f>B86-B88</f>
        <v>0.40500000000000003</v>
      </c>
      <c r="C101" s="112" t="s">
        <v>827</v>
      </c>
      <c r="D101" s="101" t="s">
        <v>1005</v>
      </c>
      <c r="E101" s="99"/>
    </row>
    <row r="102" spans="1:5" ht="30.75" customHeight="1" x14ac:dyDescent="0.25">
      <c r="A102" s="392" t="s">
        <v>528</v>
      </c>
      <c r="B102" s="510">
        <f>B99+B97+B95</f>
        <v>38.691450000000003</v>
      </c>
      <c r="C102" s="392" t="s">
        <v>827</v>
      </c>
      <c r="D102" s="92"/>
      <c r="E102" s="124"/>
    </row>
    <row r="103" spans="1:5" ht="26.25" customHeight="1" x14ac:dyDescent="0.25">
      <c r="A103" s="112" t="s">
        <v>529</v>
      </c>
      <c r="B103" s="374">
        <f>B101</f>
        <v>0.40500000000000003</v>
      </c>
      <c r="C103" s="112" t="s">
        <v>827</v>
      </c>
      <c r="D103" s="92"/>
      <c r="E103" s="124"/>
    </row>
    <row r="104" spans="1:5" ht="30" customHeight="1" x14ac:dyDescent="0.25">
      <c r="A104" s="112" t="s">
        <v>530</v>
      </c>
      <c r="B104" s="375">
        <f>B102+B103</f>
        <v>39.096450000000004</v>
      </c>
      <c r="C104" s="112" t="s">
        <v>827</v>
      </c>
      <c r="D104" s="92"/>
      <c r="E104" s="124"/>
    </row>
    <row r="105" spans="1:5" x14ac:dyDescent="0.25">
      <c r="A105" s="103" t="s">
        <v>841</v>
      </c>
      <c r="B105" s="103"/>
      <c r="C105" s="103"/>
      <c r="D105" s="103"/>
      <c r="E105" s="117"/>
    </row>
    <row r="106" spans="1:5" ht="30" customHeight="1" x14ac:dyDescent="0.25">
      <c r="A106" s="92" t="s">
        <v>841</v>
      </c>
      <c r="B106" s="109">
        <f>B12*(B13/100)</f>
        <v>900000</v>
      </c>
      <c r="C106" s="92" t="s">
        <v>842</v>
      </c>
      <c r="D106" s="92" t="s">
        <v>660</v>
      </c>
      <c r="E106" s="92"/>
    </row>
    <row r="107" spans="1:5" x14ac:dyDescent="0.25">
      <c r="A107" s="118" t="s">
        <v>251</v>
      </c>
      <c r="B107" s="119"/>
      <c r="C107" s="119"/>
      <c r="D107" s="119"/>
      <c r="E107" s="120"/>
    </row>
    <row r="108" spans="1:5" x14ac:dyDescent="0.25">
      <c r="A108" s="103" t="s">
        <v>94</v>
      </c>
      <c r="B108" s="103"/>
      <c r="C108" s="103"/>
      <c r="D108" s="103"/>
      <c r="E108" s="117"/>
    </row>
    <row r="109" spans="1:5" ht="33.75" customHeight="1" x14ac:dyDescent="0.25">
      <c r="A109" s="92" t="s">
        <v>1011</v>
      </c>
      <c r="B109" s="94">
        <f>B26*(B8/100)</f>
        <v>11176746.978450336</v>
      </c>
      <c r="C109" s="121" t="s">
        <v>261</v>
      </c>
      <c r="D109" s="92"/>
      <c r="E109" s="92"/>
    </row>
    <row r="110" spans="1:5" ht="33.75" customHeight="1" x14ac:dyDescent="0.25">
      <c r="A110" s="92" t="s">
        <v>1267</v>
      </c>
      <c r="B110" s="94">
        <f>B33*(B8/100)</f>
        <v>5052936.2645832021</v>
      </c>
      <c r="C110" s="121" t="s">
        <v>261</v>
      </c>
      <c r="D110" s="92"/>
      <c r="E110" s="92"/>
    </row>
    <row r="111" spans="1:5" ht="33" customHeight="1" x14ac:dyDescent="0.25">
      <c r="A111" s="92" t="s">
        <v>837</v>
      </c>
      <c r="B111" s="94">
        <f>B44*(B8/100)</f>
        <v>786073.65579211467</v>
      </c>
      <c r="C111" s="92" t="s">
        <v>261</v>
      </c>
      <c r="D111" s="92"/>
      <c r="E111" s="92"/>
    </row>
    <row r="112" spans="1:5" ht="33" customHeight="1" x14ac:dyDescent="0.25">
      <c r="A112" s="92" t="s">
        <v>838</v>
      </c>
      <c r="B112" s="94">
        <f>B57*(B8/100)</f>
        <v>3657917.4557407694</v>
      </c>
      <c r="C112" s="92" t="s">
        <v>261</v>
      </c>
      <c r="D112" s="92"/>
      <c r="E112" s="92"/>
    </row>
    <row r="113" spans="1:5" ht="33" customHeight="1" x14ac:dyDescent="0.25">
      <c r="A113" s="92" t="s">
        <v>839</v>
      </c>
      <c r="B113" s="94">
        <f>B62*(B8/100)</f>
        <v>5518730.6898024073</v>
      </c>
      <c r="C113" s="92" t="s">
        <v>261</v>
      </c>
      <c r="D113" s="92"/>
      <c r="E113" s="92"/>
    </row>
    <row r="114" spans="1:5" ht="31.5" customHeight="1" x14ac:dyDescent="0.25">
      <c r="A114" s="92" t="s">
        <v>840</v>
      </c>
      <c r="B114" s="94">
        <f>B67*(B8/100)</f>
        <v>9134257.8099588156</v>
      </c>
      <c r="C114" s="92" t="s">
        <v>261</v>
      </c>
      <c r="D114" s="92"/>
      <c r="E114" s="92"/>
    </row>
    <row r="115" spans="1:5" ht="31.5" customHeight="1" x14ac:dyDescent="0.25">
      <c r="A115" s="92" t="s">
        <v>758</v>
      </c>
      <c r="B115" s="94">
        <f>SUM(B109:B114)*(B76/100)</f>
        <v>0</v>
      </c>
      <c r="C115" s="92" t="s">
        <v>261</v>
      </c>
      <c r="D115" s="92"/>
      <c r="E115" s="92"/>
    </row>
    <row r="116" spans="1:5" ht="31.5" customHeight="1" x14ac:dyDescent="0.25">
      <c r="A116" s="92" t="s">
        <v>761</v>
      </c>
      <c r="B116" s="94">
        <f>SUM(B109:B114)*(B77/100)</f>
        <v>0</v>
      </c>
      <c r="C116" s="92" t="s">
        <v>261</v>
      </c>
      <c r="D116" s="92"/>
      <c r="E116" s="92"/>
    </row>
    <row r="117" spans="1:5" ht="31.5" customHeight="1" x14ac:dyDescent="0.25">
      <c r="A117" s="92" t="s">
        <v>763</v>
      </c>
      <c r="B117" s="94">
        <f>B78*(B8/100)</f>
        <v>0</v>
      </c>
      <c r="C117" s="92" t="s">
        <v>261</v>
      </c>
      <c r="D117" s="92"/>
      <c r="E117" s="92"/>
    </row>
    <row r="118" spans="1:5" x14ac:dyDescent="0.25">
      <c r="A118" s="103" t="s">
        <v>843</v>
      </c>
      <c r="B118" s="103"/>
      <c r="C118" s="103"/>
      <c r="D118" s="103"/>
      <c r="E118" s="117"/>
    </row>
    <row r="119" spans="1:5" ht="31.5" customHeight="1" x14ac:dyDescent="0.25">
      <c r="A119" s="121" t="s">
        <v>1037</v>
      </c>
      <c r="B119" s="227">
        <f>B51</f>
        <v>2654208</v>
      </c>
      <c r="C119" s="121" t="s">
        <v>261</v>
      </c>
      <c r="D119" s="121"/>
      <c r="E119" s="122"/>
    </row>
    <row r="120" spans="1:5" ht="31.5" customHeight="1" x14ac:dyDescent="0.25">
      <c r="A120" s="121" t="s">
        <v>1012</v>
      </c>
      <c r="B120" s="125">
        <f>(B27/100)*B26</f>
        <v>6934635.6776607446</v>
      </c>
      <c r="C120" s="121" t="s">
        <v>261</v>
      </c>
      <c r="D120" s="121"/>
      <c r="E120" s="122"/>
    </row>
    <row r="121" spans="1:5" ht="31.5" customHeight="1" x14ac:dyDescent="0.25">
      <c r="A121" s="121" t="s">
        <v>1268</v>
      </c>
      <c r="B121" s="125">
        <f>(B34/100)*B33</f>
        <v>5016167.5363874575</v>
      </c>
      <c r="C121" s="121" t="s">
        <v>261</v>
      </c>
      <c r="D121" s="121"/>
      <c r="E121" s="122"/>
    </row>
    <row r="122" spans="1:5" ht="31.5" x14ac:dyDescent="0.25">
      <c r="A122" s="486" t="s">
        <v>808</v>
      </c>
      <c r="B122" s="125">
        <f>(B45/100)*B44</f>
        <v>243860.50919983402</v>
      </c>
      <c r="C122" s="121" t="s">
        <v>261</v>
      </c>
      <c r="D122" s="121"/>
      <c r="E122" s="122"/>
    </row>
    <row r="123" spans="1:5" ht="30" customHeight="1" x14ac:dyDescent="0.25">
      <c r="A123" s="425" t="s">
        <v>765</v>
      </c>
      <c r="B123" s="375">
        <f>B79</f>
        <v>0</v>
      </c>
      <c r="C123" s="121" t="s">
        <v>261</v>
      </c>
      <c r="D123" s="121"/>
      <c r="E123" s="122"/>
    </row>
    <row r="124" spans="1:5" ht="27.75" customHeight="1" x14ac:dyDescent="0.25">
      <c r="A124" s="92" t="s">
        <v>89</v>
      </c>
      <c r="B124" s="375">
        <f>B80</f>
        <v>0</v>
      </c>
      <c r="C124" s="121" t="s">
        <v>261</v>
      </c>
      <c r="D124" s="121"/>
      <c r="E124" s="122"/>
    </row>
    <row r="125" spans="1:5" x14ac:dyDescent="0.25">
      <c r="A125" s="103" t="s">
        <v>844</v>
      </c>
      <c r="B125" s="103"/>
      <c r="C125" s="103"/>
      <c r="D125" s="103"/>
      <c r="E125" s="117"/>
    </row>
    <row r="126" spans="1:5" ht="30.75" customHeight="1" x14ac:dyDescent="0.25">
      <c r="A126" s="313" t="s">
        <v>1013</v>
      </c>
      <c r="B126" s="128">
        <f>B71*B16*B22*(B13/100)</f>
        <v>2872799.9999999995</v>
      </c>
      <c r="C126" s="92" t="s">
        <v>261</v>
      </c>
      <c r="D126" s="92"/>
      <c r="E126" s="92"/>
    </row>
    <row r="127" spans="1:5" ht="30.75" customHeight="1" x14ac:dyDescent="0.25">
      <c r="A127" s="313" t="s">
        <v>1269</v>
      </c>
      <c r="B127" s="128">
        <f>B71*B17*B29*(B13/100)</f>
        <v>1368000</v>
      </c>
      <c r="C127" s="92" t="s">
        <v>261</v>
      </c>
      <c r="D127" s="92"/>
      <c r="E127" s="92"/>
    </row>
    <row r="128" spans="1:5" ht="30.75" customHeight="1" x14ac:dyDescent="0.25">
      <c r="A128" s="313" t="s">
        <v>1014</v>
      </c>
      <c r="B128" s="128">
        <f>B72*B18*B22*(B13/100)</f>
        <v>3095999.9999999995</v>
      </c>
      <c r="C128" s="92" t="s">
        <v>261</v>
      </c>
      <c r="D128" s="92"/>
      <c r="E128" s="92"/>
    </row>
    <row r="129" spans="1:5" ht="30.75" customHeight="1" x14ac:dyDescent="0.25">
      <c r="A129" s="313" t="s">
        <v>1015</v>
      </c>
      <c r="B129" s="128">
        <f>B74*B20*B22*(B13/100)</f>
        <v>1566000</v>
      </c>
      <c r="C129" s="92" t="s">
        <v>261</v>
      </c>
      <c r="D129" s="92"/>
      <c r="E129" s="92"/>
    </row>
    <row r="130" spans="1:5" ht="27.75" customHeight="1" x14ac:dyDescent="0.25">
      <c r="A130" s="313" t="s">
        <v>815</v>
      </c>
      <c r="B130" s="128">
        <f>B71*B37*B40*(B13/100)</f>
        <v>4160772</v>
      </c>
      <c r="C130" s="92" t="s">
        <v>261</v>
      </c>
      <c r="D130" s="92"/>
      <c r="E130" s="92"/>
    </row>
    <row r="131" spans="1:5" ht="30" customHeight="1" x14ac:dyDescent="0.25">
      <c r="A131" s="313" t="s">
        <v>765</v>
      </c>
      <c r="B131" s="489">
        <f>B79*(B8/100)</f>
        <v>0</v>
      </c>
      <c r="C131" s="92" t="s">
        <v>261</v>
      </c>
      <c r="D131" s="92"/>
      <c r="E131" s="92"/>
    </row>
    <row r="132" spans="1:5" ht="32.25" customHeight="1" x14ac:dyDescent="0.25">
      <c r="A132" s="92" t="s">
        <v>89</v>
      </c>
      <c r="B132" s="109">
        <f>B80*(B8/100)</f>
        <v>0</v>
      </c>
      <c r="C132" s="92" t="s">
        <v>261</v>
      </c>
      <c r="D132" s="92"/>
      <c r="E132" s="92"/>
    </row>
    <row r="133" spans="1:5" ht="30.75" customHeight="1" x14ac:dyDescent="0.25">
      <c r="A133" s="92" t="s">
        <v>649</v>
      </c>
      <c r="B133" s="109">
        <f>B83*B103*B106/1000</f>
        <v>0</v>
      </c>
      <c r="C133" s="92" t="s">
        <v>261</v>
      </c>
      <c r="D133" s="92" t="s">
        <v>650</v>
      </c>
      <c r="E133" s="92"/>
    </row>
    <row r="134" spans="1:5" x14ac:dyDescent="0.25">
      <c r="A134" s="103" t="s">
        <v>495</v>
      </c>
      <c r="B134" s="103"/>
      <c r="C134" s="103"/>
      <c r="D134" s="103"/>
      <c r="E134" s="117"/>
    </row>
    <row r="135" spans="1:5" ht="30.75" customHeight="1" x14ac:dyDescent="0.25">
      <c r="A135" s="268" t="s">
        <v>848</v>
      </c>
      <c r="B135" s="495">
        <f>B37*B39</f>
        <v>30.414999999999999</v>
      </c>
      <c r="C135" s="92" t="s">
        <v>791</v>
      </c>
      <c r="D135" s="92"/>
      <c r="E135" s="218"/>
    </row>
    <row r="136" spans="1:5" ht="30.75" customHeight="1" x14ac:dyDescent="0.25">
      <c r="A136" s="101" t="s">
        <v>1016</v>
      </c>
      <c r="B136" s="493">
        <f>B16</f>
        <v>21</v>
      </c>
      <c r="C136" s="92" t="s">
        <v>791</v>
      </c>
      <c r="D136" s="92"/>
      <c r="E136" s="218"/>
    </row>
    <row r="137" spans="1:5" ht="30.75" customHeight="1" x14ac:dyDescent="0.25">
      <c r="A137" s="101" t="s">
        <v>1270</v>
      </c>
      <c r="B137" s="493">
        <f>B17</f>
        <v>10</v>
      </c>
      <c r="C137" s="92" t="s">
        <v>791</v>
      </c>
      <c r="D137" s="92"/>
      <c r="E137" s="218"/>
    </row>
    <row r="138" spans="1:5" ht="30.75" customHeight="1" x14ac:dyDescent="0.25">
      <c r="A138" s="268" t="s">
        <v>845</v>
      </c>
      <c r="B138" s="494">
        <f>SUM(B135:B137)</f>
        <v>61.414999999999999</v>
      </c>
      <c r="C138" s="92" t="s">
        <v>791</v>
      </c>
      <c r="D138" s="92"/>
      <c r="E138" s="218"/>
    </row>
    <row r="139" spans="1:5" x14ac:dyDescent="0.25">
      <c r="A139" s="103" t="s">
        <v>258</v>
      </c>
      <c r="B139" s="103"/>
      <c r="C139" s="103"/>
      <c r="D139" s="103"/>
      <c r="E139" s="117"/>
    </row>
    <row r="140" spans="1:5" ht="30.75" customHeight="1" x14ac:dyDescent="0.25">
      <c r="A140" s="123" t="s">
        <v>1189</v>
      </c>
      <c r="B140" s="197">
        <f t="shared" ref="B140:B148" si="0">B109/$B$106</f>
        <v>12.418607753833706</v>
      </c>
      <c r="C140" s="92" t="s">
        <v>858</v>
      </c>
      <c r="D140" s="113"/>
      <c r="E140" s="455"/>
    </row>
    <row r="141" spans="1:5" ht="30.75" customHeight="1" x14ac:dyDescent="0.25">
      <c r="A141" s="123" t="s">
        <v>1271</v>
      </c>
      <c r="B141" s="197">
        <f t="shared" si="0"/>
        <v>5.6143736273146692</v>
      </c>
      <c r="C141" s="92" t="s">
        <v>858</v>
      </c>
      <c r="D141" s="113"/>
      <c r="E141" s="455"/>
    </row>
    <row r="142" spans="1:5" ht="33.75" customHeight="1" x14ac:dyDescent="0.25">
      <c r="A142" s="123" t="s">
        <v>913</v>
      </c>
      <c r="B142" s="197">
        <f t="shared" si="0"/>
        <v>0.87341517310234962</v>
      </c>
      <c r="C142" s="92" t="s">
        <v>858</v>
      </c>
      <c r="D142" s="113"/>
      <c r="E142" s="455"/>
    </row>
    <row r="143" spans="1:5" ht="32.25" customHeight="1" x14ac:dyDescent="0.25">
      <c r="A143" s="123" t="s">
        <v>914</v>
      </c>
      <c r="B143" s="197">
        <f t="shared" si="0"/>
        <v>4.0643527286008547</v>
      </c>
      <c r="C143" s="92" t="s">
        <v>858</v>
      </c>
      <c r="D143" s="113"/>
      <c r="E143" s="455"/>
    </row>
    <row r="144" spans="1:5" ht="34.5" customHeight="1" x14ac:dyDescent="0.25">
      <c r="A144" s="123" t="s">
        <v>915</v>
      </c>
      <c r="B144" s="197">
        <f t="shared" si="0"/>
        <v>6.1319229886693414</v>
      </c>
      <c r="C144" s="92" t="s">
        <v>858</v>
      </c>
      <c r="D144" s="113"/>
      <c r="E144" s="455"/>
    </row>
    <row r="145" spans="1:5" ht="33.75" customHeight="1" x14ac:dyDescent="0.25">
      <c r="A145" s="123" t="s">
        <v>916</v>
      </c>
      <c r="B145" s="197">
        <f t="shared" si="0"/>
        <v>10.149175344398683</v>
      </c>
      <c r="C145" s="92" t="s">
        <v>858</v>
      </c>
      <c r="D145" s="113"/>
      <c r="E145" s="455"/>
    </row>
    <row r="146" spans="1:5" ht="36" customHeight="1" x14ac:dyDescent="0.25">
      <c r="A146" s="123" t="s">
        <v>917</v>
      </c>
      <c r="B146" s="197">
        <f t="shared" si="0"/>
        <v>0</v>
      </c>
      <c r="C146" s="92" t="s">
        <v>858</v>
      </c>
      <c r="D146" s="113"/>
      <c r="E146" s="455"/>
    </row>
    <row r="147" spans="1:5" ht="32.25" customHeight="1" x14ac:dyDescent="0.25">
      <c r="A147" s="123" t="s">
        <v>918</v>
      </c>
      <c r="B147" s="197">
        <f t="shared" si="0"/>
        <v>0</v>
      </c>
      <c r="C147" s="92" t="s">
        <v>858</v>
      </c>
      <c r="D147" s="113"/>
      <c r="E147" s="455"/>
    </row>
    <row r="148" spans="1:5" ht="33.75" customHeight="1" x14ac:dyDescent="0.25">
      <c r="A148" s="123" t="s">
        <v>919</v>
      </c>
      <c r="B148" s="197">
        <f t="shared" si="0"/>
        <v>0</v>
      </c>
      <c r="C148" s="92" t="s">
        <v>858</v>
      </c>
      <c r="D148" s="113"/>
      <c r="E148" s="455"/>
    </row>
    <row r="149" spans="1:5" ht="33.75" customHeight="1" x14ac:dyDescent="0.25">
      <c r="A149" s="486" t="s">
        <v>1038</v>
      </c>
      <c r="B149" s="197">
        <f>B119/$B$106</f>
        <v>2.9491200000000002</v>
      </c>
      <c r="C149" s="92" t="s">
        <v>858</v>
      </c>
      <c r="D149" s="113"/>
      <c r="E149" s="455"/>
    </row>
    <row r="150" spans="1:5" ht="33.75" customHeight="1" x14ac:dyDescent="0.25">
      <c r="A150" s="486" t="s">
        <v>904</v>
      </c>
      <c r="B150" s="197">
        <f>(B120+B121+B122)/$B$106</f>
        <v>13.549626359164485</v>
      </c>
      <c r="C150" s="92" t="s">
        <v>858</v>
      </c>
      <c r="D150" s="113"/>
      <c r="E150" s="455"/>
    </row>
    <row r="151" spans="1:5" ht="38.25" customHeight="1" x14ac:dyDescent="0.25">
      <c r="A151" s="123" t="s">
        <v>855</v>
      </c>
      <c r="B151" s="197">
        <f>B123/$B$106</f>
        <v>0</v>
      </c>
      <c r="C151" s="92" t="s">
        <v>858</v>
      </c>
      <c r="D151" s="113"/>
      <c r="E151" s="455"/>
    </row>
    <row r="152" spans="1:5" ht="34.5" customHeight="1" x14ac:dyDescent="0.25">
      <c r="A152" s="123" t="s">
        <v>856</v>
      </c>
      <c r="B152" s="197">
        <f>B124/$B$106</f>
        <v>0</v>
      </c>
      <c r="C152" s="92" t="s">
        <v>858</v>
      </c>
      <c r="D152" s="113"/>
      <c r="E152" s="455"/>
    </row>
    <row r="153" spans="1:5" ht="33.75" customHeight="1" x14ac:dyDescent="0.25">
      <c r="A153" s="314" t="s">
        <v>1017</v>
      </c>
      <c r="B153" s="197">
        <f>B126/$B$106</f>
        <v>3.1919999999999993</v>
      </c>
      <c r="C153" s="92" t="s">
        <v>858</v>
      </c>
      <c r="D153" s="113"/>
      <c r="E153" s="455"/>
    </row>
    <row r="154" spans="1:5" ht="33.75" customHeight="1" x14ac:dyDescent="0.25">
      <c r="A154" s="314" t="s">
        <v>1272</v>
      </c>
      <c r="B154" s="197">
        <f>B127/$B$106</f>
        <v>1.52</v>
      </c>
      <c r="C154" s="92" t="s">
        <v>858</v>
      </c>
      <c r="D154" s="113"/>
      <c r="E154" s="455"/>
    </row>
    <row r="155" spans="1:5" ht="33.75" customHeight="1" x14ac:dyDescent="0.25">
      <c r="A155" s="313" t="s">
        <v>1018</v>
      </c>
      <c r="B155" s="197">
        <f t="shared" ref="B155:B156" si="1">B128/$B$106</f>
        <v>3.4399999999999995</v>
      </c>
      <c r="C155" s="92" t="s">
        <v>858</v>
      </c>
      <c r="D155" s="113"/>
      <c r="E155" s="455"/>
    </row>
    <row r="156" spans="1:5" ht="33.75" customHeight="1" x14ac:dyDescent="0.25">
      <c r="A156" s="313" t="s">
        <v>1019</v>
      </c>
      <c r="B156" s="197">
        <f t="shared" si="1"/>
        <v>1.74</v>
      </c>
      <c r="C156" s="92" t="s">
        <v>858</v>
      </c>
      <c r="D156" s="113"/>
      <c r="E156" s="455"/>
    </row>
    <row r="157" spans="1:5" ht="33" customHeight="1" x14ac:dyDescent="0.25">
      <c r="A157" s="314" t="s">
        <v>854</v>
      </c>
      <c r="B157" s="197">
        <f>B130/$B$106</f>
        <v>4.6230799999999999</v>
      </c>
      <c r="C157" s="92" t="s">
        <v>858</v>
      </c>
      <c r="D157" s="113"/>
      <c r="E157" s="455"/>
    </row>
    <row r="158" spans="1:5" ht="36" customHeight="1" x14ac:dyDescent="0.25">
      <c r="A158" s="314" t="s">
        <v>855</v>
      </c>
      <c r="B158" s="197">
        <f t="shared" ref="B158:B160" si="2">B131/$B$106</f>
        <v>0</v>
      </c>
      <c r="C158" s="92" t="s">
        <v>858</v>
      </c>
      <c r="D158" s="113"/>
      <c r="E158" s="455"/>
    </row>
    <row r="159" spans="1:5" ht="33.75" customHeight="1" x14ac:dyDescent="0.25">
      <c r="A159" s="123" t="s">
        <v>856</v>
      </c>
      <c r="B159" s="197">
        <f t="shared" si="2"/>
        <v>0</v>
      </c>
      <c r="C159" s="92" t="s">
        <v>858</v>
      </c>
      <c r="D159" s="113"/>
      <c r="E159" s="455"/>
    </row>
    <row r="160" spans="1:5" ht="34.5" customHeight="1" x14ac:dyDescent="0.25">
      <c r="A160" s="123" t="s">
        <v>857</v>
      </c>
      <c r="B160" s="197">
        <f t="shared" si="2"/>
        <v>0</v>
      </c>
      <c r="C160" s="92" t="s">
        <v>858</v>
      </c>
      <c r="D160" s="113"/>
      <c r="E160" s="455"/>
    </row>
    <row r="161" spans="1:5" ht="38.25" customHeight="1" x14ac:dyDescent="0.25">
      <c r="A161" s="123" t="s">
        <v>1188</v>
      </c>
      <c r="B161" s="130">
        <f>SUM(B140:B160)</f>
        <v>70.265673975084084</v>
      </c>
      <c r="C161" s="92" t="s">
        <v>858</v>
      </c>
      <c r="D161" s="92"/>
      <c r="E161" s="92"/>
    </row>
    <row r="162" spans="1:5" ht="34.5" customHeight="1" x14ac:dyDescent="0.25">
      <c r="A162" s="123" t="s">
        <v>1188</v>
      </c>
      <c r="B162" s="130">
        <f>B161/B5</f>
        <v>100.37953425012013</v>
      </c>
      <c r="C162" s="92" t="s">
        <v>873</v>
      </c>
      <c r="D162" s="92"/>
      <c r="E162" s="92"/>
    </row>
    <row r="163" spans="1:5" x14ac:dyDescent="0.25">
      <c r="A163" s="270"/>
      <c r="B163" s="326"/>
    </row>
    <row r="164" spans="1:5" x14ac:dyDescent="0.25">
      <c r="B164" s="326"/>
    </row>
    <row r="167" spans="1:5" x14ac:dyDescent="0.25">
      <c r="B167" s="326"/>
    </row>
  </sheetData>
  <mergeCells count="22">
    <mergeCell ref="A23:A26"/>
    <mergeCell ref="E23:E25"/>
    <mergeCell ref="A38:E38"/>
    <mergeCell ref="A41:A44"/>
    <mergeCell ref="E41:E43"/>
    <mergeCell ref="A28:E28"/>
    <mergeCell ref="A30:A33"/>
    <mergeCell ref="A53:E53"/>
    <mergeCell ref="A54:A57"/>
    <mergeCell ref="E54:E56"/>
    <mergeCell ref="A58:E58"/>
    <mergeCell ref="A59:A62"/>
    <mergeCell ref="E59:E61"/>
    <mergeCell ref="A100:A101"/>
    <mergeCell ref="A85:A86"/>
    <mergeCell ref="A94:A95"/>
    <mergeCell ref="A98:A99"/>
    <mergeCell ref="A63:E63"/>
    <mergeCell ref="A64:A67"/>
    <mergeCell ref="E64:E66"/>
    <mergeCell ref="A87:A88"/>
    <mergeCell ref="A96:A9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3C07A-5CD5-48FF-B6C7-C3E5A5CBA479}">
  <sheetPr>
    <tabColor rgb="FFFFC000"/>
  </sheetPr>
  <dimension ref="A1:E45"/>
  <sheetViews>
    <sheetView zoomScale="70" zoomScaleNormal="70" workbookViewId="0">
      <selection activeCell="D52" sqref="D52"/>
    </sheetView>
  </sheetViews>
  <sheetFormatPr defaultRowHeight="15.75" x14ac:dyDescent="0.25"/>
  <cols>
    <col min="1" max="1" width="51.28515625" style="45" customWidth="1"/>
    <col min="2" max="2" width="25.14062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53" t="s">
        <v>152</v>
      </c>
      <c r="B3" s="54"/>
      <c r="C3" s="54" t="s">
        <v>40</v>
      </c>
      <c r="D3" s="55" t="s">
        <v>42</v>
      </c>
      <c r="E3" s="56" t="s">
        <v>43</v>
      </c>
    </row>
    <row r="4" spans="1:5" ht="16.5" thickBot="1" x14ac:dyDescent="0.3">
      <c r="A4" s="209" t="s">
        <v>44</v>
      </c>
      <c r="B4" s="210"/>
      <c r="C4" s="210"/>
      <c r="D4" s="210"/>
      <c r="E4" s="211"/>
    </row>
    <row r="5" spans="1:5" ht="33.75" customHeight="1" x14ac:dyDescent="0.25">
      <c r="A5" s="212" t="s">
        <v>644</v>
      </c>
      <c r="B5" s="585">
        <f t="shared" ref="B5" si="0">0.7</f>
        <v>0.7</v>
      </c>
      <c r="C5" s="214" t="s">
        <v>45</v>
      </c>
      <c r="D5" s="215"/>
      <c r="E5" s="310">
        <f>0.7</f>
        <v>0.7</v>
      </c>
    </row>
    <row r="6" spans="1:5" ht="30.75" customHeight="1" x14ac:dyDescent="0.25">
      <c r="A6" s="144" t="s">
        <v>46</v>
      </c>
      <c r="B6" s="586">
        <v>7</v>
      </c>
      <c r="C6" s="146" t="s">
        <v>47</v>
      </c>
      <c r="D6" s="147" t="s">
        <v>48</v>
      </c>
      <c r="E6" s="309">
        <v>7</v>
      </c>
    </row>
    <row r="7" spans="1:5" ht="30" customHeight="1" x14ac:dyDescent="0.25">
      <c r="A7" s="193" t="s">
        <v>49</v>
      </c>
      <c r="B7" s="588">
        <v>30</v>
      </c>
      <c r="C7" s="179" t="s">
        <v>50</v>
      </c>
      <c r="D7" s="248"/>
      <c r="E7" s="589" t="s">
        <v>1068</v>
      </c>
    </row>
    <row r="8" spans="1:5" ht="33" customHeight="1" x14ac:dyDescent="0.25">
      <c r="A8" s="62" t="s">
        <v>52</v>
      </c>
      <c r="B8" s="575">
        <f t="shared" ref="B8" si="1">((B6/100)*(1+B6/100)^B7)/(((1+B6/100)^B7)-1)*100</f>
        <v>8.0586403511111193</v>
      </c>
      <c r="C8" s="62" t="s">
        <v>47</v>
      </c>
      <c r="D8" s="62" t="s">
        <v>53</v>
      </c>
      <c r="E8" s="590"/>
    </row>
    <row r="9" spans="1:5" ht="33" customHeight="1" x14ac:dyDescent="0.25">
      <c r="A9" s="62" t="s">
        <v>1210</v>
      </c>
      <c r="B9" s="448">
        <v>100</v>
      </c>
      <c r="C9" s="62" t="s">
        <v>1211</v>
      </c>
      <c r="D9" s="274" t="s">
        <v>1212</v>
      </c>
      <c r="E9" s="591" t="s">
        <v>1281</v>
      </c>
    </row>
    <row r="10" spans="1:5" ht="16.5" thickBot="1" x14ac:dyDescent="0.3"/>
    <row r="11" spans="1:5" ht="16.5" thickBot="1" x14ac:dyDescent="0.3">
      <c r="A11" s="172" t="s">
        <v>181</v>
      </c>
      <c r="B11" s="89"/>
      <c r="C11" s="89"/>
      <c r="D11" s="89"/>
      <c r="E11" s="90"/>
    </row>
    <row r="12" spans="1:5" ht="29.25" customHeight="1" x14ac:dyDescent="0.25">
      <c r="A12" s="417" t="s">
        <v>690</v>
      </c>
      <c r="B12" s="91">
        <v>1000000</v>
      </c>
      <c r="C12" s="92" t="s">
        <v>605</v>
      </c>
      <c r="D12" s="92" t="s">
        <v>1040</v>
      </c>
      <c r="E12" s="93"/>
    </row>
    <row r="13" spans="1:5" ht="30" customHeight="1" thickBot="1" x14ac:dyDescent="0.3">
      <c r="A13" s="313" t="s">
        <v>498</v>
      </c>
      <c r="B13" s="96">
        <v>90</v>
      </c>
      <c r="C13" s="92" t="s">
        <v>47</v>
      </c>
      <c r="D13" s="92" t="s">
        <v>497</v>
      </c>
      <c r="E13" s="52"/>
    </row>
    <row r="14" spans="1:5" ht="16.5" thickBot="1" x14ac:dyDescent="0.3">
      <c r="A14" s="172" t="s">
        <v>1041</v>
      </c>
      <c r="B14" s="119"/>
      <c r="C14" s="119"/>
      <c r="D14" s="119"/>
      <c r="E14" s="120"/>
    </row>
    <row r="15" spans="1:5" ht="17.25" customHeight="1" x14ac:dyDescent="0.25">
      <c r="A15" s="431" t="s">
        <v>1042</v>
      </c>
      <c r="B15" s="432"/>
      <c r="C15" s="432"/>
      <c r="D15" s="432"/>
      <c r="E15" s="433"/>
    </row>
    <row r="16" spans="1:5" ht="33.75" customHeight="1" x14ac:dyDescent="0.25">
      <c r="A16" s="456" t="s">
        <v>377</v>
      </c>
      <c r="B16" s="430">
        <v>611</v>
      </c>
      <c r="C16" s="422" t="s">
        <v>1043</v>
      </c>
      <c r="D16" s="425"/>
      <c r="E16" s="435" t="s">
        <v>1044</v>
      </c>
    </row>
    <row r="17" spans="1:5" ht="33.75" customHeight="1" x14ac:dyDescent="0.25">
      <c r="A17" s="528" t="s">
        <v>659</v>
      </c>
      <c r="B17" s="430">
        <v>177</v>
      </c>
      <c r="C17" s="422" t="s">
        <v>1061</v>
      </c>
      <c r="D17" s="425"/>
      <c r="E17" s="394" t="s">
        <v>1045</v>
      </c>
    </row>
    <row r="18" spans="1:5" ht="18.75" customHeight="1" x14ac:dyDescent="0.25">
      <c r="A18" s="744" t="s">
        <v>1046</v>
      </c>
      <c r="B18" s="744"/>
      <c r="C18" s="744"/>
      <c r="D18" s="744"/>
      <c r="E18" s="744"/>
    </row>
    <row r="19" spans="1:5" ht="33" customHeight="1" x14ac:dyDescent="0.25">
      <c r="A19" s="463" t="s">
        <v>1047</v>
      </c>
      <c r="B19" s="464">
        <f t="shared" ref="B19" si="2">B12</f>
        <v>1000000</v>
      </c>
      <c r="C19" s="112" t="s">
        <v>605</v>
      </c>
      <c r="D19" s="530" t="s">
        <v>1060</v>
      </c>
      <c r="E19" s="394"/>
    </row>
    <row r="20" spans="1:5" ht="28.5" customHeight="1" x14ac:dyDescent="0.25">
      <c r="A20" s="740" t="s">
        <v>1048</v>
      </c>
      <c r="B20" s="426">
        <v>770</v>
      </c>
      <c r="C20" s="422" t="s">
        <v>1051</v>
      </c>
      <c r="D20" s="425" t="s">
        <v>700</v>
      </c>
      <c r="E20" s="435" t="s">
        <v>1052</v>
      </c>
    </row>
    <row r="21" spans="1:5" ht="28.5" customHeight="1" x14ac:dyDescent="0.25">
      <c r="A21" s="740"/>
      <c r="B21" s="125">
        <f t="shared" ref="B21" si="3">(B20*B19)*(B9/100)</f>
        <v>770000000</v>
      </c>
      <c r="C21" s="422" t="s">
        <v>165</v>
      </c>
      <c r="D21" s="425"/>
      <c r="E21" s="50"/>
    </row>
    <row r="22" spans="1:5" ht="33" customHeight="1" x14ac:dyDescent="0.25">
      <c r="A22" s="422" t="s">
        <v>1049</v>
      </c>
      <c r="B22" s="446">
        <v>3</v>
      </c>
      <c r="C22" s="422" t="s">
        <v>701</v>
      </c>
      <c r="D22" s="425" t="s">
        <v>162</v>
      </c>
      <c r="E22" s="435" t="s">
        <v>1050</v>
      </c>
    </row>
    <row r="23" spans="1:5" x14ac:dyDescent="0.25">
      <c r="A23" s="103" t="s">
        <v>841</v>
      </c>
      <c r="B23" s="103"/>
      <c r="C23" s="103"/>
      <c r="D23" s="103"/>
      <c r="E23" s="117"/>
    </row>
    <row r="24" spans="1:5" ht="30" customHeight="1" x14ac:dyDescent="0.25">
      <c r="A24" s="92" t="s">
        <v>841</v>
      </c>
      <c r="B24" s="109">
        <f t="shared" ref="B24" si="4">B12*(B13/100)</f>
        <v>900000</v>
      </c>
      <c r="C24" s="112" t="s">
        <v>1055</v>
      </c>
      <c r="D24" s="92" t="s">
        <v>660</v>
      </c>
      <c r="E24" s="92"/>
    </row>
    <row r="25" spans="1:5" x14ac:dyDescent="0.25">
      <c r="A25" s="118" t="s">
        <v>251</v>
      </c>
      <c r="B25" s="119"/>
      <c r="C25" s="119"/>
      <c r="D25" s="119"/>
      <c r="E25" s="120"/>
    </row>
    <row r="26" spans="1:5" x14ac:dyDescent="0.25">
      <c r="A26" s="103" t="s">
        <v>1056</v>
      </c>
      <c r="B26" s="103"/>
      <c r="C26" s="103"/>
      <c r="D26" s="103"/>
      <c r="E26" s="117"/>
    </row>
    <row r="27" spans="1:5" ht="30.75" customHeight="1" x14ac:dyDescent="0.25">
      <c r="A27" s="121" t="s">
        <v>377</v>
      </c>
      <c r="B27" s="368">
        <v>0.15356489670000001</v>
      </c>
      <c r="C27" s="121" t="s">
        <v>262</v>
      </c>
      <c r="D27" s="121" t="s">
        <v>1057</v>
      </c>
      <c r="E27" s="121"/>
    </row>
    <row r="28" spans="1:5" ht="32.25" customHeight="1" x14ac:dyDescent="0.25">
      <c r="A28" s="121" t="s">
        <v>659</v>
      </c>
      <c r="B28" s="424">
        <v>6.5153100000000004</v>
      </c>
      <c r="C28" s="121" t="s">
        <v>1059</v>
      </c>
      <c r="D28" s="121" t="s">
        <v>1058</v>
      </c>
      <c r="E28" s="121"/>
    </row>
    <row r="29" spans="1:5" x14ac:dyDescent="0.25">
      <c r="A29" s="103" t="s">
        <v>94</v>
      </c>
      <c r="B29" s="103"/>
      <c r="C29" s="103"/>
      <c r="D29" s="103"/>
      <c r="E29" s="117"/>
    </row>
    <row r="30" spans="1:5" ht="29.25" customHeight="1" x14ac:dyDescent="0.25">
      <c r="A30" s="92" t="s">
        <v>1053</v>
      </c>
      <c r="B30" s="109">
        <f t="shared" ref="B30" si="5">B21*(B8/100)</f>
        <v>62051530.703555621</v>
      </c>
      <c r="C30" s="92" t="s">
        <v>261</v>
      </c>
      <c r="D30" s="92"/>
      <c r="E30" s="92"/>
    </row>
    <row r="31" spans="1:5" x14ac:dyDescent="0.25">
      <c r="A31" s="103" t="s">
        <v>843</v>
      </c>
      <c r="B31" s="103"/>
      <c r="C31" s="103"/>
      <c r="D31" s="103"/>
      <c r="E31" s="117"/>
    </row>
    <row r="32" spans="1:5" ht="31.5" customHeight="1" x14ac:dyDescent="0.25">
      <c r="A32" s="121" t="s">
        <v>1054</v>
      </c>
      <c r="B32" s="125">
        <f t="shared" ref="B32" si="6">(B22/100)*B21</f>
        <v>23100000</v>
      </c>
      <c r="C32" s="121" t="s">
        <v>261</v>
      </c>
      <c r="D32" s="121"/>
      <c r="E32" s="122"/>
    </row>
    <row r="33" spans="1:5" x14ac:dyDescent="0.25">
      <c r="A33" s="103" t="s">
        <v>844</v>
      </c>
      <c r="B33" s="103"/>
      <c r="C33" s="103"/>
      <c r="D33" s="103"/>
      <c r="E33" s="117"/>
    </row>
    <row r="34" spans="1:5" ht="33.75" customHeight="1" x14ac:dyDescent="0.25">
      <c r="A34" s="487" t="s">
        <v>377</v>
      </c>
      <c r="B34" s="128">
        <f t="shared" ref="B34" si="7">B27*B16*B24</f>
        <v>84445336.695330009</v>
      </c>
      <c r="C34" s="92" t="s">
        <v>261</v>
      </c>
      <c r="D34" s="92"/>
      <c r="E34" s="92"/>
    </row>
    <row r="35" spans="1:5" ht="30.75" customHeight="1" x14ac:dyDescent="0.25">
      <c r="A35" s="487" t="s">
        <v>659</v>
      </c>
      <c r="B35" s="128">
        <f t="shared" ref="B35" si="8">B28*B17*B24</f>
        <v>1037888883.0000001</v>
      </c>
      <c r="C35" s="92" t="s">
        <v>261</v>
      </c>
      <c r="D35" s="92"/>
      <c r="E35" s="92"/>
    </row>
    <row r="36" spans="1:5" x14ac:dyDescent="0.25">
      <c r="A36" s="103" t="s">
        <v>258</v>
      </c>
      <c r="B36" s="103"/>
      <c r="C36" s="103"/>
      <c r="D36" s="103"/>
      <c r="E36" s="117"/>
    </row>
    <row r="37" spans="1:5" ht="36" customHeight="1" x14ac:dyDescent="0.25">
      <c r="A37" s="123" t="s">
        <v>1062</v>
      </c>
      <c r="B37" s="197">
        <f t="shared" ref="B37" si="9">B30/B24</f>
        <v>68.946145226172916</v>
      </c>
      <c r="C37" s="92" t="s">
        <v>1066</v>
      </c>
      <c r="D37" s="113"/>
      <c r="E37" s="455"/>
    </row>
    <row r="38" spans="1:5" ht="34.5" customHeight="1" x14ac:dyDescent="0.25">
      <c r="A38" s="123" t="s">
        <v>1063</v>
      </c>
      <c r="B38" s="197">
        <f t="shared" ref="B38" si="10">B32/B24</f>
        <v>25.666666666666668</v>
      </c>
      <c r="C38" s="92" t="s">
        <v>1066</v>
      </c>
      <c r="D38" s="113"/>
      <c r="E38" s="455"/>
    </row>
    <row r="39" spans="1:5" ht="34.5" customHeight="1" x14ac:dyDescent="0.25">
      <c r="A39" s="123" t="s">
        <v>1064</v>
      </c>
      <c r="B39" s="197">
        <f t="shared" ref="B39" si="11">(B34+B35)/B24</f>
        <v>1247.0380218837001</v>
      </c>
      <c r="C39" s="92" t="s">
        <v>1066</v>
      </c>
      <c r="D39" s="113"/>
      <c r="E39" s="455"/>
    </row>
    <row r="40" spans="1:5" ht="38.25" customHeight="1" x14ac:dyDescent="0.25">
      <c r="A40" s="123" t="s">
        <v>1065</v>
      </c>
      <c r="B40" s="130">
        <f t="shared" ref="B40" si="12">SUM(B37:B39)</f>
        <v>1341.6508337765397</v>
      </c>
      <c r="C40" s="92" t="s">
        <v>1066</v>
      </c>
      <c r="D40" s="92"/>
      <c r="E40" s="92"/>
    </row>
    <row r="41" spans="1:5" ht="34.5" customHeight="1" x14ac:dyDescent="0.25">
      <c r="A41" s="123" t="s">
        <v>1065</v>
      </c>
      <c r="B41" s="130">
        <f t="shared" ref="B41" si="13">B40/B5</f>
        <v>1916.6440482521996</v>
      </c>
      <c r="C41" s="92" t="s">
        <v>1067</v>
      </c>
      <c r="D41" s="92"/>
      <c r="E41" s="92"/>
    </row>
    <row r="42" spans="1:5" ht="33.75" customHeight="1" x14ac:dyDescent="0.25">
      <c r="A42" s="123" t="s">
        <v>1234</v>
      </c>
      <c r="B42" s="598">
        <f t="shared" ref="B42" si="14">B41/18.8</f>
        <v>101.94915150277657</v>
      </c>
      <c r="C42" s="52" t="s">
        <v>1151</v>
      </c>
      <c r="D42" s="52" t="s">
        <v>1233</v>
      </c>
      <c r="E42" s="52"/>
    </row>
    <row r="43" spans="1:5" x14ac:dyDescent="0.25">
      <c r="B43" s="326"/>
    </row>
    <row r="45" spans="1:5" x14ac:dyDescent="0.25">
      <c r="B45" s="326"/>
    </row>
  </sheetData>
  <mergeCells count="2">
    <mergeCell ref="A18:E18"/>
    <mergeCell ref="A20:A21"/>
  </mergeCells>
  <phoneticPr fontId="38"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6AA8E-1F5C-476C-948E-B8E98BAD0F7E}">
  <sheetPr>
    <tabColor rgb="FFFFC000"/>
  </sheetPr>
  <dimension ref="A1:G48"/>
  <sheetViews>
    <sheetView zoomScale="70" zoomScaleNormal="70" workbookViewId="0">
      <selection activeCell="C55" sqref="C55"/>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53" t="s">
        <v>152</v>
      </c>
      <c r="B3" s="54" t="s">
        <v>41</v>
      </c>
      <c r="C3" s="54" t="s">
        <v>40</v>
      </c>
      <c r="D3" s="55" t="s">
        <v>42</v>
      </c>
      <c r="E3" s="56" t="s">
        <v>43</v>
      </c>
    </row>
    <row r="4" spans="1:5" ht="16.5" thickBot="1" x14ac:dyDescent="0.3">
      <c r="A4" s="209" t="s">
        <v>44</v>
      </c>
      <c r="B4" s="210"/>
      <c r="C4" s="210"/>
      <c r="D4" s="210"/>
      <c r="E4" s="211"/>
    </row>
    <row r="5" spans="1:5" ht="33.75" customHeight="1" x14ac:dyDescent="0.25">
      <c r="A5" s="212" t="s">
        <v>644</v>
      </c>
      <c r="B5" s="213">
        <f>0.7</f>
        <v>0.7</v>
      </c>
      <c r="C5" s="214" t="s">
        <v>45</v>
      </c>
      <c r="D5" s="215"/>
      <c r="E5" s="310">
        <f>0.7</f>
        <v>0.7</v>
      </c>
    </row>
    <row r="6" spans="1:5" ht="30.75" customHeight="1" x14ac:dyDescent="0.25">
      <c r="A6" s="144" t="s">
        <v>46</v>
      </c>
      <c r="B6" s="216">
        <v>7</v>
      </c>
      <c r="C6" s="146" t="s">
        <v>47</v>
      </c>
      <c r="D6" s="147" t="s">
        <v>48</v>
      </c>
      <c r="E6" s="309">
        <v>7</v>
      </c>
    </row>
    <row r="7" spans="1:5" ht="30" customHeight="1" x14ac:dyDescent="0.25">
      <c r="A7" s="144" t="s">
        <v>49</v>
      </c>
      <c r="B7" s="27">
        <v>30</v>
      </c>
      <c r="C7" s="62" t="s">
        <v>50</v>
      </c>
      <c r="D7" s="147"/>
      <c r="E7" s="435" t="s">
        <v>1068</v>
      </c>
    </row>
    <row r="8" spans="1:5" ht="33" customHeight="1" thickBot="1" x14ac:dyDescent="0.3">
      <c r="A8" s="150" t="s">
        <v>52</v>
      </c>
      <c r="B8" s="217">
        <f>(($B$6/100)*(1+$B$6/100)^$B$7)/(((1+$B$6/100)^$B$7)-1)*100</f>
        <v>8.0586403511111193</v>
      </c>
      <c r="C8" s="151" t="s">
        <v>47</v>
      </c>
      <c r="D8" s="152" t="s">
        <v>53</v>
      </c>
      <c r="E8" s="308"/>
    </row>
    <row r="9" spans="1:5" ht="16.5" thickBot="1" x14ac:dyDescent="0.3"/>
    <row r="10" spans="1:5" ht="16.5" thickBot="1" x14ac:dyDescent="0.3">
      <c r="A10" s="172" t="s">
        <v>181</v>
      </c>
      <c r="B10" s="89"/>
      <c r="C10" s="89"/>
      <c r="D10" s="89"/>
      <c r="E10" s="90"/>
    </row>
    <row r="11" spans="1:5" ht="29.25" customHeight="1" x14ac:dyDescent="0.25">
      <c r="A11" s="417" t="s">
        <v>690</v>
      </c>
      <c r="B11" s="91">
        <v>1000000</v>
      </c>
      <c r="C11" s="92" t="s">
        <v>1082</v>
      </c>
      <c r="D11" s="92" t="s">
        <v>1040</v>
      </c>
      <c r="E11" s="93"/>
    </row>
    <row r="12" spans="1:5" ht="30" customHeight="1" thickBot="1" x14ac:dyDescent="0.3">
      <c r="A12" s="313" t="s">
        <v>498</v>
      </c>
      <c r="B12" s="96">
        <v>90</v>
      </c>
      <c r="C12" s="92" t="s">
        <v>47</v>
      </c>
      <c r="D12" s="92" t="s">
        <v>497</v>
      </c>
      <c r="E12" s="52"/>
    </row>
    <row r="13" spans="1:5" ht="16.5" thickBot="1" x14ac:dyDescent="0.3">
      <c r="A13" s="172" t="s">
        <v>1041</v>
      </c>
      <c r="B13" s="440"/>
      <c r="C13" s="119"/>
      <c r="D13" s="119"/>
      <c r="E13" s="120"/>
    </row>
    <row r="14" spans="1:5" ht="17.25" customHeight="1" x14ac:dyDescent="0.25">
      <c r="A14" s="431" t="s">
        <v>1042</v>
      </c>
      <c r="B14" s="432"/>
      <c r="C14" s="432"/>
      <c r="D14" s="432"/>
      <c r="E14" s="433"/>
    </row>
    <row r="15" spans="1:5" ht="33.75" customHeight="1" x14ac:dyDescent="0.25">
      <c r="A15" s="456" t="s">
        <v>377</v>
      </c>
      <c r="B15" s="424">
        <v>1.5</v>
      </c>
      <c r="C15" s="422" t="s">
        <v>1069</v>
      </c>
      <c r="D15" s="425"/>
      <c r="E15" s="435" t="s">
        <v>1071</v>
      </c>
    </row>
    <row r="16" spans="1:5" ht="33.75" customHeight="1" x14ac:dyDescent="0.25">
      <c r="A16" s="758" t="s">
        <v>1070</v>
      </c>
      <c r="B16" s="529">
        <v>9.6999999999999993</v>
      </c>
      <c r="C16" s="422" t="s">
        <v>1069</v>
      </c>
      <c r="D16" s="425" t="s">
        <v>1246</v>
      </c>
      <c r="E16" s="435" t="s">
        <v>1072</v>
      </c>
    </row>
    <row r="17" spans="1:7" ht="33.75" customHeight="1" x14ac:dyDescent="0.25">
      <c r="A17" s="759"/>
      <c r="B17" s="373">
        <f>B16/33.3</f>
        <v>0.29129129129129128</v>
      </c>
      <c r="C17" s="422" t="s">
        <v>1128</v>
      </c>
      <c r="D17" s="425" t="s">
        <v>1247</v>
      </c>
      <c r="E17" s="435"/>
    </row>
    <row r="18" spans="1:7" ht="33.75" customHeight="1" x14ac:dyDescent="0.25">
      <c r="A18" s="528" t="s">
        <v>1256</v>
      </c>
      <c r="B18" s="424">
        <v>5.65</v>
      </c>
      <c r="C18" s="422" t="s">
        <v>1254</v>
      </c>
      <c r="D18" s="425" t="s">
        <v>1255</v>
      </c>
      <c r="E18" s="394" t="s">
        <v>1045</v>
      </c>
      <c r="G18" s="582"/>
    </row>
    <row r="19" spans="1:7" ht="33.75" customHeight="1" x14ac:dyDescent="0.25">
      <c r="A19" s="528" t="s">
        <v>1078</v>
      </c>
      <c r="B19" s="430">
        <v>99</v>
      </c>
      <c r="C19" s="422" t="s">
        <v>47</v>
      </c>
      <c r="D19" s="425"/>
      <c r="E19" s="435" t="s">
        <v>1068</v>
      </c>
    </row>
    <row r="20" spans="1:7" ht="33.75" customHeight="1" x14ac:dyDescent="0.25">
      <c r="A20" s="528" t="s">
        <v>1079</v>
      </c>
      <c r="B20" s="430">
        <v>99</v>
      </c>
      <c r="C20" s="422" t="s">
        <v>47</v>
      </c>
      <c r="D20" s="425"/>
      <c r="E20" s="435" t="s">
        <v>1068</v>
      </c>
    </row>
    <row r="21" spans="1:7" ht="33.75" customHeight="1" x14ac:dyDescent="0.25">
      <c r="A21" s="528" t="s">
        <v>1080</v>
      </c>
      <c r="B21" s="364">
        <f>(B18/((B19/100)*(B20/100)))+B17</f>
        <v>6.0560091772212985</v>
      </c>
      <c r="C21" s="422" t="s">
        <v>1081</v>
      </c>
      <c r="D21" s="425"/>
      <c r="E21" s="435"/>
    </row>
    <row r="22" spans="1:7" ht="18.75" customHeight="1" x14ac:dyDescent="0.25">
      <c r="A22" s="744" t="s">
        <v>1074</v>
      </c>
      <c r="B22" s="744"/>
      <c r="C22" s="744"/>
      <c r="D22" s="744"/>
      <c r="E22" s="744"/>
    </row>
    <row r="23" spans="1:7" ht="33" customHeight="1" x14ac:dyDescent="0.25">
      <c r="A23" s="463" t="s">
        <v>1047</v>
      </c>
      <c r="B23" s="464">
        <f>B11</f>
        <v>1000000</v>
      </c>
      <c r="C23" s="112" t="s">
        <v>1082</v>
      </c>
      <c r="D23" s="530" t="s">
        <v>1060</v>
      </c>
      <c r="E23" s="394"/>
    </row>
    <row r="24" spans="1:7" ht="28.5" customHeight="1" x14ac:dyDescent="0.25">
      <c r="A24" s="740" t="s">
        <v>1074</v>
      </c>
      <c r="B24" s="426">
        <v>3050</v>
      </c>
      <c r="C24" s="422" t="s">
        <v>1075</v>
      </c>
      <c r="D24" s="425" t="s">
        <v>700</v>
      </c>
      <c r="E24" s="435" t="s">
        <v>1077</v>
      </c>
    </row>
    <row r="25" spans="1:7" ht="28.5" customHeight="1" x14ac:dyDescent="0.25">
      <c r="A25" s="740"/>
      <c r="B25" s="125">
        <f>B24*B23</f>
        <v>3050000000</v>
      </c>
      <c r="C25" s="422" t="s">
        <v>165</v>
      </c>
      <c r="D25" s="425"/>
      <c r="E25" s="50"/>
    </row>
    <row r="26" spans="1:7" ht="33" customHeight="1" x14ac:dyDescent="0.25">
      <c r="A26" s="422" t="s">
        <v>1049</v>
      </c>
      <c r="B26" s="446">
        <v>4</v>
      </c>
      <c r="C26" s="422" t="s">
        <v>701</v>
      </c>
      <c r="D26" s="425" t="s">
        <v>162</v>
      </c>
      <c r="E26" s="435" t="s">
        <v>1076</v>
      </c>
    </row>
    <row r="27" spans="1:7" x14ac:dyDescent="0.25">
      <c r="A27" s="103" t="s">
        <v>841</v>
      </c>
      <c r="B27" s="103"/>
      <c r="C27" s="103"/>
      <c r="D27" s="103"/>
      <c r="E27" s="117"/>
    </row>
    <row r="28" spans="1:7" ht="30" customHeight="1" x14ac:dyDescent="0.25">
      <c r="A28" s="92" t="s">
        <v>841</v>
      </c>
      <c r="B28" s="109">
        <f>B11*(B12/100)*(B18/B21)</f>
        <v>839661.87157153059</v>
      </c>
      <c r="C28" s="112" t="s">
        <v>1082</v>
      </c>
      <c r="D28" s="92" t="s">
        <v>1257</v>
      </c>
      <c r="E28" s="92"/>
      <c r="G28" s="349"/>
    </row>
    <row r="29" spans="1:7" x14ac:dyDescent="0.25">
      <c r="A29" s="118" t="s">
        <v>251</v>
      </c>
      <c r="B29" s="119"/>
      <c r="C29" s="119"/>
      <c r="D29" s="119"/>
      <c r="E29" s="120"/>
    </row>
    <row r="30" spans="1:7" x14ac:dyDescent="0.25">
      <c r="A30" s="103" t="s">
        <v>1056</v>
      </c>
      <c r="B30" s="103"/>
      <c r="C30" s="103"/>
      <c r="D30" s="103"/>
      <c r="E30" s="117"/>
    </row>
    <row r="31" spans="1:7" ht="30.75" customHeight="1" x14ac:dyDescent="0.25">
      <c r="A31" s="121" t="s">
        <v>377</v>
      </c>
      <c r="B31" s="27">
        <v>0.3</v>
      </c>
      <c r="C31" s="121" t="s">
        <v>262</v>
      </c>
      <c r="D31" s="121" t="s">
        <v>1057</v>
      </c>
      <c r="E31" s="486" t="s">
        <v>1284</v>
      </c>
    </row>
    <row r="32" spans="1:7" x14ac:dyDescent="0.25">
      <c r="A32" s="103" t="s">
        <v>94</v>
      </c>
      <c r="B32" s="103"/>
      <c r="C32" s="103"/>
      <c r="D32" s="103"/>
      <c r="E32" s="117"/>
    </row>
    <row r="33" spans="1:5" ht="29.25" customHeight="1" x14ac:dyDescent="0.25">
      <c r="A33" s="92" t="s">
        <v>1083</v>
      </c>
      <c r="B33" s="109">
        <f>B25*(B8/100)</f>
        <v>245788530.70888916</v>
      </c>
      <c r="C33" s="92" t="s">
        <v>261</v>
      </c>
      <c r="D33" s="92"/>
      <c r="E33" s="92"/>
    </row>
    <row r="34" spans="1:5" x14ac:dyDescent="0.25">
      <c r="A34" s="103" t="s">
        <v>843</v>
      </c>
      <c r="B34" s="103"/>
      <c r="C34" s="103"/>
      <c r="D34" s="103"/>
      <c r="E34" s="117"/>
    </row>
    <row r="35" spans="1:5" ht="31.5" customHeight="1" x14ac:dyDescent="0.25">
      <c r="A35" s="121" t="s">
        <v>1084</v>
      </c>
      <c r="B35" s="125">
        <f>(B26/100)*B25</f>
        <v>122000000</v>
      </c>
      <c r="C35" s="121" t="s">
        <v>261</v>
      </c>
      <c r="D35" s="121"/>
      <c r="E35" s="122"/>
    </row>
    <row r="36" spans="1:5" x14ac:dyDescent="0.25">
      <c r="A36" s="103" t="s">
        <v>844</v>
      </c>
      <c r="B36" s="103"/>
      <c r="C36" s="103"/>
      <c r="D36" s="103"/>
      <c r="E36" s="117"/>
    </row>
    <row r="37" spans="1:5" ht="33.75" customHeight="1" x14ac:dyDescent="0.25">
      <c r="A37" s="487" t="s">
        <v>377</v>
      </c>
      <c r="B37" s="128">
        <f>B31*B15*B28*1000</f>
        <v>377847842.20718873</v>
      </c>
      <c r="C37" s="92" t="s">
        <v>261</v>
      </c>
      <c r="D37" s="92" t="s">
        <v>1073</v>
      </c>
      <c r="E37" s="92"/>
    </row>
    <row r="38" spans="1:5" x14ac:dyDescent="0.25">
      <c r="A38" s="103" t="s">
        <v>258</v>
      </c>
      <c r="B38" s="103"/>
      <c r="C38" s="103"/>
      <c r="D38" s="103"/>
      <c r="E38" s="117"/>
    </row>
    <row r="39" spans="1:5" ht="36" customHeight="1" x14ac:dyDescent="0.25">
      <c r="A39" s="123" t="s">
        <v>1062</v>
      </c>
      <c r="B39" s="197">
        <f>B33/$B$28</f>
        <v>292.72322470575642</v>
      </c>
      <c r="C39" s="92" t="s">
        <v>1085</v>
      </c>
      <c r="D39" s="113"/>
      <c r="E39" s="455"/>
    </row>
    <row r="40" spans="1:5" ht="34.5" customHeight="1" x14ac:dyDescent="0.25">
      <c r="A40" s="123" t="s">
        <v>1063</v>
      </c>
      <c r="B40" s="197">
        <f>B35/B28</f>
        <v>145.29658202969486</v>
      </c>
      <c r="C40" s="92" t="s">
        <v>1085</v>
      </c>
      <c r="D40" s="113"/>
      <c r="E40" s="455"/>
    </row>
    <row r="41" spans="1:5" ht="34.5" customHeight="1" x14ac:dyDescent="0.25">
      <c r="A41" s="123" t="s">
        <v>1064</v>
      </c>
      <c r="B41" s="197">
        <f>B37/B28</f>
        <v>449.99999999999994</v>
      </c>
      <c r="C41" s="92" t="s">
        <v>1085</v>
      </c>
      <c r="D41" s="113"/>
      <c r="E41" s="455"/>
    </row>
    <row r="42" spans="1:5" ht="38.25" customHeight="1" x14ac:dyDescent="0.25">
      <c r="A42" s="123" t="s">
        <v>1231</v>
      </c>
      <c r="B42" s="130">
        <f>SUM(B39:B41)</f>
        <v>888.01980673545131</v>
      </c>
      <c r="C42" s="92" t="s">
        <v>1085</v>
      </c>
      <c r="D42" s="92"/>
      <c r="E42" s="92"/>
    </row>
    <row r="43" spans="1:5" ht="34.5" customHeight="1" x14ac:dyDescent="0.25">
      <c r="A43" s="123" t="s">
        <v>1231</v>
      </c>
      <c r="B43" s="130">
        <f>B42/B5</f>
        <v>1268.5997239077876</v>
      </c>
      <c r="C43" s="92" t="s">
        <v>1086</v>
      </c>
      <c r="D43" s="92"/>
      <c r="E43" s="92"/>
    </row>
    <row r="44" spans="1:5" ht="30" customHeight="1" x14ac:dyDescent="0.25">
      <c r="A44" s="123" t="s">
        <v>1231</v>
      </c>
      <c r="B44" s="130">
        <f>B42/1000</f>
        <v>0.88801980673545133</v>
      </c>
      <c r="C44" s="92" t="s">
        <v>1059</v>
      </c>
      <c r="D44" s="92"/>
      <c r="E44" s="92"/>
    </row>
    <row r="45" spans="1:5" ht="35.25" customHeight="1" x14ac:dyDescent="0.25">
      <c r="A45" s="123" t="s">
        <v>1231</v>
      </c>
      <c r="B45" s="130">
        <f>B43/1000</f>
        <v>1.2685997239077875</v>
      </c>
      <c r="C45" s="92" t="s">
        <v>1232</v>
      </c>
      <c r="D45" s="92"/>
      <c r="E45" s="92"/>
    </row>
    <row r="46" spans="1:5" ht="36" customHeight="1" x14ac:dyDescent="0.25">
      <c r="A46" s="123" t="s">
        <v>1234</v>
      </c>
      <c r="B46" s="600">
        <f>(B45/120)*1000</f>
        <v>10.571664365898229</v>
      </c>
      <c r="C46" s="52" t="s">
        <v>1151</v>
      </c>
      <c r="D46" s="52" t="s">
        <v>1235</v>
      </c>
      <c r="E46" s="52"/>
    </row>
    <row r="48" spans="1:5" x14ac:dyDescent="0.25">
      <c r="B48" s="326"/>
    </row>
  </sheetData>
  <mergeCells count="3">
    <mergeCell ref="A22:E22"/>
    <mergeCell ref="A24:A25"/>
    <mergeCell ref="A16:A1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4C865-AC8D-40F5-8370-3881C5C1156C}">
  <sheetPr>
    <tabColor rgb="FFFFC000"/>
  </sheetPr>
  <dimension ref="A1:G52"/>
  <sheetViews>
    <sheetView zoomScale="70" zoomScaleNormal="70" workbookViewId="0">
      <selection activeCell="G28" sqref="G28"/>
    </sheetView>
  </sheetViews>
  <sheetFormatPr defaultRowHeight="15.75" x14ac:dyDescent="0.25"/>
  <cols>
    <col min="1" max="1" width="61.85546875" style="45" customWidth="1"/>
    <col min="2" max="2" width="31"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53" t="s">
        <v>152</v>
      </c>
      <c r="B3" s="54"/>
      <c r="C3" s="54" t="s">
        <v>40</v>
      </c>
      <c r="D3" s="55" t="s">
        <v>42</v>
      </c>
      <c r="E3" s="56" t="s">
        <v>43</v>
      </c>
    </row>
    <row r="4" spans="1:5" ht="16.5" thickBot="1" x14ac:dyDescent="0.3">
      <c r="A4" s="209" t="s">
        <v>44</v>
      </c>
      <c r="B4" s="210"/>
      <c r="C4" s="210"/>
      <c r="D4" s="210"/>
      <c r="E4" s="211"/>
    </row>
    <row r="5" spans="1:5" ht="33.75" customHeight="1" x14ac:dyDescent="0.25">
      <c r="A5" s="212" t="s">
        <v>644</v>
      </c>
      <c r="B5" s="585">
        <f t="shared" ref="B5" si="0">0.7</f>
        <v>0.7</v>
      </c>
      <c r="C5" s="214" t="s">
        <v>45</v>
      </c>
      <c r="D5" s="215"/>
      <c r="E5" s="310">
        <f>0.7</f>
        <v>0.7</v>
      </c>
    </row>
    <row r="6" spans="1:5" ht="30.75" customHeight="1" x14ac:dyDescent="0.25">
      <c r="A6" s="144" t="s">
        <v>46</v>
      </c>
      <c r="B6" s="586">
        <v>7</v>
      </c>
      <c r="C6" s="146" t="s">
        <v>47</v>
      </c>
      <c r="D6" s="147" t="s">
        <v>48</v>
      </c>
      <c r="E6" s="309">
        <v>7</v>
      </c>
    </row>
    <row r="7" spans="1:5" ht="30" customHeight="1" x14ac:dyDescent="0.25">
      <c r="A7" s="193" t="s">
        <v>49</v>
      </c>
      <c r="B7" s="588">
        <v>30</v>
      </c>
      <c r="C7" s="179" t="s">
        <v>50</v>
      </c>
      <c r="D7" s="248"/>
      <c r="E7" s="589" t="s">
        <v>1068</v>
      </c>
    </row>
    <row r="8" spans="1:5" ht="33" customHeight="1" x14ac:dyDescent="0.25">
      <c r="A8" s="62" t="s">
        <v>52</v>
      </c>
      <c r="B8" s="575">
        <f t="shared" ref="B8" si="1">((B6/100)*(1+B6/100)^B7)/(((1+B6/100)^B7)-1)*100</f>
        <v>8.0586403511111193</v>
      </c>
      <c r="C8" s="62" t="s">
        <v>47</v>
      </c>
      <c r="D8" s="62" t="s">
        <v>53</v>
      </c>
      <c r="E8" s="590"/>
    </row>
    <row r="9" spans="1:5" ht="33" customHeight="1" x14ac:dyDescent="0.25">
      <c r="A9" s="62" t="s">
        <v>1210</v>
      </c>
      <c r="B9" s="448">
        <v>100</v>
      </c>
      <c r="C9" s="62" t="s">
        <v>1211</v>
      </c>
      <c r="D9" s="274" t="s">
        <v>1212</v>
      </c>
      <c r="E9" s="591" t="s">
        <v>1281</v>
      </c>
    </row>
    <row r="10" spans="1:5" ht="16.5" thickBot="1" x14ac:dyDescent="0.3"/>
    <row r="11" spans="1:5" ht="16.5" thickBot="1" x14ac:dyDescent="0.3">
      <c r="A11" s="172" t="s">
        <v>181</v>
      </c>
      <c r="B11" s="89"/>
      <c r="C11" s="89"/>
      <c r="D11" s="89"/>
      <c r="E11" s="90"/>
    </row>
    <row r="12" spans="1:5" ht="29.25" customHeight="1" x14ac:dyDescent="0.25">
      <c r="A12" s="417" t="s">
        <v>690</v>
      </c>
      <c r="B12" s="91">
        <v>1000000</v>
      </c>
      <c r="C12" s="92" t="s">
        <v>605</v>
      </c>
      <c r="D12" s="92" t="s">
        <v>1040</v>
      </c>
      <c r="E12" s="93"/>
    </row>
    <row r="13" spans="1:5" ht="30" customHeight="1" thickBot="1" x14ac:dyDescent="0.3">
      <c r="A13" s="313" t="s">
        <v>498</v>
      </c>
      <c r="B13" s="96">
        <v>90</v>
      </c>
      <c r="C13" s="92" t="s">
        <v>47</v>
      </c>
      <c r="D13" s="92" t="s">
        <v>497</v>
      </c>
      <c r="E13" s="52"/>
    </row>
    <row r="14" spans="1:5" ht="16.5" thickBot="1" x14ac:dyDescent="0.3">
      <c r="A14" s="172" t="s">
        <v>1041</v>
      </c>
      <c r="B14" s="119"/>
      <c r="C14" s="119"/>
      <c r="D14" s="119"/>
      <c r="E14" s="120"/>
    </row>
    <row r="15" spans="1:5" ht="17.25" customHeight="1" x14ac:dyDescent="0.25">
      <c r="A15" s="431" t="s">
        <v>1042</v>
      </c>
      <c r="B15" s="432"/>
      <c r="C15" s="432"/>
      <c r="D15" s="432"/>
      <c r="E15" s="433"/>
    </row>
    <row r="16" spans="1:5" ht="34.5" customHeight="1" x14ac:dyDescent="0.25">
      <c r="A16" s="422" t="s">
        <v>1100</v>
      </c>
      <c r="B16" s="532">
        <v>5540</v>
      </c>
      <c r="C16" s="112" t="s">
        <v>1087</v>
      </c>
      <c r="D16" s="533" t="s">
        <v>1095</v>
      </c>
      <c r="E16" s="394" t="s">
        <v>1101</v>
      </c>
    </row>
    <row r="17" spans="1:7" ht="34.5" customHeight="1" x14ac:dyDescent="0.25">
      <c r="A17" s="762" t="s">
        <v>377</v>
      </c>
      <c r="B17" s="535">
        <v>1.7999999999999999E-2</v>
      </c>
      <c r="C17" s="422" t="s">
        <v>1102</v>
      </c>
      <c r="D17" s="524"/>
      <c r="E17" s="531" t="s">
        <v>1103</v>
      </c>
    </row>
    <row r="18" spans="1:7" ht="33.75" customHeight="1" x14ac:dyDescent="0.25">
      <c r="A18" s="763"/>
      <c r="B18" s="373">
        <f t="shared" ref="B18" si="2">B17*B16</f>
        <v>99.72</v>
      </c>
      <c r="C18" s="522" t="s">
        <v>1087</v>
      </c>
      <c r="D18" s="420"/>
      <c r="E18" s="52"/>
    </row>
    <row r="19" spans="1:7" ht="33.75" customHeight="1" x14ac:dyDescent="0.25">
      <c r="A19" s="528" t="s">
        <v>659</v>
      </c>
      <c r="B19" s="529">
        <v>187.5</v>
      </c>
      <c r="C19" s="422" t="s">
        <v>1088</v>
      </c>
      <c r="D19" s="425"/>
      <c r="E19" s="394" t="s">
        <v>1089</v>
      </c>
    </row>
    <row r="20" spans="1:7" ht="33.75" customHeight="1" x14ac:dyDescent="0.25">
      <c r="A20" s="528" t="s">
        <v>1090</v>
      </c>
      <c r="B20" s="529">
        <v>1375</v>
      </c>
      <c r="C20" s="422" t="s">
        <v>1091</v>
      </c>
      <c r="D20" s="425"/>
      <c r="E20" s="394" t="s">
        <v>1092</v>
      </c>
    </row>
    <row r="21" spans="1:7" ht="14.25" customHeight="1" x14ac:dyDescent="0.25">
      <c r="A21" s="744" t="s">
        <v>1304</v>
      </c>
      <c r="B21" s="744"/>
      <c r="C21" s="744"/>
      <c r="D21" s="744"/>
      <c r="E21" s="744"/>
    </row>
    <row r="22" spans="1:7" ht="33" customHeight="1" x14ac:dyDescent="0.25">
      <c r="A22" s="760" t="s">
        <v>1047</v>
      </c>
      <c r="B22" s="587">
        <f t="shared" ref="B22" si="3">B12</f>
        <v>1000000</v>
      </c>
      <c r="C22" s="112" t="s">
        <v>1094</v>
      </c>
      <c r="D22" s="530" t="s">
        <v>1060</v>
      </c>
      <c r="E22" s="394"/>
    </row>
    <row r="23" spans="1:7" ht="33" customHeight="1" x14ac:dyDescent="0.25">
      <c r="A23" s="761"/>
      <c r="B23" s="227">
        <f t="shared" ref="B23" si="4">B22*B16*(1/(365*24))</f>
        <v>632420.09132420085</v>
      </c>
      <c r="C23" s="112" t="s">
        <v>1097</v>
      </c>
      <c r="D23" s="530" t="s">
        <v>1098</v>
      </c>
      <c r="E23" s="394"/>
      <c r="G23" s="349"/>
    </row>
    <row r="24" spans="1:7" ht="28.5" customHeight="1" x14ac:dyDescent="0.25">
      <c r="A24" s="740" t="s">
        <v>1305</v>
      </c>
      <c r="B24" s="426">
        <v>2160</v>
      </c>
      <c r="C24" s="422" t="s">
        <v>1096</v>
      </c>
      <c r="D24" s="425" t="s">
        <v>700</v>
      </c>
      <c r="E24" s="435" t="s">
        <v>1306</v>
      </c>
    </row>
    <row r="25" spans="1:7" ht="28.5" customHeight="1" x14ac:dyDescent="0.25">
      <c r="A25" s="740"/>
      <c r="B25" s="125">
        <f t="shared" ref="B25" si="5">(B24*B23)*(B9/100)</f>
        <v>1366027397.2602739</v>
      </c>
      <c r="C25" s="422" t="s">
        <v>165</v>
      </c>
      <c r="D25" s="425"/>
      <c r="E25" s="50"/>
    </row>
    <row r="26" spans="1:7" ht="33" customHeight="1" x14ac:dyDescent="0.25">
      <c r="A26" s="422" t="s">
        <v>1049</v>
      </c>
      <c r="B26" s="446">
        <v>5</v>
      </c>
      <c r="C26" s="422" t="s">
        <v>701</v>
      </c>
      <c r="D26" s="425" t="s">
        <v>162</v>
      </c>
      <c r="E26" s="435" t="s">
        <v>1099</v>
      </c>
    </row>
    <row r="27" spans="1:7" x14ac:dyDescent="0.25">
      <c r="A27" s="103" t="s">
        <v>841</v>
      </c>
      <c r="B27" s="103"/>
      <c r="C27" s="103"/>
      <c r="D27" s="103"/>
      <c r="E27" s="117"/>
    </row>
    <row r="28" spans="1:7" ht="30" customHeight="1" x14ac:dyDescent="0.25">
      <c r="A28" s="92" t="s">
        <v>841</v>
      </c>
      <c r="B28" s="109">
        <f t="shared" ref="B28" si="6">B12*(B13/100)</f>
        <v>900000</v>
      </c>
      <c r="C28" s="112" t="s">
        <v>1094</v>
      </c>
      <c r="D28" s="92" t="s">
        <v>660</v>
      </c>
      <c r="E28" s="92"/>
    </row>
    <row r="29" spans="1:7" x14ac:dyDescent="0.25">
      <c r="A29" s="118" t="s">
        <v>251</v>
      </c>
      <c r="B29" s="119"/>
      <c r="C29" s="119"/>
      <c r="D29" s="119"/>
      <c r="E29" s="120"/>
    </row>
    <row r="30" spans="1:7" x14ac:dyDescent="0.25">
      <c r="A30" s="103" t="s">
        <v>1056</v>
      </c>
      <c r="B30" s="103"/>
      <c r="C30" s="103"/>
      <c r="D30" s="103"/>
      <c r="E30" s="117"/>
    </row>
    <row r="31" spans="1:7" ht="30.75" customHeight="1" x14ac:dyDescent="0.25">
      <c r="A31" s="121" t="s">
        <v>377</v>
      </c>
      <c r="B31" s="368">
        <v>0.15356489670000001</v>
      </c>
      <c r="C31" s="121" t="s">
        <v>262</v>
      </c>
      <c r="D31" s="121" t="s">
        <v>1057</v>
      </c>
      <c r="E31" s="121"/>
    </row>
    <row r="32" spans="1:7" ht="32.25" customHeight="1" x14ac:dyDescent="0.25">
      <c r="A32" s="121" t="s">
        <v>659</v>
      </c>
      <c r="B32" s="424">
        <v>6.5153100000000004</v>
      </c>
      <c r="C32" s="121" t="s">
        <v>1059</v>
      </c>
      <c r="D32" s="121" t="s">
        <v>1058</v>
      </c>
      <c r="E32" s="121"/>
    </row>
    <row r="33" spans="1:5" ht="32.25" customHeight="1" x14ac:dyDescent="0.25">
      <c r="A33" s="121" t="s">
        <v>1090</v>
      </c>
      <c r="B33" s="27">
        <v>30</v>
      </c>
      <c r="C33" s="121" t="s">
        <v>647</v>
      </c>
      <c r="D33" s="121" t="s">
        <v>1093</v>
      </c>
      <c r="E33" s="126" t="s">
        <v>1229</v>
      </c>
    </row>
    <row r="34" spans="1:5" x14ac:dyDescent="0.25">
      <c r="A34" s="103" t="s">
        <v>94</v>
      </c>
      <c r="B34" s="103"/>
      <c r="C34" s="103"/>
      <c r="D34" s="103"/>
      <c r="E34" s="117"/>
    </row>
    <row r="35" spans="1:5" ht="29.25" customHeight="1" x14ac:dyDescent="0.25">
      <c r="A35" s="92" t="s">
        <v>1104</v>
      </c>
      <c r="B35" s="109">
        <f t="shared" ref="B35" si="7">B25*(B8/100)</f>
        <v>110083235.04284942</v>
      </c>
      <c r="C35" s="92" t="s">
        <v>261</v>
      </c>
      <c r="D35" s="92"/>
      <c r="E35" s="92"/>
    </row>
    <row r="36" spans="1:5" x14ac:dyDescent="0.25">
      <c r="A36" s="103" t="s">
        <v>843</v>
      </c>
      <c r="B36" s="103"/>
      <c r="C36" s="103"/>
      <c r="D36" s="103"/>
      <c r="E36" s="117"/>
    </row>
    <row r="37" spans="1:5" ht="31.5" customHeight="1" x14ac:dyDescent="0.25">
      <c r="A37" s="121" t="s">
        <v>1105</v>
      </c>
      <c r="B37" s="125">
        <f t="shared" ref="B37" si="8">(B26/100)*B25</f>
        <v>68301369.8630137</v>
      </c>
      <c r="C37" s="121" t="s">
        <v>261</v>
      </c>
      <c r="D37" s="121"/>
      <c r="E37" s="122"/>
    </row>
    <row r="38" spans="1:5" x14ac:dyDescent="0.25">
      <c r="A38" s="103" t="s">
        <v>844</v>
      </c>
      <c r="B38" s="103"/>
      <c r="C38" s="103"/>
      <c r="D38" s="103"/>
      <c r="E38" s="117"/>
    </row>
    <row r="39" spans="1:5" ht="33.75" customHeight="1" x14ac:dyDescent="0.25">
      <c r="A39" s="487" t="s">
        <v>377</v>
      </c>
      <c r="B39" s="128">
        <f t="shared" ref="B39" si="9">B31*B18*B28</f>
        <v>13782142.349031599</v>
      </c>
      <c r="C39" s="92" t="s">
        <v>261</v>
      </c>
      <c r="D39" s="92"/>
      <c r="E39" s="92"/>
    </row>
    <row r="40" spans="1:5" ht="30.75" customHeight="1" x14ac:dyDescent="0.25">
      <c r="A40" s="487" t="s">
        <v>659</v>
      </c>
      <c r="B40" s="128">
        <f t="shared" ref="B40" si="10">B32*B19*B28</f>
        <v>1099458562.5</v>
      </c>
      <c r="C40" s="92" t="s">
        <v>261</v>
      </c>
      <c r="D40" s="92"/>
      <c r="E40" s="92"/>
    </row>
    <row r="41" spans="1:5" ht="30.75" customHeight="1" x14ac:dyDescent="0.25">
      <c r="A41" s="536" t="s">
        <v>1090</v>
      </c>
      <c r="B41" s="128">
        <f t="shared" ref="B41" si="11">B33*(B20/1000)*B28</f>
        <v>37125000</v>
      </c>
      <c r="C41" s="92" t="s">
        <v>261</v>
      </c>
      <c r="D41" s="92"/>
      <c r="E41" s="92"/>
    </row>
    <row r="42" spans="1:5" x14ac:dyDescent="0.25">
      <c r="A42" s="103" t="s">
        <v>258</v>
      </c>
      <c r="B42" s="103"/>
      <c r="C42" s="103"/>
      <c r="D42" s="103"/>
      <c r="E42" s="117"/>
    </row>
    <row r="43" spans="1:5" ht="36" customHeight="1" x14ac:dyDescent="0.25">
      <c r="A43" s="123" t="s">
        <v>1062</v>
      </c>
      <c r="B43" s="197">
        <f t="shared" ref="B43" si="12">B35/B28</f>
        <v>122.31470560316602</v>
      </c>
      <c r="C43" s="92" t="s">
        <v>1107</v>
      </c>
      <c r="D43" s="113"/>
      <c r="E43" s="455"/>
    </row>
    <row r="44" spans="1:5" ht="34.5" customHeight="1" x14ac:dyDescent="0.25">
      <c r="A44" s="123" t="s">
        <v>1063</v>
      </c>
      <c r="B44" s="197">
        <f t="shared" ref="B44" si="13">B37/B28</f>
        <v>75.890410958904113</v>
      </c>
      <c r="C44" s="92" t="s">
        <v>1107</v>
      </c>
      <c r="D44" s="113"/>
      <c r="E44" s="455"/>
    </row>
    <row r="45" spans="1:5" ht="34.5" customHeight="1" x14ac:dyDescent="0.25">
      <c r="A45" s="123" t="s">
        <v>1064</v>
      </c>
      <c r="B45" s="197">
        <f t="shared" ref="B45" si="14">(B39+B40+B41)/B28</f>
        <v>1278.1841164989241</v>
      </c>
      <c r="C45" s="92" t="s">
        <v>1107</v>
      </c>
      <c r="D45" s="113"/>
      <c r="E45" s="455"/>
    </row>
    <row r="46" spans="1:5" ht="38.25" customHeight="1" x14ac:dyDescent="0.25">
      <c r="A46" s="123" t="s">
        <v>1106</v>
      </c>
      <c r="B46" s="130">
        <f t="shared" ref="B46" si="15">SUM(B43:B45)</f>
        <v>1476.3892330609942</v>
      </c>
      <c r="C46" s="92" t="s">
        <v>1107</v>
      </c>
      <c r="D46" s="92"/>
      <c r="E46" s="92"/>
    </row>
    <row r="47" spans="1:5" ht="34.5" customHeight="1" x14ac:dyDescent="0.25">
      <c r="A47" s="123" t="s">
        <v>1106</v>
      </c>
      <c r="B47" s="130">
        <f t="shared" ref="B47" si="16">B46/B5</f>
        <v>2109.1274758014206</v>
      </c>
      <c r="C47" s="92" t="s">
        <v>1236</v>
      </c>
      <c r="D47" s="92"/>
      <c r="E47" s="92"/>
    </row>
    <row r="48" spans="1:5" ht="33.75" customHeight="1" x14ac:dyDescent="0.25">
      <c r="A48" s="123" t="s">
        <v>1234</v>
      </c>
      <c r="B48" s="597">
        <f t="shared" ref="B48" si="17">B47/19.9</f>
        <v>105.98630531665431</v>
      </c>
      <c r="C48" s="52" t="s">
        <v>1151</v>
      </c>
      <c r="D48" s="52" t="s">
        <v>1237</v>
      </c>
      <c r="E48" s="52"/>
    </row>
    <row r="49" spans="2:2" x14ac:dyDescent="0.25">
      <c r="B49" s="326"/>
    </row>
    <row r="52" spans="2:2" x14ac:dyDescent="0.25">
      <c r="B52" s="326"/>
    </row>
  </sheetData>
  <mergeCells count="4">
    <mergeCell ref="A21:E21"/>
    <mergeCell ref="A24:A25"/>
    <mergeCell ref="A22:A23"/>
    <mergeCell ref="A17:A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C470A-9DA4-435C-A351-C2BF8EA4728A}">
  <sheetPr>
    <tabColor rgb="FFFFC000"/>
  </sheetPr>
  <dimension ref="A1:G55"/>
  <sheetViews>
    <sheetView zoomScale="70" zoomScaleNormal="70" workbookViewId="0">
      <selection activeCell="B44" sqref="B44"/>
    </sheetView>
  </sheetViews>
  <sheetFormatPr defaultRowHeight="15.75" x14ac:dyDescent="0.25"/>
  <cols>
    <col min="1" max="1" width="63.28515625" style="45" customWidth="1"/>
    <col min="2" max="2" width="26.570312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53" t="s">
        <v>152</v>
      </c>
      <c r="B3" s="54"/>
      <c r="C3" s="54" t="s">
        <v>40</v>
      </c>
      <c r="D3" s="55" t="s">
        <v>42</v>
      </c>
      <c r="E3" s="56" t="s">
        <v>43</v>
      </c>
    </row>
    <row r="4" spans="1:5" ht="16.5" thickBot="1" x14ac:dyDescent="0.3">
      <c r="A4" s="209" t="s">
        <v>44</v>
      </c>
      <c r="B4" s="210"/>
      <c r="C4" s="210"/>
      <c r="D4" s="210"/>
      <c r="E4" s="211"/>
    </row>
    <row r="5" spans="1:5" ht="33.75" customHeight="1" x14ac:dyDescent="0.25">
      <c r="A5" s="212" t="s">
        <v>644</v>
      </c>
      <c r="B5" s="87">
        <f t="shared" ref="B5" si="0">0.7</f>
        <v>0.7</v>
      </c>
      <c r="C5" s="214" t="s">
        <v>45</v>
      </c>
      <c r="D5" s="215"/>
      <c r="E5" s="310">
        <f>0.7</f>
        <v>0.7</v>
      </c>
    </row>
    <row r="6" spans="1:5" ht="30.75" customHeight="1" x14ac:dyDescent="0.25">
      <c r="A6" s="144" t="s">
        <v>46</v>
      </c>
      <c r="B6" s="532">
        <v>7</v>
      </c>
      <c r="C6" s="146" t="s">
        <v>47</v>
      </c>
      <c r="D6" s="147" t="s">
        <v>48</v>
      </c>
      <c r="E6" s="309">
        <v>7</v>
      </c>
    </row>
    <row r="7" spans="1:5" ht="30" customHeight="1" x14ac:dyDescent="0.25">
      <c r="A7" s="144" t="s">
        <v>49</v>
      </c>
      <c r="B7" s="87">
        <v>30</v>
      </c>
      <c r="C7" s="62" t="s">
        <v>50</v>
      </c>
      <c r="D7" s="147"/>
      <c r="E7" s="435" t="s">
        <v>1068</v>
      </c>
    </row>
    <row r="8" spans="1:5" ht="33" customHeight="1" x14ac:dyDescent="0.25">
      <c r="A8" s="62" t="s">
        <v>52</v>
      </c>
      <c r="B8" s="575">
        <f t="shared" ref="B8" si="1">((B6/100)*(1+B6/100)^B7)/(((1+B6/100)^B7)-1)*100</f>
        <v>8.0586403511111193</v>
      </c>
      <c r="C8" s="62" t="s">
        <v>47</v>
      </c>
      <c r="D8" s="62" t="s">
        <v>53</v>
      </c>
      <c r="E8" s="590"/>
    </row>
    <row r="9" spans="1:5" ht="33" customHeight="1" x14ac:dyDescent="0.25">
      <c r="A9" s="62" t="s">
        <v>1210</v>
      </c>
      <c r="B9" s="448">
        <v>100</v>
      </c>
      <c r="C9" s="62" t="s">
        <v>1211</v>
      </c>
      <c r="D9" s="274" t="s">
        <v>1212</v>
      </c>
      <c r="E9" s="591" t="s">
        <v>1281</v>
      </c>
    </row>
    <row r="10" spans="1:5" ht="16.5" thickBot="1" x14ac:dyDescent="0.3"/>
    <row r="11" spans="1:5" ht="16.5" thickBot="1" x14ac:dyDescent="0.3">
      <c r="A11" s="172" t="s">
        <v>181</v>
      </c>
      <c r="B11" s="89"/>
      <c r="C11" s="89"/>
      <c r="D11" s="89"/>
      <c r="E11" s="90"/>
    </row>
    <row r="12" spans="1:5" ht="29.25" customHeight="1" x14ac:dyDescent="0.25">
      <c r="A12" s="417" t="s">
        <v>690</v>
      </c>
      <c r="B12" s="91">
        <v>1000000</v>
      </c>
      <c r="C12" s="92" t="s">
        <v>605</v>
      </c>
      <c r="D12" s="92" t="s">
        <v>1040</v>
      </c>
      <c r="E12" s="93"/>
    </row>
    <row r="13" spans="1:5" ht="30" customHeight="1" thickBot="1" x14ac:dyDescent="0.3">
      <c r="A13" s="313" t="s">
        <v>498</v>
      </c>
      <c r="B13" s="96">
        <v>90</v>
      </c>
      <c r="C13" s="92" t="s">
        <v>47</v>
      </c>
      <c r="D13" s="92" t="s">
        <v>497</v>
      </c>
      <c r="E13" s="52"/>
    </row>
    <row r="14" spans="1:5" ht="16.5" thickBot="1" x14ac:dyDescent="0.3">
      <c r="A14" s="172" t="s">
        <v>1041</v>
      </c>
      <c r="B14" s="119"/>
      <c r="C14" s="119"/>
      <c r="D14" s="119"/>
      <c r="E14" s="120"/>
    </row>
    <row r="15" spans="1:5" ht="17.25" customHeight="1" x14ac:dyDescent="0.25">
      <c r="A15" s="431" t="s">
        <v>1042</v>
      </c>
      <c r="B15" s="432"/>
      <c r="C15" s="432"/>
      <c r="D15" s="432"/>
      <c r="E15" s="433"/>
    </row>
    <row r="16" spans="1:5" ht="34.5" customHeight="1" x14ac:dyDescent="0.25">
      <c r="A16" s="422" t="s">
        <v>1108</v>
      </c>
      <c r="B16" s="532">
        <v>13900</v>
      </c>
      <c r="C16" s="112" t="s">
        <v>1111</v>
      </c>
      <c r="D16" s="533" t="s">
        <v>1109</v>
      </c>
      <c r="E16" s="394" t="s">
        <v>1101</v>
      </c>
    </row>
    <row r="17" spans="1:7" ht="34.5" customHeight="1" x14ac:dyDescent="0.25">
      <c r="A17" s="762" t="s">
        <v>377</v>
      </c>
      <c r="B17" s="535">
        <v>1.7999999999999999E-2</v>
      </c>
      <c r="C17" s="422" t="s">
        <v>1102</v>
      </c>
      <c r="D17" s="524"/>
      <c r="E17" s="531" t="s">
        <v>1103</v>
      </c>
    </row>
    <row r="18" spans="1:7" ht="33.75" customHeight="1" x14ac:dyDescent="0.25">
      <c r="A18" s="763"/>
      <c r="B18" s="373">
        <f t="shared" ref="B18" si="2">B17*B16</f>
        <v>250.2</v>
      </c>
      <c r="C18" s="522" t="s">
        <v>1111</v>
      </c>
      <c r="D18" s="420"/>
      <c r="E18" s="52"/>
    </row>
    <row r="19" spans="1:7" ht="33.75" customHeight="1" x14ac:dyDescent="0.25">
      <c r="A19" s="528" t="s">
        <v>659</v>
      </c>
      <c r="B19" s="430">
        <v>500</v>
      </c>
      <c r="C19" s="422" t="s">
        <v>1110</v>
      </c>
      <c r="D19" s="425"/>
      <c r="E19" s="394" t="s">
        <v>1116</v>
      </c>
    </row>
    <row r="20" spans="1:7" ht="33.75" customHeight="1" x14ac:dyDescent="0.25">
      <c r="A20" s="528" t="s">
        <v>1090</v>
      </c>
      <c r="B20" s="430">
        <v>2750</v>
      </c>
      <c r="C20" s="422" t="s">
        <v>1112</v>
      </c>
      <c r="D20" s="425"/>
      <c r="E20" s="394" t="s">
        <v>1117</v>
      </c>
    </row>
    <row r="21" spans="1:7" ht="14.25" customHeight="1" x14ac:dyDescent="0.25">
      <c r="A21" s="744" t="s">
        <v>1301</v>
      </c>
      <c r="B21" s="744"/>
      <c r="C21" s="744"/>
      <c r="D21" s="744"/>
      <c r="E21" s="744"/>
    </row>
    <row r="22" spans="1:7" ht="33" customHeight="1" x14ac:dyDescent="0.25">
      <c r="A22" s="760" t="s">
        <v>1047</v>
      </c>
      <c r="B22" s="464">
        <f t="shared" ref="B22" si="3">B12</f>
        <v>1000000</v>
      </c>
      <c r="C22" s="112" t="s">
        <v>1113</v>
      </c>
      <c r="D22" s="530" t="s">
        <v>1060</v>
      </c>
      <c r="E22" s="394"/>
    </row>
    <row r="23" spans="1:7" ht="33" customHeight="1" x14ac:dyDescent="0.25">
      <c r="A23" s="761"/>
      <c r="B23" s="227">
        <f t="shared" ref="B23" si="4">B22*B16*(1/(365*24))</f>
        <v>1586757.9908675798</v>
      </c>
      <c r="C23" s="112" t="s">
        <v>1114</v>
      </c>
      <c r="D23" s="530" t="s">
        <v>1115</v>
      </c>
      <c r="E23" s="394"/>
      <c r="G23" s="349"/>
    </row>
    <row r="24" spans="1:7" ht="28.5" customHeight="1" x14ac:dyDescent="0.25">
      <c r="A24" s="740" t="s">
        <v>1303</v>
      </c>
      <c r="B24" s="426">
        <v>2160</v>
      </c>
      <c r="C24" s="422" t="s">
        <v>1096</v>
      </c>
      <c r="D24" s="425" t="s">
        <v>700</v>
      </c>
      <c r="E24" s="435" t="s">
        <v>1302</v>
      </c>
    </row>
    <row r="25" spans="1:7" ht="28.5" customHeight="1" x14ac:dyDescent="0.25">
      <c r="A25" s="740"/>
      <c r="B25" s="125">
        <f t="shared" ref="B25" si="5">(B24*B23)*(B9/100)</f>
        <v>3427397260.2739725</v>
      </c>
      <c r="C25" s="422" t="s">
        <v>165</v>
      </c>
      <c r="D25" s="425"/>
      <c r="E25" s="50"/>
    </row>
    <row r="26" spans="1:7" ht="33" customHeight="1" x14ac:dyDescent="0.25">
      <c r="A26" s="422" t="s">
        <v>1049</v>
      </c>
      <c r="B26" s="446">
        <v>5</v>
      </c>
      <c r="C26" s="422" t="s">
        <v>701</v>
      </c>
      <c r="D26" s="425" t="s">
        <v>162</v>
      </c>
      <c r="E26" s="435" t="s">
        <v>1099</v>
      </c>
    </row>
    <row r="27" spans="1:7" x14ac:dyDescent="0.25">
      <c r="A27" s="103" t="s">
        <v>841</v>
      </c>
      <c r="B27" s="103"/>
      <c r="C27" s="103"/>
      <c r="D27" s="103"/>
      <c r="E27" s="117"/>
    </row>
    <row r="28" spans="1:7" ht="30" customHeight="1" x14ac:dyDescent="0.25">
      <c r="A28" s="92" t="s">
        <v>841</v>
      </c>
      <c r="B28" s="109">
        <f t="shared" ref="B28" si="6">B12*(B13/100)</f>
        <v>900000</v>
      </c>
      <c r="C28" s="112" t="s">
        <v>1113</v>
      </c>
      <c r="D28" s="92" t="s">
        <v>660</v>
      </c>
      <c r="E28" s="92"/>
    </row>
    <row r="29" spans="1:7" x14ac:dyDescent="0.25">
      <c r="A29" s="118" t="s">
        <v>251</v>
      </c>
      <c r="B29" s="119"/>
      <c r="C29" s="119"/>
      <c r="D29" s="119"/>
      <c r="E29" s="120"/>
    </row>
    <row r="30" spans="1:7" x14ac:dyDescent="0.25">
      <c r="A30" s="103" t="s">
        <v>1056</v>
      </c>
      <c r="B30" s="103"/>
      <c r="C30" s="103"/>
      <c r="D30" s="103"/>
      <c r="E30" s="117"/>
    </row>
    <row r="31" spans="1:7" ht="30.75" customHeight="1" x14ac:dyDescent="0.25">
      <c r="A31" s="121" t="s">
        <v>377</v>
      </c>
      <c r="B31" s="368">
        <v>0.15356489670000001</v>
      </c>
      <c r="C31" s="121" t="s">
        <v>262</v>
      </c>
      <c r="D31" s="121" t="s">
        <v>1057</v>
      </c>
      <c r="E31" s="121"/>
    </row>
    <row r="32" spans="1:7" ht="32.25" customHeight="1" x14ac:dyDescent="0.25">
      <c r="A32" s="121" t="s">
        <v>659</v>
      </c>
      <c r="B32" s="424">
        <v>6.5153100000000004</v>
      </c>
      <c r="C32" s="121" t="s">
        <v>1059</v>
      </c>
      <c r="D32" s="121" t="s">
        <v>1058</v>
      </c>
      <c r="E32" s="121"/>
    </row>
    <row r="33" spans="1:5" ht="32.25" customHeight="1" x14ac:dyDescent="0.25">
      <c r="A33" s="121" t="s">
        <v>1090</v>
      </c>
      <c r="B33" s="27">
        <v>30</v>
      </c>
      <c r="C33" s="121" t="s">
        <v>647</v>
      </c>
      <c r="D33" s="121" t="s">
        <v>1093</v>
      </c>
      <c r="E33" s="126" t="s">
        <v>1229</v>
      </c>
    </row>
    <row r="34" spans="1:5" x14ac:dyDescent="0.25">
      <c r="A34" s="103" t="s">
        <v>94</v>
      </c>
      <c r="B34" s="103"/>
      <c r="C34" s="103"/>
      <c r="D34" s="103"/>
      <c r="E34" s="117"/>
    </row>
    <row r="35" spans="1:5" ht="29.25" customHeight="1" x14ac:dyDescent="0.25">
      <c r="A35" s="92" t="s">
        <v>1104</v>
      </c>
      <c r="B35" s="109">
        <f t="shared" ref="B35" si="7">B25*(B8/100)</f>
        <v>276201618.60931534</v>
      </c>
      <c r="C35" s="92" t="s">
        <v>261</v>
      </c>
      <c r="D35" s="92"/>
      <c r="E35" s="92"/>
    </row>
    <row r="36" spans="1:5" x14ac:dyDescent="0.25">
      <c r="A36" s="103" t="s">
        <v>843</v>
      </c>
      <c r="B36" s="103"/>
      <c r="C36" s="103"/>
      <c r="D36" s="103"/>
      <c r="E36" s="117"/>
    </row>
    <row r="37" spans="1:5" ht="31.5" customHeight="1" x14ac:dyDescent="0.25">
      <c r="A37" s="121" t="s">
        <v>1105</v>
      </c>
      <c r="B37" s="125">
        <f t="shared" ref="B37" si="8">(B26/100)*B25</f>
        <v>171369863.01369864</v>
      </c>
      <c r="C37" s="121" t="s">
        <v>261</v>
      </c>
      <c r="D37" s="121"/>
      <c r="E37" s="122"/>
    </row>
    <row r="38" spans="1:5" x14ac:dyDescent="0.25">
      <c r="A38" s="103" t="s">
        <v>844</v>
      </c>
      <c r="B38" s="103"/>
      <c r="C38" s="103"/>
      <c r="D38" s="103"/>
      <c r="E38" s="117"/>
    </row>
    <row r="39" spans="1:5" ht="33.75" customHeight="1" x14ac:dyDescent="0.25">
      <c r="A39" s="487" t="s">
        <v>377</v>
      </c>
      <c r="B39" s="128">
        <f t="shared" ref="B39" si="9">B31*B18*B28</f>
        <v>34579743.438905999</v>
      </c>
      <c r="C39" s="92" t="s">
        <v>261</v>
      </c>
      <c r="D39" s="92"/>
      <c r="E39" s="92"/>
    </row>
    <row r="40" spans="1:5" ht="30.75" customHeight="1" x14ac:dyDescent="0.25">
      <c r="A40" s="487" t="s">
        <v>659</v>
      </c>
      <c r="B40" s="128">
        <f t="shared" ref="B40" si="10">B32*B19*B28</f>
        <v>2931889500</v>
      </c>
      <c r="C40" s="92" t="s">
        <v>261</v>
      </c>
      <c r="D40" s="92"/>
      <c r="E40" s="92"/>
    </row>
    <row r="41" spans="1:5" ht="30.75" customHeight="1" x14ac:dyDescent="0.25">
      <c r="A41" s="536" t="s">
        <v>1090</v>
      </c>
      <c r="B41" s="128">
        <f t="shared" ref="B41" si="11">B33*(B20/1000)*B28</f>
        <v>74250000</v>
      </c>
      <c r="C41" s="92" t="s">
        <v>261</v>
      </c>
      <c r="D41" s="92"/>
      <c r="E41" s="92"/>
    </row>
    <row r="42" spans="1:5" x14ac:dyDescent="0.25">
      <c r="A42" s="103" t="s">
        <v>258</v>
      </c>
      <c r="B42" s="103"/>
      <c r="C42" s="103"/>
      <c r="D42" s="103"/>
      <c r="E42" s="117"/>
    </row>
    <row r="43" spans="1:5" ht="36" customHeight="1" x14ac:dyDescent="0.25">
      <c r="A43" s="123" t="s">
        <v>1062</v>
      </c>
      <c r="B43" s="197">
        <f>B35/B28</f>
        <v>306.89068734368368</v>
      </c>
      <c r="C43" s="92" t="s">
        <v>1118</v>
      </c>
      <c r="D43" s="113"/>
      <c r="E43" s="455"/>
    </row>
    <row r="44" spans="1:5" ht="34.5" customHeight="1" x14ac:dyDescent="0.25">
      <c r="A44" s="123" t="s">
        <v>1063</v>
      </c>
      <c r="B44" s="197">
        <f t="shared" ref="B44" si="12">B37/B28</f>
        <v>190.41095890410961</v>
      </c>
      <c r="C44" s="92" t="s">
        <v>1118</v>
      </c>
      <c r="D44" s="113"/>
      <c r="E44" s="455"/>
    </row>
    <row r="45" spans="1:5" ht="34.5" customHeight="1" x14ac:dyDescent="0.25">
      <c r="A45" s="123" t="s">
        <v>1064</v>
      </c>
      <c r="B45" s="197">
        <f t="shared" ref="B45" si="13">(B39+B40+B41)/B28</f>
        <v>3378.5769371543402</v>
      </c>
      <c r="C45" s="92" t="s">
        <v>1118</v>
      </c>
      <c r="D45" s="113"/>
      <c r="E45" s="455"/>
    </row>
    <row r="46" spans="1:5" ht="38.25" customHeight="1" x14ac:dyDescent="0.25">
      <c r="A46" s="123" t="s">
        <v>1119</v>
      </c>
      <c r="B46" s="130">
        <f t="shared" ref="B46" si="14">SUM(B43:B45)</f>
        <v>3875.8785834021337</v>
      </c>
      <c r="C46" s="92" t="s">
        <v>1118</v>
      </c>
      <c r="D46" s="92"/>
      <c r="E46" s="92"/>
    </row>
    <row r="47" spans="1:5" ht="34.5" customHeight="1" x14ac:dyDescent="0.25">
      <c r="A47" s="123" t="s">
        <v>1119</v>
      </c>
      <c r="B47" s="130">
        <f t="shared" ref="B47" si="15">B46/B5</f>
        <v>5536.9694048601914</v>
      </c>
      <c r="C47" s="92" t="s">
        <v>1239</v>
      </c>
      <c r="D47" s="92"/>
      <c r="E47" s="92"/>
    </row>
    <row r="48" spans="1:5" ht="38.25" customHeight="1" x14ac:dyDescent="0.25">
      <c r="A48" s="123" t="s">
        <v>1119</v>
      </c>
      <c r="B48" s="130">
        <f t="shared" ref="B48" si="16">B46/B$16</f>
        <v>0.27884018585626863</v>
      </c>
      <c r="C48" s="92" t="s">
        <v>1230</v>
      </c>
      <c r="D48" s="52"/>
      <c r="E48" s="52"/>
    </row>
    <row r="49" spans="1:5" ht="39" customHeight="1" x14ac:dyDescent="0.25">
      <c r="A49" s="123" t="s">
        <v>1119</v>
      </c>
      <c r="B49" s="130">
        <f t="shared" ref="B49" si="17">B47/B$16</f>
        <v>0.39834312265181232</v>
      </c>
      <c r="C49" s="92" t="s">
        <v>1240</v>
      </c>
      <c r="D49" s="52"/>
      <c r="E49" s="52"/>
    </row>
    <row r="50" spans="1:5" ht="35.25" customHeight="1" x14ac:dyDescent="0.25">
      <c r="A50" s="92" t="s">
        <v>1234</v>
      </c>
      <c r="B50" s="599">
        <f t="shared" ref="B50" si="18">B47/50</f>
        <v>110.73938809720383</v>
      </c>
      <c r="C50" s="92" t="s">
        <v>1151</v>
      </c>
      <c r="D50" s="52" t="s">
        <v>1238</v>
      </c>
    </row>
    <row r="52" spans="1:5" x14ac:dyDescent="0.25">
      <c r="B52" s="602"/>
    </row>
    <row r="55" spans="1:5" x14ac:dyDescent="0.25">
      <c r="B55" s="602"/>
    </row>
  </sheetData>
  <mergeCells count="4">
    <mergeCell ref="A17:A18"/>
    <mergeCell ref="A21:E21"/>
    <mergeCell ref="A22:A23"/>
    <mergeCell ref="A24:A2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5FE73-7515-4F27-BD05-2C294F3AB7B1}">
  <sheetPr>
    <tabColor rgb="FFFFC000"/>
  </sheetPr>
  <dimension ref="A1:E46"/>
  <sheetViews>
    <sheetView zoomScale="70" zoomScaleNormal="70" workbookViewId="0">
      <selection activeCell="B23" sqref="B23"/>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53" t="s">
        <v>152</v>
      </c>
      <c r="B3" s="54" t="s">
        <v>41</v>
      </c>
      <c r="C3" s="54" t="s">
        <v>40</v>
      </c>
      <c r="D3" s="55" t="s">
        <v>42</v>
      </c>
      <c r="E3" s="56" t="s">
        <v>43</v>
      </c>
    </row>
    <row r="4" spans="1:5" x14ac:dyDescent="0.25">
      <c r="A4" s="209" t="s">
        <v>44</v>
      </c>
      <c r="B4" s="210"/>
      <c r="C4" s="210"/>
      <c r="D4" s="210"/>
      <c r="E4" s="211"/>
    </row>
    <row r="5" spans="1:5" ht="33.75" customHeight="1" x14ac:dyDescent="0.25">
      <c r="A5" s="62" t="s">
        <v>644</v>
      </c>
      <c r="B5" s="87">
        <f>0.7</f>
        <v>0.7</v>
      </c>
      <c r="C5" s="636" t="s">
        <v>45</v>
      </c>
      <c r="D5" s="636"/>
      <c r="E5" s="637">
        <f>0.7</f>
        <v>0.7</v>
      </c>
    </row>
    <row r="6" spans="1:5" ht="30.75" customHeight="1" x14ac:dyDescent="0.25">
      <c r="A6" s="62" t="s">
        <v>46</v>
      </c>
      <c r="B6" s="532">
        <v>7</v>
      </c>
      <c r="C6" s="146" t="s">
        <v>47</v>
      </c>
      <c r="D6" s="62" t="s">
        <v>48</v>
      </c>
      <c r="E6" s="638">
        <v>7</v>
      </c>
    </row>
    <row r="7" spans="1:5" ht="30" customHeight="1" x14ac:dyDescent="0.25">
      <c r="A7" s="62" t="s">
        <v>49</v>
      </c>
      <c r="B7" s="87">
        <v>30</v>
      </c>
      <c r="C7" s="62" t="s">
        <v>50</v>
      </c>
      <c r="D7" s="62"/>
      <c r="E7" s="435" t="s">
        <v>1068</v>
      </c>
    </row>
    <row r="8" spans="1:5" ht="33" customHeight="1" x14ac:dyDescent="0.25">
      <c r="A8" s="62" t="s">
        <v>52</v>
      </c>
      <c r="B8" s="575">
        <f>((B6/100)*(1+B6/100)^B7)/(((1+B6/100)^B7)-1)*100</f>
        <v>8.0586403511111193</v>
      </c>
      <c r="C8" s="62" t="s">
        <v>47</v>
      </c>
      <c r="D8" s="62" t="s">
        <v>53</v>
      </c>
      <c r="E8" s="590"/>
    </row>
    <row r="9" spans="1:5" ht="31.5" x14ac:dyDescent="0.25">
      <c r="A9" s="62" t="s">
        <v>1210</v>
      </c>
      <c r="B9" s="448">
        <v>100</v>
      </c>
      <c r="C9" s="62" t="s">
        <v>1211</v>
      </c>
      <c r="D9" s="274" t="s">
        <v>1212</v>
      </c>
      <c r="E9" s="591" t="s">
        <v>1281</v>
      </c>
    </row>
    <row r="10" spans="1:5" ht="16.5" thickBot="1" x14ac:dyDescent="0.3">
      <c r="A10" s="97"/>
      <c r="B10" s="595"/>
      <c r="C10" s="97"/>
      <c r="D10" s="254"/>
      <c r="E10" s="596"/>
    </row>
    <row r="11" spans="1:5" ht="16.5" thickBot="1" x14ac:dyDescent="0.3">
      <c r="A11" s="172" t="s">
        <v>181</v>
      </c>
      <c r="B11" s="89"/>
      <c r="C11" s="89"/>
      <c r="D11" s="89"/>
      <c r="E11" s="90"/>
    </row>
    <row r="12" spans="1:5" ht="29.25" customHeight="1" x14ac:dyDescent="0.25">
      <c r="A12" s="417" t="s">
        <v>690</v>
      </c>
      <c r="B12" s="91">
        <v>1000000</v>
      </c>
      <c r="C12" s="92" t="s">
        <v>605</v>
      </c>
      <c r="D12" s="92" t="s">
        <v>1040</v>
      </c>
      <c r="E12" s="93"/>
    </row>
    <row r="13" spans="1:5" ht="30" customHeight="1" thickBot="1" x14ac:dyDescent="0.3">
      <c r="A13" s="313" t="s">
        <v>498</v>
      </c>
      <c r="B13" s="96">
        <v>90</v>
      </c>
      <c r="C13" s="92" t="s">
        <v>47</v>
      </c>
      <c r="D13" s="92" t="s">
        <v>497</v>
      </c>
      <c r="E13" s="52"/>
    </row>
    <row r="14" spans="1:5" ht="16.5" thickBot="1" x14ac:dyDescent="0.3">
      <c r="A14" s="172" t="s">
        <v>1041</v>
      </c>
      <c r="B14" s="440"/>
      <c r="C14" s="119"/>
      <c r="D14" s="119"/>
      <c r="E14" s="120"/>
    </row>
    <row r="15" spans="1:5" ht="17.25" customHeight="1" x14ac:dyDescent="0.25">
      <c r="A15" s="431" t="s">
        <v>1042</v>
      </c>
      <c r="B15" s="432"/>
      <c r="C15" s="432"/>
      <c r="D15" s="432"/>
      <c r="E15" s="433"/>
    </row>
    <row r="16" spans="1:5" ht="34.5" customHeight="1" x14ac:dyDescent="0.25">
      <c r="A16" s="745" t="s">
        <v>1143</v>
      </c>
      <c r="B16" s="532">
        <v>13900</v>
      </c>
      <c r="C16" s="112" t="s">
        <v>1111</v>
      </c>
      <c r="D16" s="533"/>
      <c r="E16" s="394" t="s">
        <v>1101</v>
      </c>
    </row>
    <row r="17" spans="1:5" ht="34.5" customHeight="1" x14ac:dyDescent="0.25">
      <c r="A17" s="747"/>
      <c r="B17" s="532">
        <v>50</v>
      </c>
      <c r="C17" s="392" t="s">
        <v>1146</v>
      </c>
      <c r="D17" s="530"/>
      <c r="E17" s="601" t="s">
        <v>1101</v>
      </c>
    </row>
    <row r="18" spans="1:5" ht="34.5" customHeight="1" x14ac:dyDescent="0.25">
      <c r="A18" s="764" t="s">
        <v>377</v>
      </c>
      <c r="B18" s="260">
        <v>7.0000000000000007E-2</v>
      </c>
      <c r="C18" s="392" t="s">
        <v>1144</v>
      </c>
      <c r="D18" s="530"/>
      <c r="E18" s="531" t="s">
        <v>1140</v>
      </c>
    </row>
    <row r="19" spans="1:5" ht="34.5" customHeight="1" x14ac:dyDescent="0.25">
      <c r="A19" s="764"/>
      <c r="B19" s="540">
        <f>B16*B18</f>
        <v>973.00000000000011</v>
      </c>
      <c r="C19" s="522" t="s">
        <v>1111</v>
      </c>
      <c r="D19" s="539"/>
      <c r="E19" s="531"/>
    </row>
    <row r="20" spans="1:5" ht="14.25" customHeight="1" x14ac:dyDescent="0.25">
      <c r="A20" s="744" t="s">
        <v>1148</v>
      </c>
      <c r="B20" s="744"/>
      <c r="C20" s="744"/>
      <c r="D20" s="744"/>
      <c r="E20" s="744"/>
    </row>
    <row r="21" spans="1:5" ht="33" customHeight="1" x14ac:dyDescent="0.25">
      <c r="A21" s="538" t="s">
        <v>1047</v>
      </c>
      <c r="B21" s="464">
        <f>B12</f>
        <v>1000000</v>
      </c>
      <c r="C21" s="112" t="s">
        <v>605</v>
      </c>
      <c r="D21" s="530" t="s">
        <v>1060</v>
      </c>
      <c r="E21" s="394"/>
    </row>
    <row r="22" spans="1:5" ht="28.5" customHeight="1" x14ac:dyDescent="0.25">
      <c r="A22" s="745" t="s">
        <v>1132</v>
      </c>
      <c r="B22" s="426">
        <v>1190</v>
      </c>
      <c r="C22" s="422" t="s">
        <v>1145</v>
      </c>
      <c r="D22" s="425" t="s">
        <v>700</v>
      </c>
      <c r="E22" s="435" t="s">
        <v>1141</v>
      </c>
    </row>
    <row r="23" spans="1:5" ht="28.5" customHeight="1" x14ac:dyDescent="0.25">
      <c r="A23" s="747"/>
      <c r="B23" s="125">
        <f>(B22*B21)*(B9/100)</f>
        <v>1190000000</v>
      </c>
      <c r="C23" s="422" t="s">
        <v>165</v>
      </c>
      <c r="D23" s="425"/>
      <c r="E23" s="435"/>
    </row>
    <row r="24" spans="1:5" ht="33" customHeight="1" x14ac:dyDescent="0.25">
      <c r="A24" s="463" t="s">
        <v>1049</v>
      </c>
      <c r="B24" s="446">
        <v>0.7</v>
      </c>
      <c r="C24" s="422" t="s">
        <v>1147</v>
      </c>
      <c r="D24" s="425" t="s">
        <v>162</v>
      </c>
      <c r="E24" s="435" t="s">
        <v>1142</v>
      </c>
    </row>
    <row r="25" spans="1:5" x14ac:dyDescent="0.25">
      <c r="A25" s="103" t="s">
        <v>841</v>
      </c>
      <c r="B25" s="103"/>
      <c r="C25" s="103"/>
      <c r="D25" s="103"/>
      <c r="E25" s="117"/>
    </row>
    <row r="26" spans="1:5" ht="30" customHeight="1" x14ac:dyDescent="0.25">
      <c r="A26" s="92" t="s">
        <v>841</v>
      </c>
      <c r="B26" s="109">
        <f>B12*(B13/100)</f>
        <v>900000</v>
      </c>
      <c r="C26" s="112" t="s">
        <v>605</v>
      </c>
      <c r="D26" s="92" t="s">
        <v>660</v>
      </c>
      <c r="E26" s="92"/>
    </row>
    <row r="27" spans="1:5" x14ac:dyDescent="0.25">
      <c r="A27" s="118" t="s">
        <v>251</v>
      </c>
      <c r="B27" s="119"/>
      <c r="C27" s="119"/>
      <c r="D27" s="119"/>
      <c r="E27" s="120"/>
    </row>
    <row r="28" spans="1:5" x14ac:dyDescent="0.25">
      <c r="A28" s="103" t="s">
        <v>1056</v>
      </c>
      <c r="B28" s="103"/>
      <c r="C28" s="103"/>
      <c r="D28" s="103"/>
      <c r="E28" s="117"/>
    </row>
    <row r="29" spans="1:5" ht="30.75" customHeight="1" x14ac:dyDescent="0.25">
      <c r="A29" s="121" t="s">
        <v>377</v>
      </c>
      <c r="B29" s="368">
        <v>0.15356489670000001</v>
      </c>
      <c r="C29" s="121" t="s">
        <v>262</v>
      </c>
      <c r="D29" s="121" t="s">
        <v>1057</v>
      </c>
      <c r="E29" s="121"/>
    </row>
    <row r="30" spans="1:5" x14ac:dyDescent="0.25">
      <c r="A30" s="103" t="s">
        <v>94</v>
      </c>
      <c r="B30" s="103"/>
      <c r="C30" s="103"/>
      <c r="D30" s="103"/>
      <c r="E30" s="117"/>
    </row>
    <row r="31" spans="1:5" ht="29.25" customHeight="1" x14ac:dyDescent="0.25">
      <c r="A31" s="92" t="s">
        <v>1135</v>
      </c>
      <c r="B31" s="109">
        <f>B23*(B8/100)</f>
        <v>95897820.178222328</v>
      </c>
      <c r="C31" s="92" t="s">
        <v>261</v>
      </c>
      <c r="D31" s="92"/>
      <c r="E31" s="92"/>
    </row>
    <row r="32" spans="1:5" x14ac:dyDescent="0.25">
      <c r="A32" s="103" t="s">
        <v>843</v>
      </c>
      <c r="B32" s="103"/>
      <c r="C32" s="103"/>
      <c r="D32" s="103"/>
      <c r="E32" s="117"/>
    </row>
    <row r="33" spans="1:5" ht="31.5" customHeight="1" x14ac:dyDescent="0.25">
      <c r="A33" s="121" t="s">
        <v>1136</v>
      </c>
      <c r="B33" s="125">
        <f>B24*B17*B21</f>
        <v>35000000</v>
      </c>
      <c r="C33" s="121" t="s">
        <v>261</v>
      </c>
      <c r="D33" s="121"/>
      <c r="E33" s="122"/>
    </row>
    <row r="34" spans="1:5" x14ac:dyDescent="0.25">
      <c r="A34" s="103" t="s">
        <v>844</v>
      </c>
      <c r="B34" s="103"/>
      <c r="C34" s="103"/>
      <c r="D34" s="103"/>
      <c r="E34" s="117"/>
    </row>
    <row r="35" spans="1:5" ht="33.75" customHeight="1" x14ac:dyDescent="0.25">
      <c r="A35" s="487" t="s">
        <v>377</v>
      </c>
      <c r="B35" s="128">
        <f>B29*B19*B26</f>
        <v>134476780.04019001</v>
      </c>
      <c r="C35" s="92" t="s">
        <v>261</v>
      </c>
      <c r="D35" s="92"/>
      <c r="E35" s="92"/>
    </row>
    <row r="36" spans="1:5" x14ac:dyDescent="0.25">
      <c r="A36" s="103" t="s">
        <v>258</v>
      </c>
      <c r="B36" s="103"/>
      <c r="C36" s="103"/>
      <c r="D36" s="103"/>
      <c r="E36" s="117"/>
    </row>
    <row r="37" spans="1:5" ht="36" customHeight="1" x14ac:dyDescent="0.25">
      <c r="A37" s="123" t="s">
        <v>1062</v>
      </c>
      <c r="B37" s="197">
        <f>B31/B26</f>
        <v>106.55313353135814</v>
      </c>
      <c r="C37" s="92" t="s">
        <v>625</v>
      </c>
      <c r="D37" s="113"/>
      <c r="E37" s="455"/>
    </row>
    <row r="38" spans="1:5" ht="34.5" customHeight="1" x14ac:dyDescent="0.25">
      <c r="A38" s="123" t="s">
        <v>1063</v>
      </c>
      <c r="B38" s="197">
        <f>B33/B26</f>
        <v>38.888888888888886</v>
      </c>
      <c r="C38" s="92" t="s">
        <v>625</v>
      </c>
      <c r="D38" s="113"/>
      <c r="E38" s="455"/>
    </row>
    <row r="39" spans="1:5" ht="34.5" customHeight="1" x14ac:dyDescent="0.25">
      <c r="A39" s="123" t="s">
        <v>1064</v>
      </c>
      <c r="B39" s="197">
        <f>(B35)/B26</f>
        <v>149.41864448910002</v>
      </c>
      <c r="C39" s="92" t="s">
        <v>625</v>
      </c>
      <c r="D39" s="113"/>
      <c r="E39" s="455"/>
    </row>
    <row r="40" spans="1:5" ht="38.25" customHeight="1" x14ac:dyDescent="0.25">
      <c r="A40" s="123" t="s">
        <v>1149</v>
      </c>
      <c r="B40" s="130">
        <f>SUM(B37:B39)</f>
        <v>294.86066690934706</v>
      </c>
      <c r="C40" s="92" t="s">
        <v>625</v>
      </c>
      <c r="D40" s="92"/>
      <c r="E40" s="92"/>
    </row>
    <row r="41" spans="1:5" ht="34.5" customHeight="1" x14ac:dyDescent="0.25">
      <c r="A41" s="123" t="s">
        <v>1149</v>
      </c>
      <c r="B41" s="130">
        <f>B40/B5</f>
        <v>421.22952415621012</v>
      </c>
      <c r="C41" s="92" t="s">
        <v>626</v>
      </c>
      <c r="D41" s="92"/>
      <c r="E41" s="92"/>
    </row>
    <row r="42" spans="1:5" ht="30" customHeight="1" x14ac:dyDescent="0.25">
      <c r="A42" s="123" t="s">
        <v>1149</v>
      </c>
      <c r="B42" s="72">
        <f>B40/$B$17</f>
        <v>5.8972133381869414</v>
      </c>
      <c r="C42" s="92" t="s">
        <v>1150</v>
      </c>
      <c r="D42" s="52"/>
      <c r="E42" s="52"/>
    </row>
    <row r="43" spans="1:5" ht="26.25" customHeight="1" x14ac:dyDescent="0.25">
      <c r="A43" s="123" t="s">
        <v>1149</v>
      </c>
      <c r="B43" s="72">
        <f>B41/$B$17</f>
        <v>8.4245904831242022</v>
      </c>
      <c r="C43" s="112" t="s">
        <v>1151</v>
      </c>
      <c r="D43" s="52"/>
      <c r="E43" s="52"/>
    </row>
    <row r="46" spans="1:5" x14ac:dyDescent="0.25">
      <c r="B46" s="326"/>
    </row>
  </sheetData>
  <mergeCells count="4">
    <mergeCell ref="A20:E20"/>
    <mergeCell ref="A22:A23"/>
    <mergeCell ref="A18:A19"/>
    <mergeCell ref="A16:A17"/>
  </mergeCells>
  <hyperlinks>
    <hyperlink ref="E17" r:id="rId1" xr:uid="{DA806EAA-EF00-4189-BA5A-C93427E4312D}"/>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3D5C-A8DF-4C27-A606-0D656A4D8752}">
  <sheetPr>
    <tabColor rgb="FFFFC000"/>
  </sheetPr>
  <dimension ref="A1:H38"/>
  <sheetViews>
    <sheetView zoomScale="70" zoomScaleNormal="70" workbookViewId="0">
      <selection activeCell="G25" sqref="G25"/>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640" t="s">
        <v>152</v>
      </c>
      <c r="B3" s="641" t="s">
        <v>41</v>
      </c>
      <c r="C3" s="641" t="s">
        <v>40</v>
      </c>
      <c r="D3" s="642" t="s">
        <v>42</v>
      </c>
      <c r="E3" s="643" t="s">
        <v>43</v>
      </c>
    </row>
    <row r="4" spans="1:5" x14ac:dyDescent="0.25">
      <c r="A4" s="644" t="s">
        <v>44</v>
      </c>
      <c r="B4" s="639"/>
      <c r="C4" s="639"/>
      <c r="D4" s="639"/>
      <c r="E4" s="645"/>
    </row>
    <row r="5" spans="1:5" ht="33.75" customHeight="1" x14ac:dyDescent="0.25">
      <c r="A5" s="144" t="s">
        <v>644</v>
      </c>
      <c r="B5" s="87">
        <f>0.7</f>
        <v>0.7</v>
      </c>
      <c r="C5" s="636" t="s">
        <v>45</v>
      </c>
      <c r="D5" s="636"/>
      <c r="E5" s="237">
        <f>0.7</f>
        <v>0.7</v>
      </c>
    </row>
    <row r="6" spans="1:5" ht="30.75" customHeight="1" x14ac:dyDescent="0.25">
      <c r="A6" s="144" t="s">
        <v>46</v>
      </c>
      <c r="B6" s="532">
        <v>7</v>
      </c>
      <c r="C6" s="146" t="s">
        <v>47</v>
      </c>
      <c r="D6" s="62" t="s">
        <v>48</v>
      </c>
      <c r="E6" s="309">
        <v>7</v>
      </c>
    </row>
    <row r="7" spans="1:5" ht="30" customHeight="1" x14ac:dyDescent="0.25">
      <c r="A7" s="144" t="s">
        <v>49</v>
      </c>
      <c r="B7" s="87">
        <v>30</v>
      </c>
      <c r="C7" s="62" t="s">
        <v>50</v>
      </c>
      <c r="D7" s="62"/>
      <c r="E7" s="429" t="s">
        <v>1068</v>
      </c>
    </row>
    <row r="8" spans="1:5" ht="33" customHeight="1" x14ac:dyDescent="0.25">
      <c r="A8" s="144" t="s">
        <v>52</v>
      </c>
      <c r="B8" s="575">
        <f>(($B$6/100)*(1+$B$6/100)^$B$7)/(((1+$B$6/100)^$B$7)-1)*100</f>
        <v>8.0586403511111193</v>
      </c>
      <c r="C8" s="62" t="s">
        <v>47</v>
      </c>
      <c r="D8" s="62" t="s">
        <v>53</v>
      </c>
      <c r="E8" s="578"/>
    </row>
    <row r="9" spans="1:5" ht="33" customHeight="1" thickBot="1" x14ac:dyDescent="0.3">
      <c r="A9" s="150" t="s">
        <v>1210</v>
      </c>
      <c r="B9" s="579">
        <v>100</v>
      </c>
      <c r="C9" s="151" t="s">
        <v>1211</v>
      </c>
      <c r="D9" s="576" t="s">
        <v>1212</v>
      </c>
      <c r="E9" s="577" t="s">
        <v>1281</v>
      </c>
    </row>
    <row r="10" spans="1:5" ht="16.5" thickBot="1" x14ac:dyDescent="0.3"/>
    <row r="11" spans="1:5" ht="16.5" thickBot="1" x14ac:dyDescent="0.3">
      <c r="A11" s="172" t="s">
        <v>181</v>
      </c>
      <c r="B11" s="89"/>
      <c r="C11" s="89"/>
      <c r="D11" s="89"/>
      <c r="E11" s="90"/>
    </row>
    <row r="12" spans="1:5" ht="29.25" customHeight="1" x14ac:dyDescent="0.25">
      <c r="A12" s="417" t="s">
        <v>690</v>
      </c>
      <c r="B12" s="91">
        <v>1000000</v>
      </c>
      <c r="C12" s="92" t="s">
        <v>605</v>
      </c>
      <c r="D12" s="92" t="s">
        <v>1040</v>
      </c>
      <c r="E12" s="93"/>
    </row>
    <row r="13" spans="1:5" ht="30" customHeight="1" thickBot="1" x14ac:dyDescent="0.3">
      <c r="A13" s="313" t="s">
        <v>498</v>
      </c>
      <c r="B13" s="96">
        <v>90</v>
      </c>
      <c r="C13" s="92" t="s">
        <v>47</v>
      </c>
      <c r="D13" s="92" t="s">
        <v>497</v>
      </c>
      <c r="E13" s="52"/>
    </row>
    <row r="14" spans="1:5" ht="16.5" thickBot="1" x14ac:dyDescent="0.3">
      <c r="A14" s="172" t="s">
        <v>1041</v>
      </c>
      <c r="B14" s="440"/>
      <c r="C14" s="119"/>
      <c r="D14" s="119"/>
      <c r="E14" s="120"/>
    </row>
    <row r="15" spans="1:5" ht="17.25" customHeight="1" x14ac:dyDescent="0.25">
      <c r="A15" s="431" t="s">
        <v>1042</v>
      </c>
      <c r="B15" s="432"/>
      <c r="C15" s="432"/>
      <c r="D15" s="432"/>
      <c r="E15" s="433"/>
    </row>
    <row r="16" spans="1:5" ht="34.5" customHeight="1" x14ac:dyDescent="0.25">
      <c r="A16" s="541" t="s">
        <v>1155</v>
      </c>
      <c r="B16" s="114">
        <v>50</v>
      </c>
      <c r="C16" s="422" t="s">
        <v>1153</v>
      </c>
      <c r="D16" s="524"/>
      <c r="E16" s="435" t="s">
        <v>1101</v>
      </c>
    </row>
    <row r="17" spans="1:8" ht="34.5" customHeight="1" x14ac:dyDescent="0.25">
      <c r="A17" s="541" t="s">
        <v>1249</v>
      </c>
      <c r="B17" s="475">
        <v>1</v>
      </c>
      <c r="C17" s="422" t="s">
        <v>47</v>
      </c>
      <c r="D17" s="422" t="s">
        <v>1250</v>
      </c>
      <c r="E17" s="435" t="s">
        <v>1163</v>
      </c>
      <c r="H17" s="45">
        <f>(0.025*50/1000)*277.78</f>
        <v>0.34722499999999995</v>
      </c>
    </row>
    <row r="18" spans="1:8" ht="14.25" customHeight="1" x14ac:dyDescent="0.25">
      <c r="A18" s="744" t="s">
        <v>1121</v>
      </c>
      <c r="B18" s="744"/>
      <c r="C18" s="744"/>
      <c r="D18" s="744"/>
      <c r="E18" s="744"/>
    </row>
    <row r="19" spans="1:8" ht="33" customHeight="1" x14ac:dyDescent="0.25">
      <c r="A19" s="538" t="s">
        <v>1047</v>
      </c>
      <c r="B19" s="464">
        <f>B12</f>
        <v>1000000</v>
      </c>
      <c r="C19" s="112" t="s">
        <v>605</v>
      </c>
      <c r="D19" s="530" t="s">
        <v>1060</v>
      </c>
      <c r="E19" s="394"/>
    </row>
    <row r="20" spans="1:8" ht="28.5" customHeight="1" x14ac:dyDescent="0.25">
      <c r="A20" s="745" t="s">
        <v>1132</v>
      </c>
      <c r="B20" s="426">
        <v>50</v>
      </c>
      <c r="C20" s="422" t="s">
        <v>1161</v>
      </c>
      <c r="D20" s="425" t="s">
        <v>700</v>
      </c>
      <c r="E20" s="435" t="s">
        <v>1159</v>
      </c>
    </row>
    <row r="21" spans="1:8" ht="28.5" customHeight="1" x14ac:dyDescent="0.25">
      <c r="A21" s="747"/>
      <c r="B21" s="125">
        <f>B20*B19*(B9/100)</f>
        <v>50000000</v>
      </c>
      <c r="C21" s="422" t="s">
        <v>165</v>
      </c>
      <c r="D21" s="425"/>
      <c r="E21" s="435"/>
    </row>
    <row r="22" spans="1:8" ht="33" customHeight="1" x14ac:dyDescent="0.25">
      <c r="A22" s="422" t="s">
        <v>1049</v>
      </c>
      <c r="B22" s="446">
        <v>5</v>
      </c>
      <c r="C22" s="422" t="s">
        <v>701</v>
      </c>
      <c r="D22" s="425" t="s">
        <v>1162</v>
      </c>
      <c r="E22" s="435" t="s">
        <v>1137</v>
      </c>
    </row>
    <row r="23" spans="1:8" x14ac:dyDescent="0.25">
      <c r="A23" s="103" t="s">
        <v>841</v>
      </c>
      <c r="B23" s="103"/>
      <c r="C23" s="103"/>
      <c r="D23" s="103"/>
      <c r="E23" s="117"/>
    </row>
    <row r="24" spans="1:8" ht="30" customHeight="1" x14ac:dyDescent="0.25">
      <c r="A24" s="92" t="s">
        <v>841</v>
      </c>
      <c r="B24" s="109">
        <f>(B12*(B13/100))/(1-(B17/100))</f>
        <v>909090.90909090906</v>
      </c>
      <c r="C24" s="112" t="s">
        <v>605</v>
      </c>
      <c r="D24" s="92" t="s">
        <v>660</v>
      </c>
      <c r="E24" s="92"/>
    </row>
    <row r="25" spans="1:8" x14ac:dyDescent="0.25">
      <c r="A25" s="118" t="s">
        <v>251</v>
      </c>
      <c r="B25" s="119"/>
      <c r="C25" s="119"/>
      <c r="D25" s="119"/>
      <c r="E25" s="120"/>
    </row>
    <row r="26" spans="1:8" x14ac:dyDescent="0.25">
      <c r="A26" s="103" t="s">
        <v>1056</v>
      </c>
      <c r="B26" s="103"/>
      <c r="C26" s="103"/>
      <c r="D26" s="103"/>
      <c r="E26" s="117"/>
    </row>
    <row r="27" spans="1:8" x14ac:dyDescent="0.25">
      <c r="A27" s="103" t="s">
        <v>94</v>
      </c>
      <c r="B27" s="103"/>
      <c r="C27" s="103"/>
      <c r="D27" s="103"/>
      <c r="E27" s="117"/>
    </row>
    <row r="28" spans="1:8" ht="29.25" customHeight="1" x14ac:dyDescent="0.25">
      <c r="A28" s="92" t="s">
        <v>1135</v>
      </c>
      <c r="B28" s="109">
        <f>B21*(B8/100)</f>
        <v>4029320.1755555598</v>
      </c>
      <c r="C28" s="92" t="s">
        <v>261</v>
      </c>
      <c r="D28" s="92"/>
      <c r="E28" s="92"/>
    </row>
    <row r="29" spans="1:8" x14ac:dyDescent="0.25">
      <c r="A29" s="103" t="s">
        <v>843</v>
      </c>
      <c r="B29" s="103"/>
      <c r="C29" s="103"/>
      <c r="D29" s="103"/>
      <c r="E29" s="117"/>
    </row>
    <row r="30" spans="1:8" ht="31.5" customHeight="1" x14ac:dyDescent="0.25">
      <c r="A30" s="121" t="s">
        <v>1136</v>
      </c>
      <c r="B30" s="125">
        <f>(B22/100)*B21</f>
        <v>2500000</v>
      </c>
      <c r="C30" s="121" t="s">
        <v>261</v>
      </c>
      <c r="D30" s="121"/>
      <c r="E30" s="122"/>
    </row>
    <row r="31" spans="1:8" x14ac:dyDescent="0.25">
      <c r="A31" s="103" t="s">
        <v>258</v>
      </c>
      <c r="B31" s="103"/>
      <c r="C31" s="103"/>
      <c r="D31" s="103"/>
      <c r="E31" s="117"/>
    </row>
    <row r="32" spans="1:8" ht="36" customHeight="1" x14ac:dyDescent="0.25">
      <c r="A32" s="123" t="s">
        <v>1062</v>
      </c>
      <c r="B32" s="197">
        <f>B28/$B$24</f>
        <v>4.4322521931111156</v>
      </c>
      <c r="C32" s="92" t="s">
        <v>625</v>
      </c>
      <c r="D32" s="113"/>
      <c r="E32" s="455"/>
    </row>
    <row r="33" spans="1:5" ht="34.5" customHeight="1" x14ac:dyDescent="0.25">
      <c r="A33" s="123" t="s">
        <v>1063</v>
      </c>
      <c r="B33" s="197">
        <f>B30/B24</f>
        <v>2.75</v>
      </c>
      <c r="C33" s="92" t="s">
        <v>625</v>
      </c>
      <c r="D33" s="113"/>
      <c r="E33" s="455"/>
    </row>
    <row r="34" spans="1:5" ht="38.25" customHeight="1" x14ac:dyDescent="0.25">
      <c r="A34" s="123" t="s">
        <v>1160</v>
      </c>
      <c r="B34" s="130">
        <f>SUM(B32:B33)</f>
        <v>7.1822521931111156</v>
      </c>
      <c r="C34" s="92" t="s">
        <v>625</v>
      </c>
      <c r="D34" s="92"/>
      <c r="E34" s="92"/>
    </row>
    <row r="35" spans="1:5" ht="34.5" customHeight="1" x14ac:dyDescent="0.25">
      <c r="A35" s="123" t="s">
        <v>1160</v>
      </c>
      <c r="B35" s="130">
        <f>B34/B5</f>
        <v>10.260360275873023</v>
      </c>
      <c r="C35" s="92" t="s">
        <v>626</v>
      </c>
      <c r="D35" s="92"/>
      <c r="E35" s="92"/>
    </row>
    <row r="36" spans="1:5" ht="27.75" customHeight="1" x14ac:dyDescent="0.25">
      <c r="A36" s="123" t="s">
        <v>1160</v>
      </c>
      <c r="B36" s="130">
        <f>B34/$B$16</f>
        <v>0.14364504386222232</v>
      </c>
      <c r="C36" s="92" t="s">
        <v>1150</v>
      </c>
      <c r="D36" s="52"/>
      <c r="E36" s="52"/>
    </row>
    <row r="37" spans="1:5" ht="31.5" customHeight="1" x14ac:dyDescent="0.25">
      <c r="A37" s="123" t="s">
        <v>1160</v>
      </c>
      <c r="B37" s="130">
        <f>B35/$B$16</f>
        <v>0.20520720551746044</v>
      </c>
      <c r="C37" s="92" t="s">
        <v>1151</v>
      </c>
      <c r="D37" s="52"/>
      <c r="E37" s="52"/>
    </row>
    <row r="38" spans="1:5" x14ac:dyDescent="0.25">
      <c r="B38" s="326"/>
    </row>
  </sheetData>
  <mergeCells count="2">
    <mergeCell ref="A18:E18"/>
    <mergeCell ref="A20:A2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D718A-D1BD-44D9-ADFB-8A8D7A456519}">
  <sheetPr>
    <tabColor rgb="FFFFC000"/>
  </sheetPr>
  <dimension ref="A1:E43"/>
  <sheetViews>
    <sheetView zoomScale="70" zoomScaleNormal="70" workbookViewId="0">
      <selection activeCell="B20" sqref="B20"/>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53" t="s">
        <v>152</v>
      </c>
      <c r="B3" s="54" t="s">
        <v>41</v>
      </c>
      <c r="C3" s="54" t="s">
        <v>40</v>
      </c>
      <c r="D3" s="55" t="s">
        <v>42</v>
      </c>
      <c r="E3" s="56" t="s">
        <v>43</v>
      </c>
    </row>
    <row r="4" spans="1:5" x14ac:dyDescent="0.25">
      <c r="A4" s="209" t="s">
        <v>44</v>
      </c>
      <c r="B4" s="210"/>
      <c r="C4" s="210"/>
      <c r="D4" s="210"/>
      <c r="E4" s="211"/>
    </row>
    <row r="5" spans="1:5" ht="33.75" customHeight="1" x14ac:dyDescent="0.25">
      <c r="A5" s="62" t="s">
        <v>644</v>
      </c>
      <c r="B5" s="87">
        <f>0.7</f>
        <v>0.7</v>
      </c>
      <c r="C5" s="636" t="s">
        <v>45</v>
      </c>
      <c r="D5" s="636"/>
      <c r="E5" s="637">
        <f>0.7</f>
        <v>0.7</v>
      </c>
    </row>
    <row r="6" spans="1:5" ht="30.75" customHeight="1" x14ac:dyDescent="0.25">
      <c r="A6" s="62" t="s">
        <v>46</v>
      </c>
      <c r="B6" s="532">
        <v>7</v>
      </c>
      <c r="C6" s="146" t="s">
        <v>47</v>
      </c>
      <c r="D6" s="62" t="s">
        <v>48</v>
      </c>
      <c r="E6" s="638">
        <v>7</v>
      </c>
    </row>
    <row r="7" spans="1:5" ht="30" customHeight="1" x14ac:dyDescent="0.25">
      <c r="A7" s="62" t="s">
        <v>49</v>
      </c>
      <c r="B7" s="87">
        <v>30</v>
      </c>
      <c r="C7" s="62" t="s">
        <v>50</v>
      </c>
      <c r="D7" s="62"/>
      <c r="E7" s="435" t="s">
        <v>1068</v>
      </c>
    </row>
    <row r="8" spans="1:5" ht="33" customHeight="1" x14ac:dyDescent="0.25">
      <c r="A8" s="62" t="s">
        <v>52</v>
      </c>
      <c r="B8" s="575">
        <f>((B6/100)*(1+B6/100)^B7)/(((1+B6/100)^B7)-1)*100</f>
        <v>8.0586403511111193</v>
      </c>
      <c r="C8" s="62" t="s">
        <v>47</v>
      </c>
      <c r="D8" s="62" t="s">
        <v>53</v>
      </c>
      <c r="E8" s="590"/>
    </row>
    <row r="9" spans="1:5" ht="33" customHeight="1" x14ac:dyDescent="0.25">
      <c r="A9" s="62" t="s">
        <v>1210</v>
      </c>
      <c r="B9" s="448">
        <v>100</v>
      </c>
      <c r="C9" s="62" t="s">
        <v>1211</v>
      </c>
      <c r="D9" s="274" t="s">
        <v>1212</v>
      </c>
      <c r="E9" s="591" t="s">
        <v>1281</v>
      </c>
    </row>
    <row r="10" spans="1:5" ht="16.5" thickBot="1" x14ac:dyDescent="0.3"/>
    <row r="11" spans="1:5" ht="16.5" thickBot="1" x14ac:dyDescent="0.3">
      <c r="A11" s="172" t="s">
        <v>181</v>
      </c>
      <c r="B11" s="89"/>
      <c r="C11" s="89"/>
      <c r="D11" s="89"/>
      <c r="E11" s="90"/>
    </row>
    <row r="12" spans="1:5" ht="29.25" customHeight="1" x14ac:dyDescent="0.25">
      <c r="A12" s="417" t="s">
        <v>690</v>
      </c>
      <c r="B12" s="91">
        <v>1000000</v>
      </c>
      <c r="C12" s="92" t="s">
        <v>605</v>
      </c>
      <c r="D12" s="92" t="s">
        <v>1040</v>
      </c>
      <c r="E12" s="93"/>
    </row>
    <row r="13" spans="1:5" ht="30" customHeight="1" thickBot="1" x14ac:dyDescent="0.3">
      <c r="A13" s="313" t="s">
        <v>498</v>
      </c>
      <c r="B13" s="96">
        <v>90</v>
      </c>
      <c r="C13" s="92" t="s">
        <v>47</v>
      </c>
      <c r="D13" s="92" t="s">
        <v>497</v>
      </c>
      <c r="E13" s="52"/>
    </row>
    <row r="14" spans="1:5" ht="16.5" thickBot="1" x14ac:dyDescent="0.3">
      <c r="A14" s="172" t="s">
        <v>1041</v>
      </c>
      <c r="B14" s="440"/>
      <c r="C14" s="119"/>
      <c r="D14" s="119"/>
      <c r="E14" s="120"/>
    </row>
    <row r="15" spans="1:5" ht="17.25" customHeight="1" x14ac:dyDescent="0.25">
      <c r="A15" s="431" t="s">
        <v>1042</v>
      </c>
      <c r="B15" s="432"/>
      <c r="C15" s="432"/>
      <c r="D15" s="432"/>
      <c r="E15" s="433"/>
    </row>
    <row r="16" spans="1:5" ht="34.5" customHeight="1" x14ac:dyDescent="0.25">
      <c r="A16" s="537" t="s">
        <v>377</v>
      </c>
      <c r="B16" s="475">
        <v>1.5</v>
      </c>
      <c r="C16" s="422" t="s">
        <v>1069</v>
      </c>
      <c r="D16" s="524"/>
      <c r="E16" s="435" t="s">
        <v>1120</v>
      </c>
    </row>
    <row r="17" spans="1:5" ht="14.25" customHeight="1" x14ac:dyDescent="0.25">
      <c r="A17" s="744" t="s">
        <v>1121</v>
      </c>
      <c r="B17" s="744"/>
      <c r="C17" s="744"/>
      <c r="D17" s="744"/>
      <c r="E17" s="744"/>
    </row>
    <row r="18" spans="1:5" ht="33" customHeight="1" x14ac:dyDescent="0.25">
      <c r="A18" s="538" t="s">
        <v>1047</v>
      </c>
      <c r="B18" s="587">
        <f>B12</f>
        <v>1000000</v>
      </c>
      <c r="C18" s="112" t="s">
        <v>1082</v>
      </c>
      <c r="D18" s="530" t="s">
        <v>1060</v>
      </c>
      <c r="E18" s="394"/>
    </row>
    <row r="19" spans="1:5" ht="28.5" customHeight="1" x14ac:dyDescent="0.25">
      <c r="A19" s="745" t="s">
        <v>1123</v>
      </c>
      <c r="B19" s="426">
        <v>790</v>
      </c>
      <c r="C19" s="422" t="s">
        <v>1125</v>
      </c>
      <c r="D19" s="425" t="s">
        <v>700</v>
      </c>
      <c r="E19" s="435" t="s">
        <v>1124</v>
      </c>
    </row>
    <row r="20" spans="1:5" ht="28.5" customHeight="1" x14ac:dyDescent="0.25">
      <c r="A20" s="747"/>
      <c r="B20" s="125">
        <f>(B19*B18)*(B9/100)</f>
        <v>790000000</v>
      </c>
      <c r="C20" s="422" t="s">
        <v>165</v>
      </c>
      <c r="D20" s="425"/>
      <c r="E20" s="435"/>
    </row>
    <row r="21" spans="1:5" ht="33" customHeight="1" x14ac:dyDescent="0.25">
      <c r="A21" s="422" t="s">
        <v>1049</v>
      </c>
      <c r="B21" s="446">
        <v>4</v>
      </c>
      <c r="C21" s="422" t="s">
        <v>701</v>
      </c>
      <c r="D21" s="425" t="s">
        <v>162</v>
      </c>
      <c r="E21" s="435" t="s">
        <v>1076</v>
      </c>
    </row>
    <row r="22" spans="1:5" x14ac:dyDescent="0.25">
      <c r="A22" s="103" t="s">
        <v>841</v>
      </c>
      <c r="B22" s="103"/>
      <c r="C22" s="103"/>
      <c r="D22" s="103"/>
      <c r="E22" s="117"/>
    </row>
    <row r="23" spans="1:5" ht="30" customHeight="1" x14ac:dyDescent="0.25">
      <c r="A23" s="92" t="s">
        <v>841</v>
      </c>
      <c r="B23" s="109">
        <f>B12*(B13/100)</f>
        <v>900000</v>
      </c>
      <c r="C23" s="112" t="s">
        <v>605</v>
      </c>
      <c r="D23" s="92" t="s">
        <v>660</v>
      </c>
      <c r="E23" s="92"/>
    </row>
    <row r="24" spans="1:5" x14ac:dyDescent="0.25">
      <c r="A24" s="118" t="s">
        <v>251</v>
      </c>
      <c r="B24" s="119"/>
      <c r="C24" s="119"/>
      <c r="D24" s="119"/>
      <c r="E24" s="120"/>
    </row>
    <row r="25" spans="1:5" x14ac:dyDescent="0.25">
      <c r="A25" s="103" t="s">
        <v>1056</v>
      </c>
      <c r="B25" s="103"/>
      <c r="C25" s="103"/>
      <c r="D25" s="103"/>
      <c r="E25" s="117"/>
    </row>
    <row r="26" spans="1:5" ht="30.75" customHeight="1" x14ac:dyDescent="0.25">
      <c r="A26" s="121" t="s">
        <v>377</v>
      </c>
      <c r="B26" s="368">
        <v>0.154</v>
      </c>
      <c r="C26" s="121" t="s">
        <v>262</v>
      </c>
      <c r="D26" s="121" t="s">
        <v>1057</v>
      </c>
      <c r="E26" s="121"/>
    </row>
    <row r="27" spans="1:5" x14ac:dyDescent="0.25">
      <c r="A27" s="103" t="s">
        <v>94</v>
      </c>
      <c r="B27" s="103"/>
      <c r="C27" s="103"/>
      <c r="D27" s="103"/>
      <c r="E27" s="117"/>
    </row>
    <row r="28" spans="1:5" ht="29.25" customHeight="1" x14ac:dyDescent="0.25">
      <c r="A28" s="92" t="s">
        <v>1122</v>
      </c>
      <c r="B28" s="109">
        <f>B20*(B8/100)</f>
        <v>63663258.773777843</v>
      </c>
      <c r="C28" s="92" t="s">
        <v>261</v>
      </c>
      <c r="D28" s="92"/>
      <c r="E28" s="92"/>
    </row>
    <row r="29" spans="1:5" x14ac:dyDescent="0.25">
      <c r="A29" s="103" t="s">
        <v>843</v>
      </c>
      <c r="B29" s="103"/>
      <c r="C29" s="103"/>
      <c r="D29" s="103"/>
      <c r="E29" s="117"/>
    </row>
    <row r="30" spans="1:5" ht="31.5" customHeight="1" x14ac:dyDescent="0.25">
      <c r="A30" s="121" t="s">
        <v>1126</v>
      </c>
      <c r="B30" s="125">
        <f>(B21/100)*B20</f>
        <v>31600000</v>
      </c>
      <c r="C30" s="121" t="s">
        <v>261</v>
      </c>
      <c r="D30" s="121"/>
      <c r="E30" s="122"/>
    </row>
    <row r="31" spans="1:5" x14ac:dyDescent="0.25">
      <c r="A31" s="103" t="s">
        <v>844</v>
      </c>
      <c r="B31" s="103"/>
      <c r="C31" s="103"/>
      <c r="D31" s="103"/>
      <c r="E31" s="117"/>
    </row>
    <row r="32" spans="1:5" ht="33.75" customHeight="1" x14ac:dyDescent="0.25">
      <c r="A32" s="487" t="s">
        <v>377</v>
      </c>
      <c r="B32" s="128">
        <f>B26*B16*1000*B23</f>
        <v>207899999.99999997</v>
      </c>
      <c r="C32" s="92" t="s">
        <v>261</v>
      </c>
      <c r="D32" s="92"/>
      <c r="E32" s="92"/>
    </row>
    <row r="33" spans="1:5" x14ac:dyDescent="0.25">
      <c r="A33" s="103" t="s">
        <v>258</v>
      </c>
      <c r="B33" s="103"/>
      <c r="C33" s="103"/>
      <c r="D33" s="103"/>
      <c r="E33" s="117"/>
    </row>
    <row r="34" spans="1:5" ht="36" customHeight="1" x14ac:dyDescent="0.25">
      <c r="A34" s="123" t="s">
        <v>1062</v>
      </c>
      <c r="B34" s="197">
        <f>B28/B23</f>
        <v>70.73695419308649</v>
      </c>
      <c r="C34" s="92" t="s">
        <v>1085</v>
      </c>
      <c r="D34" s="113"/>
      <c r="E34" s="455"/>
    </row>
    <row r="35" spans="1:5" ht="34.5" customHeight="1" x14ac:dyDescent="0.25">
      <c r="A35" s="123" t="s">
        <v>1063</v>
      </c>
      <c r="B35" s="197">
        <f>B30/B23</f>
        <v>35.111111111111114</v>
      </c>
      <c r="C35" s="92" t="s">
        <v>1085</v>
      </c>
      <c r="D35" s="113"/>
      <c r="E35" s="455"/>
    </row>
    <row r="36" spans="1:5" ht="34.5" customHeight="1" x14ac:dyDescent="0.25">
      <c r="A36" s="123" t="s">
        <v>1064</v>
      </c>
      <c r="B36" s="197">
        <f>(B32)/B23</f>
        <v>230.99999999999997</v>
      </c>
      <c r="C36" s="92" t="s">
        <v>1085</v>
      </c>
      <c r="D36" s="113"/>
      <c r="E36" s="455"/>
    </row>
    <row r="37" spans="1:5" ht="38.25" customHeight="1" x14ac:dyDescent="0.25">
      <c r="A37" s="123" t="s">
        <v>1127</v>
      </c>
      <c r="B37" s="130">
        <f>SUM(B34:B36)</f>
        <v>336.84806530419758</v>
      </c>
      <c r="C37" s="92" t="s">
        <v>1085</v>
      </c>
      <c r="D37" s="92"/>
      <c r="E37" s="92"/>
    </row>
    <row r="38" spans="1:5" ht="34.5" customHeight="1" x14ac:dyDescent="0.25">
      <c r="A38" s="123" t="s">
        <v>1127</v>
      </c>
      <c r="B38" s="130">
        <f>B37/B5</f>
        <v>481.21152186313941</v>
      </c>
      <c r="C38" s="92" t="s">
        <v>1086</v>
      </c>
      <c r="D38" s="92"/>
      <c r="E38" s="92"/>
    </row>
    <row r="39" spans="1:5" ht="35.25" customHeight="1" x14ac:dyDescent="0.25">
      <c r="A39" s="123" t="s">
        <v>1241</v>
      </c>
      <c r="B39" s="72">
        <f>B38/120</f>
        <v>4.0100960155261616</v>
      </c>
      <c r="C39" s="112" t="s">
        <v>1151</v>
      </c>
      <c r="D39" s="52" t="s">
        <v>1242</v>
      </c>
      <c r="E39" s="52"/>
    </row>
    <row r="40" spans="1:5" x14ac:dyDescent="0.25">
      <c r="B40" s="326"/>
    </row>
    <row r="43" spans="1:5" x14ac:dyDescent="0.25">
      <c r="B43" s="326"/>
    </row>
  </sheetData>
  <mergeCells count="2">
    <mergeCell ref="A17:E17"/>
    <mergeCell ref="A19:A2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AFD3B-4777-4ABC-AB87-B25A82534847}">
  <sheetPr>
    <tabColor rgb="FFFFC000"/>
  </sheetPr>
  <dimension ref="A1:E49"/>
  <sheetViews>
    <sheetView zoomScale="70" zoomScaleNormal="70" workbookViewId="0">
      <selection activeCell="G14" sqref="G14"/>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640" t="s">
        <v>152</v>
      </c>
      <c r="B3" s="641" t="s">
        <v>41</v>
      </c>
      <c r="C3" s="641" t="s">
        <v>40</v>
      </c>
      <c r="D3" s="642" t="s">
        <v>42</v>
      </c>
      <c r="E3" s="643" t="s">
        <v>43</v>
      </c>
    </row>
    <row r="4" spans="1:5" x14ac:dyDescent="0.25">
      <c r="A4" s="644" t="s">
        <v>44</v>
      </c>
      <c r="B4" s="639"/>
      <c r="C4" s="639"/>
      <c r="D4" s="639"/>
      <c r="E4" s="645"/>
    </row>
    <row r="5" spans="1:5" ht="33.75" customHeight="1" x14ac:dyDescent="0.25">
      <c r="A5" s="144" t="s">
        <v>644</v>
      </c>
      <c r="B5" s="87">
        <f>0.7</f>
        <v>0.7</v>
      </c>
      <c r="C5" s="636" t="s">
        <v>45</v>
      </c>
      <c r="D5" s="636"/>
      <c r="E5" s="237">
        <f>0.7</f>
        <v>0.7</v>
      </c>
    </row>
    <row r="6" spans="1:5" ht="30.75" customHeight="1" x14ac:dyDescent="0.25">
      <c r="A6" s="144" t="s">
        <v>46</v>
      </c>
      <c r="B6" s="532">
        <v>7</v>
      </c>
      <c r="C6" s="146" t="s">
        <v>47</v>
      </c>
      <c r="D6" s="62" t="s">
        <v>48</v>
      </c>
      <c r="E6" s="309">
        <v>7</v>
      </c>
    </row>
    <row r="7" spans="1:5" ht="30" customHeight="1" x14ac:dyDescent="0.25">
      <c r="A7" s="144" t="s">
        <v>49</v>
      </c>
      <c r="B7" s="87">
        <v>30</v>
      </c>
      <c r="C7" s="62" t="s">
        <v>50</v>
      </c>
      <c r="D7" s="62"/>
      <c r="E7" s="429" t="s">
        <v>1068</v>
      </c>
    </row>
    <row r="8" spans="1:5" ht="33" customHeight="1" x14ac:dyDescent="0.25">
      <c r="A8" s="144" t="s">
        <v>52</v>
      </c>
      <c r="B8" s="575">
        <f>(($B$6/100)*(1+$B$6/100)^$B$7)/(((1+$B$6/100)^$B$7)-1)*100</f>
        <v>8.0586403511111193</v>
      </c>
      <c r="C8" s="62" t="s">
        <v>47</v>
      </c>
      <c r="D8" s="62" t="s">
        <v>53</v>
      </c>
      <c r="E8" s="578"/>
    </row>
    <row r="9" spans="1:5" ht="32.25" thickBot="1" x14ac:dyDescent="0.3">
      <c r="A9" s="150" t="s">
        <v>1210</v>
      </c>
      <c r="B9" s="579">
        <v>100</v>
      </c>
      <c r="C9" s="151" t="s">
        <v>1211</v>
      </c>
      <c r="D9" s="576" t="s">
        <v>1212</v>
      </c>
      <c r="E9" s="577" t="s">
        <v>1281</v>
      </c>
    </row>
    <row r="10" spans="1:5" ht="16.5" thickBot="1" x14ac:dyDescent="0.3"/>
    <row r="11" spans="1:5" ht="29.25" customHeight="1" thickBot="1" x14ac:dyDescent="0.3">
      <c r="A11" s="172" t="s">
        <v>181</v>
      </c>
      <c r="B11" s="89"/>
      <c r="C11" s="89"/>
      <c r="D11" s="89"/>
      <c r="E11" s="90"/>
    </row>
    <row r="12" spans="1:5" ht="30" customHeight="1" x14ac:dyDescent="0.25">
      <c r="A12" s="417" t="s">
        <v>690</v>
      </c>
      <c r="B12" s="91">
        <v>1000000</v>
      </c>
      <c r="C12" s="92" t="s">
        <v>1082</v>
      </c>
      <c r="D12" s="92" t="s">
        <v>1040</v>
      </c>
      <c r="E12" s="93"/>
    </row>
    <row r="13" spans="1:5" ht="16.5" thickBot="1" x14ac:dyDescent="0.3">
      <c r="A13" s="313" t="s">
        <v>498</v>
      </c>
      <c r="B13" s="96">
        <v>90</v>
      </c>
      <c r="C13" s="92" t="s">
        <v>47</v>
      </c>
      <c r="D13" s="92" t="s">
        <v>497</v>
      </c>
      <c r="E13" s="52"/>
    </row>
    <row r="14" spans="1:5" ht="17.25" customHeight="1" thickBot="1" x14ac:dyDescent="0.3">
      <c r="A14" s="172" t="s">
        <v>1041</v>
      </c>
      <c r="B14" s="440"/>
      <c r="C14" s="119"/>
      <c r="D14" s="119"/>
      <c r="E14" s="120"/>
    </row>
    <row r="15" spans="1:5" ht="33.75" customHeight="1" x14ac:dyDescent="0.25">
      <c r="A15" s="431" t="s">
        <v>1042</v>
      </c>
      <c r="B15" s="432"/>
      <c r="C15" s="432"/>
      <c r="D15" s="432"/>
      <c r="E15" s="433"/>
    </row>
    <row r="16" spans="1:5" ht="33.75" customHeight="1" x14ac:dyDescent="0.25">
      <c r="A16" s="456" t="s">
        <v>377</v>
      </c>
      <c r="B16" s="424">
        <v>1.5</v>
      </c>
      <c r="C16" s="422" t="s">
        <v>1069</v>
      </c>
      <c r="D16" s="425"/>
      <c r="E16" s="435" t="s">
        <v>1071</v>
      </c>
    </row>
    <row r="17" spans="1:5" ht="33.75" customHeight="1" x14ac:dyDescent="0.25">
      <c r="A17" s="765" t="s">
        <v>1070</v>
      </c>
      <c r="B17" s="529">
        <v>13.6</v>
      </c>
      <c r="C17" s="422" t="s">
        <v>1069</v>
      </c>
      <c r="D17" s="425" t="s">
        <v>1246</v>
      </c>
      <c r="E17" s="435" t="s">
        <v>1245</v>
      </c>
    </row>
    <row r="18" spans="1:5" ht="33.75" customHeight="1" x14ac:dyDescent="0.25">
      <c r="A18" s="766"/>
      <c r="B18" s="373">
        <f>B17/33.3</f>
        <v>0.40840840840840842</v>
      </c>
      <c r="C18" s="422" t="s">
        <v>1128</v>
      </c>
      <c r="D18" s="425" t="s">
        <v>1247</v>
      </c>
      <c r="E18" s="435"/>
    </row>
    <row r="19" spans="1:5" ht="33.75" customHeight="1" x14ac:dyDescent="0.25">
      <c r="A19" s="528" t="s">
        <v>1251</v>
      </c>
      <c r="B19" s="529">
        <v>1</v>
      </c>
      <c r="C19" s="422" t="s">
        <v>1128</v>
      </c>
      <c r="D19" s="425" t="s">
        <v>1253</v>
      </c>
      <c r="E19" s="394" t="s">
        <v>1045</v>
      </c>
    </row>
    <row r="20" spans="1:5" ht="33.75" customHeight="1" x14ac:dyDescent="0.25">
      <c r="A20" s="528" t="s">
        <v>1078</v>
      </c>
      <c r="B20" s="430">
        <v>98</v>
      </c>
      <c r="C20" s="422" t="s">
        <v>47</v>
      </c>
      <c r="D20" s="425"/>
      <c r="E20" s="435" t="s">
        <v>1068</v>
      </c>
    </row>
    <row r="21" spans="1:5" ht="33.75" customHeight="1" x14ac:dyDescent="0.25">
      <c r="A21" s="528" t="s">
        <v>1079</v>
      </c>
      <c r="B21" s="430">
        <v>99</v>
      </c>
      <c r="C21" s="422" t="s">
        <v>47</v>
      </c>
      <c r="D21" s="425"/>
      <c r="E21" s="435" t="s">
        <v>1068</v>
      </c>
    </row>
    <row r="22" spans="1:5" ht="18.75" customHeight="1" x14ac:dyDescent="0.25">
      <c r="A22" s="528" t="s">
        <v>1129</v>
      </c>
      <c r="B22" s="364">
        <f>(B19/((B20/100)*(B21/100)))+B18</f>
        <v>1.4391237248380104</v>
      </c>
      <c r="C22" s="422" t="s">
        <v>1128</v>
      </c>
      <c r="D22" s="425" t="s">
        <v>1248</v>
      </c>
      <c r="E22" s="435"/>
    </row>
    <row r="23" spans="1:5" ht="33" customHeight="1" x14ac:dyDescent="0.25">
      <c r="A23" s="744" t="s">
        <v>1243</v>
      </c>
      <c r="B23" s="744"/>
      <c r="C23" s="744"/>
      <c r="D23" s="744"/>
      <c r="E23" s="744"/>
    </row>
    <row r="24" spans="1:5" ht="28.5" customHeight="1" x14ac:dyDescent="0.25">
      <c r="A24" s="463" t="s">
        <v>1047</v>
      </c>
      <c r="B24" s="464">
        <f>B12</f>
        <v>1000000</v>
      </c>
      <c r="C24" s="112" t="s">
        <v>1082</v>
      </c>
      <c r="D24" s="530" t="s">
        <v>1060</v>
      </c>
      <c r="E24" s="394"/>
    </row>
    <row r="25" spans="1:5" ht="28.5" customHeight="1" x14ac:dyDescent="0.25">
      <c r="A25" s="740" t="s">
        <v>1243</v>
      </c>
      <c r="B25" s="426">
        <v>2950</v>
      </c>
      <c r="C25" s="422" t="s">
        <v>1075</v>
      </c>
      <c r="D25" s="425" t="s">
        <v>700</v>
      </c>
      <c r="E25" s="435" t="s">
        <v>1130</v>
      </c>
    </row>
    <row r="26" spans="1:5" ht="33" customHeight="1" x14ac:dyDescent="0.25">
      <c r="A26" s="740"/>
      <c r="B26" s="125">
        <f>B25*B24*(B9/100)</f>
        <v>2950000000</v>
      </c>
      <c r="C26" s="422" t="s">
        <v>165</v>
      </c>
      <c r="D26" s="425"/>
      <c r="E26" s="50"/>
    </row>
    <row r="27" spans="1:5" ht="45" x14ac:dyDescent="0.25">
      <c r="A27" s="422" t="s">
        <v>1049</v>
      </c>
      <c r="B27" s="446">
        <v>4</v>
      </c>
      <c r="C27" s="422" t="s">
        <v>701</v>
      </c>
      <c r="D27" s="425" t="s">
        <v>162</v>
      </c>
      <c r="E27" s="435" t="s">
        <v>1076</v>
      </c>
    </row>
    <row r="28" spans="1:5" ht="30" customHeight="1" x14ac:dyDescent="0.25">
      <c r="A28" s="103" t="s">
        <v>841</v>
      </c>
      <c r="B28" s="103"/>
      <c r="C28" s="103"/>
      <c r="D28" s="103"/>
      <c r="E28" s="117"/>
    </row>
    <row r="29" spans="1:5" x14ac:dyDescent="0.25">
      <c r="A29" s="92" t="s">
        <v>841</v>
      </c>
      <c r="B29" s="109">
        <f>B12*(B13/100)*(B19/B22)</f>
        <v>625380.55934093159</v>
      </c>
      <c r="C29" s="112" t="s">
        <v>1082</v>
      </c>
      <c r="D29" s="92" t="s">
        <v>1252</v>
      </c>
      <c r="E29" s="92"/>
    </row>
    <row r="30" spans="1:5" x14ac:dyDescent="0.25">
      <c r="A30" s="118" t="s">
        <v>251</v>
      </c>
      <c r="B30" s="119"/>
      <c r="C30" s="119"/>
      <c r="D30" s="119"/>
      <c r="E30" s="120"/>
    </row>
    <row r="31" spans="1:5" ht="30.75" customHeight="1" x14ac:dyDescent="0.25">
      <c r="A31" s="103" t="s">
        <v>1056</v>
      </c>
      <c r="B31" s="103"/>
      <c r="C31" s="103"/>
      <c r="D31" s="103"/>
      <c r="E31" s="117"/>
    </row>
    <row r="32" spans="1:5" ht="47.25" x14ac:dyDescent="0.25">
      <c r="A32" s="121" t="s">
        <v>377</v>
      </c>
      <c r="B32" s="27">
        <v>0.3</v>
      </c>
      <c r="C32" s="121" t="s">
        <v>262</v>
      </c>
      <c r="D32" s="121" t="s">
        <v>1057</v>
      </c>
      <c r="E32" s="486" t="s">
        <v>1284</v>
      </c>
    </row>
    <row r="33" spans="1:5" ht="29.25" customHeight="1" x14ac:dyDescent="0.25">
      <c r="A33" s="103" t="s">
        <v>94</v>
      </c>
      <c r="B33" s="103"/>
      <c r="C33" s="103"/>
      <c r="D33" s="103"/>
      <c r="E33" s="117"/>
    </row>
    <row r="34" spans="1:5" x14ac:dyDescent="0.25">
      <c r="A34" s="92" t="s">
        <v>1083</v>
      </c>
      <c r="B34" s="109">
        <f>B26*(B8/100)</f>
        <v>237729890.35777804</v>
      </c>
      <c r="C34" s="92" t="s">
        <v>261</v>
      </c>
      <c r="D34" s="92"/>
      <c r="E34" s="92"/>
    </row>
    <row r="35" spans="1:5" ht="31.5" customHeight="1" x14ac:dyDescent="0.25">
      <c r="A35" s="103" t="s">
        <v>843</v>
      </c>
      <c r="B35" s="103"/>
      <c r="C35" s="103"/>
      <c r="D35" s="103"/>
      <c r="E35" s="117"/>
    </row>
    <row r="36" spans="1:5" x14ac:dyDescent="0.25">
      <c r="A36" s="121" t="s">
        <v>1084</v>
      </c>
      <c r="B36" s="125">
        <f>(B27/100)*B26</f>
        <v>118000000</v>
      </c>
      <c r="C36" s="121" t="s">
        <v>261</v>
      </c>
      <c r="D36" s="121"/>
      <c r="E36" s="122"/>
    </row>
    <row r="37" spans="1:5" ht="33.75" customHeight="1" x14ac:dyDescent="0.25">
      <c r="A37" s="103" t="s">
        <v>844</v>
      </c>
      <c r="B37" s="103"/>
      <c r="C37" s="103"/>
      <c r="D37" s="103"/>
      <c r="E37" s="117"/>
    </row>
    <row r="38" spans="1:5" x14ac:dyDescent="0.25">
      <c r="A38" s="487" t="s">
        <v>377</v>
      </c>
      <c r="B38" s="128">
        <f>B32*B16*B29*1000</f>
        <v>281421251.70341921</v>
      </c>
      <c r="C38" s="92" t="s">
        <v>261</v>
      </c>
      <c r="D38" s="92" t="s">
        <v>1073</v>
      </c>
      <c r="E38" s="92"/>
    </row>
    <row r="39" spans="1:5" ht="36" customHeight="1" x14ac:dyDescent="0.25">
      <c r="A39" s="103" t="s">
        <v>258</v>
      </c>
      <c r="B39" s="103"/>
      <c r="C39" s="103"/>
      <c r="D39" s="103"/>
      <c r="E39" s="117"/>
    </row>
    <row r="40" spans="1:5" ht="34.5" customHeight="1" x14ac:dyDescent="0.25">
      <c r="A40" s="123" t="s">
        <v>1062</v>
      </c>
      <c r="B40" s="197">
        <f>B34/$B$29</f>
        <v>380.13636146335267</v>
      </c>
      <c r="C40" s="92" t="s">
        <v>1085</v>
      </c>
      <c r="D40" s="113"/>
      <c r="E40" s="455"/>
    </row>
    <row r="41" spans="1:5" ht="34.5" customHeight="1" x14ac:dyDescent="0.25">
      <c r="A41" s="123" t="s">
        <v>1063</v>
      </c>
      <c r="B41" s="197">
        <f>B36/B29</f>
        <v>188.68511058987249</v>
      </c>
      <c r="C41" s="92" t="s">
        <v>1085</v>
      </c>
      <c r="D41" s="113"/>
      <c r="E41" s="455"/>
    </row>
    <row r="42" spans="1:5" ht="38.25" customHeight="1" x14ac:dyDescent="0.25">
      <c r="A42" s="123" t="s">
        <v>1064</v>
      </c>
      <c r="B42" s="197">
        <f>(B38)/B29</f>
        <v>450</v>
      </c>
      <c r="C42" s="92" t="s">
        <v>1085</v>
      </c>
      <c r="D42" s="113"/>
      <c r="E42" s="455"/>
    </row>
    <row r="43" spans="1:5" ht="34.5" customHeight="1" x14ac:dyDescent="0.25">
      <c r="A43" s="123" t="s">
        <v>1231</v>
      </c>
      <c r="B43" s="130">
        <f>SUM(B40:B42)</f>
        <v>1018.8214720532252</v>
      </c>
      <c r="C43" s="92" t="s">
        <v>1085</v>
      </c>
      <c r="D43" s="92"/>
      <c r="E43" s="92"/>
    </row>
    <row r="44" spans="1:5" ht="33.75" customHeight="1" x14ac:dyDescent="0.25">
      <c r="A44" s="123" t="s">
        <v>1231</v>
      </c>
      <c r="B44" s="130">
        <f>B43/B5</f>
        <v>1455.4592457903218</v>
      </c>
      <c r="C44" s="92" t="s">
        <v>1086</v>
      </c>
      <c r="D44" s="92"/>
      <c r="E44" s="92"/>
    </row>
    <row r="45" spans="1:5" ht="31.5" x14ac:dyDescent="0.25">
      <c r="A45" s="123" t="s">
        <v>1241</v>
      </c>
      <c r="B45" s="72">
        <f>B44/120</f>
        <v>12.128827048252681</v>
      </c>
      <c r="C45" s="112" t="s">
        <v>1151</v>
      </c>
      <c r="D45" s="52" t="s">
        <v>1244</v>
      </c>
      <c r="E45" s="52"/>
    </row>
    <row r="46" spans="1:5" x14ac:dyDescent="0.25">
      <c r="B46" s="326"/>
    </row>
    <row r="49" spans="2:2" x14ac:dyDescent="0.25">
      <c r="B49" s="326"/>
    </row>
  </sheetData>
  <mergeCells count="3">
    <mergeCell ref="A23:E23"/>
    <mergeCell ref="A25:A26"/>
    <mergeCell ref="A17:A1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6944B-43B8-47BE-8B51-1C101C955B36}">
  <sheetPr>
    <tabColor rgb="FFFFC000"/>
  </sheetPr>
  <dimension ref="A1:E44"/>
  <sheetViews>
    <sheetView zoomScale="70" zoomScaleNormal="70" workbookViewId="0">
      <selection activeCell="B21" sqref="B21"/>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53" t="s">
        <v>152</v>
      </c>
      <c r="B3" s="54" t="s">
        <v>41</v>
      </c>
      <c r="C3" s="54" t="s">
        <v>40</v>
      </c>
      <c r="D3" s="55" t="s">
        <v>42</v>
      </c>
      <c r="E3" s="56" t="s">
        <v>43</v>
      </c>
    </row>
    <row r="4" spans="1:5" x14ac:dyDescent="0.25">
      <c r="A4" s="209" t="s">
        <v>44</v>
      </c>
      <c r="B4" s="210"/>
      <c r="C4" s="210"/>
      <c r="D4" s="210"/>
      <c r="E4" s="211"/>
    </row>
    <row r="5" spans="1:5" ht="33.75" customHeight="1" x14ac:dyDescent="0.25">
      <c r="A5" s="144" t="s">
        <v>644</v>
      </c>
      <c r="B5" s="87">
        <f>0.7</f>
        <v>0.7</v>
      </c>
      <c r="C5" s="636" t="s">
        <v>45</v>
      </c>
      <c r="D5" s="636"/>
      <c r="E5" s="237">
        <f>0.7</f>
        <v>0.7</v>
      </c>
    </row>
    <row r="6" spans="1:5" ht="30.75" customHeight="1" x14ac:dyDescent="0.25">
      <c r="A6" s="144" t="s">
        <v>46</v>
      </c>
      <c r="B6" s="532">
        <v>7</v>
      </c>
      <c r="C6" s="146" t="s">
        <v>47</v>
      </c>
      <c r="D6" s="62" t="s">
        <v>48</v>
      </c>
      <c r="E6" s="309">
        <v>7</v>
      </c>
    </row>
    <row r="7" spans="1:5" ht="30" customHeight="1" x14ac:dyDescent="0.25">
      <c r="A7" s="144" t="s">
        <v>49</v>
      </c>
      <c r="B7" s="87">
        <v>30</v>
      </c>
      <c r="C7" s="62" t="s">
        <v>50</v>
      </c>
      <c r="D7" s="62"/>
      <c r="E7" s="429" t="s">
        <v>1068</v>
      </c>
    </row>
    <row r="8" spans="1:5" ht="33" customHeight="1" x14ac:dyDescent="0.25">
      <c r="A8" s="144" t="s">
        <v>52</v>
      </c>
      <c r="B8" s="575">
        <f>((B6/100)*(1+B6/100)^B7)/(((1+B6/100)^B7)-1)*100</f>
        <v>8.0586403511111193</v>
      </c>
      <c r="C8" s="62" t="s">
        <v>47</v>
      </c>
      <c r="D8" s="62" t="s">
        <v>53</v>
      </c>
      <c r="E8" s="578"/>
    </row>
    <row r="9" spans="1:5" ht="33" customHeight="1" thickBot="1" x14ac:dyDescent="0.3">
      <c r="A9" s="150" t="s">
        <v>1210</v>
      </c>
      <c r="B9" s="579">
        <v>100</v>
      </c>
      <c r="C9" s="151" t="s">
        <v>1211</v>
      </c>
      <c r="D9" s="576" t="s">
        <v>1212</v>
      </c>
      <c r="E9" s="577" t="s">
        <v>1281</v>
      </c>
    </row>
    <row r="10" spans="1:5" ht="16.5" thickBot="1" x14ac:dyDescent="0.3"/>
    <row r="11" spans="1:5" ht="16.5" thickBot="1" x14ac:dyDescent="0.3">
      <c r="A11" s="172" t="s">
        <v>181</v>
      </c>
      <c r="B11" s="89"/>
      <c r="C11" s="89"/>
      <c r="D11" s="89"/>
      <c r="E11" s="90"/>
    </row>
    <row r="12" spans="1:5" ht="29.25" customHeight="1" x14ac:dyDescent="0.25">
      <c r="A12" s="417" t="s">
        <v>690</v>
      </c>
      <c r="B12" s="91">
        <v>1000000</v>
      </c>
      <c r="C12" s="92" t="s">
        <v>605</v>
      </c>
      <c r="D12" s="92" t="s">
        <v>1040</v>
      </c>
      <c r="E12" s="93"/>
    </row>
    <row r="13" spans="1:5" ht="30" customHeight="1" thickBot="1" x14ac:dyDescent="0.3">
      <c r="A13" s="313" t="s">
        <v>498</v>
      </c>
      <c r="B13" s="96">
        <v>90</v>
      </c>
      <c r="C13" s="92" t="s">
        <v>47</v>
      </c>
      <c r="D13" s="92" t="s">
        <v>497</v>
      </c>
      <c r="E13" s="52"/>
    </row>
    <row r="14" spans="1:5" ht="16.5" thickBot="1" x14ac:dyDescent="0.3">
      <c r="A14" s="172" t="s">
        <v>1041</v>
      </c>
      <c r="B14" s="440"/>
      <c r="C14" s="119"/>
      <c r="D14" s="119"/>
      <c r="E14" s="120"/>
    </row>
    <row r="15" spans="1:5" ht="17.25" customHeight="1" x14ac:dyDescent="0.25">
      <c r="A15" s="431" t="s">
        <v>1042</v>
      </c>
      <c r="B15" s="432"/>
      <c r="C15" s="432"/>
      <c r="D15" s="432"/>
      <c r="E15" s="433"/>
    </row>
    <row r="16" spans="1:5" ht="34.5" customHeight="1" x14ac:dyDescent="0.25">
      <c r="A16" s="541" t="s">
        <v>1152</v>
      </c>
      <c r="B16" s="114">
        <v>120</v>
      </c>
      <c r="C16" s="422" t="s">
        <v>1153</v>
      </c>
      <c r="D16" s="524"/>
      <c r="E16" s="435" t="s">
        <v>1101</v>
      </c>
    </row>
    <row r="17" spans="1:5" ht="34.5" customHeight="1" x14ac:dyDescent="0.25">
      <c r="A17" s="537" t="s">
        <v>377</v>
      </c>
      <c r="B17" s="475">
        <v>6</v>
      </c>
      <c r="C17" s="422" t="s">
        <v>1069</v>
      </c>
      <c r="D17" s="524"/>
      <c r="E17" s="435" t="s">
        <v>1131</v>
      </c>
    </row>
    <row r="18" spans="1:5" ht="14.25" customHeight="1" x14ac:dyDescent="0.25">
      <c r="A18" s="744" t="s">
        <v>1121</v>
      </c>
      <c r="B18" s="744"/>
      <c r="C18" s="744"/>
      <c r="D18" s="744"/>
      <c r="E18" s="744"/>
    </row>
    <row r="19" spans="1:5" ht="33" customHeight="1" x14ac:dyDescent="0.25">
      <c r="A19" s="538" t="s">
        <v>1047</v>
      </c>
      <c r="B19" s="464">
        <f>B12</f>
        <v>1000000</v>
      </c>
      <c r="C19" s="112" t="s">
        <v>605</v>
      </c>
      <c r="D19" s="530" t="s">
        <v>1060</v>
      </c>
      <c r="E19" s="394"/>
    </row>
    <row r="20" spans="1:5" ht="28.5" customHeight="1" x14ac:dyDescent="0.25">
      <c r="A20" s="745" t="s">
        <v>1132</v>
      </c>
      <c r="B20" s="426">
        <v>5900</v>
      </c>
      <c r="C20" s="422" t="s">
        <v>1125</v>
      </c>
      <c r="D20" s="425" t="s">
        <v>700</v>
      </c>
      <c r="E20" s="435" t="s">
        <v>1133</v>
      </c>
    </row>
    <row r="21" spans="1:5" ht="28.5" customHeight="1" x14ac:dyDescent="0.25">
      <c r="A21" s="747"/>
      <c r="B21" s="125">
        <f>(B20*B19)*(B9/100)</f>
        <v>5900000000</v>
      </c>
      <c r="C21" s="422" t="s">
        <v>165</v>
      </c>
      <c r="D21" s="425"/>
      <c r="E21" s="435"/>
    </row>
    <row r="22" spans="1:5" ht="33" customHeight="1" x14ac:dyDescent="0.25">
      <c r="A22" s="422" t="s">
        <v>1049</v>
      </c>
      <c r="B22" s="446">
        <v>3</v>
      </c>
      <c r="C22" s="422" t="s">
        <v>701</v>
      </c>
      <c r="D22" s="425" t="s">
        <v>162</v>
      </c>
      <c r="E22" s="435" t="s">
        <v>1134</v>
      </c>
    </row>
    <row r="23" spans="1:5" x14ac:dyDescent="0.25">
      <c r="A23" s="103" t="s">
        <v>841</v>
      </c>
      <c r="B23" s="103"/>
      <c r="C23" s="103"/>
      <c r="D23" s="103"/>
      <c r="E23" s="117"/>
    </row>
    <row r="24" spans="1:5" ht="30" customHeight="1" x14ac:dyDescent="0.25">
      <c r="A24" s="92" t="s">
        <v>841</v>
      </c>
      <c r="B24" s="109">
        <f>B12*(B13/100)</f>
        <v>900000</v>
      </c>
      <c r="C24" s="112" t="s">
        <v>605</v>
      </c>
      <c r="D24" s="92" t="s">
        <v>660</v>
      </c>
      <c r="E24" s="92"/>
    </row>
    <row r="25" spans="1:5" x14ac:dyDescent="0.25">
      <c r="A25" s="118" t="s">
        <v>251</v>
      </c>
      <c r="B25" s="119"/>
      <c r="C25" s="119"/>
      <c r="D25" s="119"/>
      <c r="E25" s="120"/>
    </row>
    <row r="26" spans="1:5" x14ac:dyDescent="0.25">
      <c r="A26" s="103" t="s">
        <v>1056</v>
      </c>
      <c r="B26" s="103" t="s">
        <v>1228</v>
      </c>
      <c r="C26" s="103"/>
      <c r="D26" s="103"/>
      <c r="E26" s="117"/>
    </row>
    <row r="27" spans="1:5" ht="30.75" customHeight="1" x14ac:dyDescent="0.25">
      <c r="A27" s="121" t="s">
        <v>377</v>
      </c>
      <c r="B27" s="368">
        <v>0.15356489670000001</v>
      </c>
      <c r="C27" s="121" t="s">
        <v>262</v>
      </c>
      <c r="D27" s="121" t="s">
        <v>1057</v>
      </c>
      <c r="E27" s="121"/>
    </row>
    <row r="28" spans="1:5" x14ac:dyDescent="0.25">
      <c r="A28" s="103" t="s">
        <v>94</v>
      </c>
      <c r="B28" s="103"/>
      <c r="C28" s="103"/>
      <c r="D28" s="103"/>
      <c r="E28" s="117"/>
    </row>
    <row r="29" spans="1:5" ht="29.25" customHeight="1" x14ac:dyDescent="0.25">
      <c r="A29" s="92" t="s">
        <v>1135</v>
      </c>
      <c r="B29" s="109">
        <f>B21*(B8/100)</f>
        <v>475459780.71555609</v>
      </c>
      <c r="C29" s="92" t="s">
        <v>261</v>
      </c>
      <c r="D29" s="92"/>
      <c r="E29" s="92"/>
    </row>
    <row r="30" spans="1:5" x14ac:dyDescent="0.25">
      <c r="A30" s="103" t="s">
        <v>843</v>
      </c>
      <c r="B30" s="103"/>
      <c r="C30" s="103"/>
      <c r="D30" s="103"/>
      <c r="E30" s="117"/>
    </row>
    <row r="31" spans="1:5" ht="31.5" customHeight="1" x14ac:dyDescent="0.25">
      <c r="A31" s="121" t="s">
        <v>1136</v>
      </c>
      <c r="B31" s="125">
        <f>(B22/100)*B21</f>
        <v>177000000</v>
      </c>
      <c r="C31" s="121" t="s">
        <v>261</v>
      </c>
      <c r="D31" s="121"/>
      <c r="E31" s="122"/>
    </row>
    <row r="32" spans="1:5" x14ac:dyDescent="0.25">
      <c r="A32" s="103" t="s">
        <v>844</v>
      </c>
      <c r="B32" s="103"/>
      <c r="C32" s="103"/>
      <c r="D32" s="103"/>
      <c r="E32" s="117"/>
    </row>
    <row r="33" spans="1:5" ht="33.75" customHeight="1" x14ac:dyDescent="0.25">
      <c r="A33" s="487" t="s">
        <v>377</v>
      </c>
      <c r="B33" s="128">
        <f>B27*B17*1000*B24</f>
        <v>829250442.17999995</v>
      </c>
      <c r="C33" s="92" t="s">
        <v>261</v>
      </c>
      <c r="D33" s="92"/>
      <c r="E33" s="92"/>
    </row>
    <row r="34" spans="1:5" x14ac:dyDescent="0.25">
      <c r="A34" s="103" t="s">
        <v>258</v>
      </c>
      <c r="B34" s="103"/>
      <c r="C34" s="103"/>
      <c r="D34" s="103"/>
      <c r="E34" s="117"/>
    </row>
    <row r="35" spans="1:5" ht="36" customHeight="1" x14ac:dyDescent="0.25">
      <c r="A35" s="123" t="s">
        <v>1062</v>
      </c>
      <c r="B35" s="197">
        <f>B29/B24</f>
        <v>528.28864523950676</v>
      </c>
      <c r="C35" s="92" t="s">
        <v>625</v>
      </c>
      <c r="D35" s="113"/>
      <c r="E35" s="455"/>
    </row>
    <row r="36" spans="1:5" ht="34.5" customHeight="1" x14ac:dyDescent="0.25">
      <c r="A36" s="123" t="s">
        <v>1063</v>
      </c>
      <c r="B36" s="197">
        <f>B31/B24</f>
        <v>196.66666666666666</v>
      </c>
      <c r="C36" s="92" t="s">
        <v>625</v>
      </c>
      <c r="D36" s="113"/>
      <c r="E36" s="455"/>
    </row>
    <row r="37" spans="1:5" ht="34.5" customHeight="1" x14ac:dyDescent="0.25">
      <c r="A37" s="123" t="s">
        <v>1064</v>
      </c>
      <c r="B37" s="197">
        <f>(B33)/B24</f>
        <v>921.38938019999989</v>
      </c>
      <c r="C37" s="92" t="s">
        <v>625</v>
      </c>
      <c r="D37" s="113"/>
      <c r="E37" s="455"/>
    </row>
    <row r="38" spans="1:5" ht="30" customHeight="1" x14ac:dyDescent="0.25">
      <c r="A38" s="123" t="s">
        <v>1139</v>
      </c>
      <c r="B38" s="130">
        <f>SUM(B35:B37)</f>
        <v>1646.3446921061732</v>
      </c>
      <c r="C38" s="92" t="s">
        <v>625</v>
      </c>
      <c r="D38" s="92"/>
      <c r="E38" s="92"/>
    </row>
    <row r="39" spans="1:5" ht="29.25" customHeight="1" x14ac:dyDescent="0.25">
      <c r="A39" s="123" t="s">
        <v>1139</v>
      </c>
      <c r="B39" s="130">
        <f>B38/B5</f>
        <v>2351.9209887231045</v>
      </c>
      <c r="C39" s="92" t="s">
        <v>626</v>
      </c>
      <c r="D39" s="92"/>
      <c r="E39" s="92"/>
    </row>
    <row r="40" spans="1:5" ht="30.75" customHeight="1" x14ac:dyDescent="0.25">
      <c r="A40" s="123" t="s">
        <v>1139</v>
      </c>
      <c r="B40" s="130">
        <f>B38/$B$16</f>
        <v>13.719539100884777</v>
      </c>
      <c r="C40" s="92" t="s">
        <v>1150</v>
      </c>
      <c r="D40" s="92"/>
      <c r="E40" s="92"/>
    </row>
    <row r="41" spans="1:5" ht="30.75" customHeight="1" x14ac:dyDescent="0.25">
      <c r="A41" s="123" t="s">
        <v>1139</v>
      </c>
      <c r="B41" s="130">
        <f>B39/$B$16</f>
        <v>19.599341572692538</v>
      </c>
      <c r="C41" s="92" t="s">
        <v>1151</v>
      </c>
      <c r="D41" s="92"/>
      <c r="E41" s="92"/>
    </row>
    <row r="44" spans="1:5" x14ac:dyDescent="0.25">
      <c r="B44" s="326"/>
    </row>
  </sheetData>
  <mergeCells count="2">
    <mergeCell ref="A18:E18"/>
    <mergeCell ref="A20:A2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EBF7-AF03-4B1B-8587-1B38603765C5}">
  <sheetPr>
    <tabColor rgb="FFFFC000"/>
  </sheetPr>
  <dimension ref="A1:E44"/>
  <sheetViews>
    <sheetView zoomScale="70" zoomScaleNormal="70" workbookViewId="0">
      <selection activeCell="D49" sqref="D49"/>
    </sheetView>
  </sheetViews>
  <sheetFormatPr defaultRowHeight="15.75" x14ac:dyDescent="0.25"/>
  <cols>
    <col min="1" max="1" width="51.28515625" style="45" customWidth="1"/>
    <col min="2" max="2" width="39.7109375" style="45" customWidth="1"/>
    <col min="3" max="3" width="26.28515625" style="45" customWidth="1"/>
    <col min="4" max="4" width="132.7109375" style="45" customWidth="1"/>
    <col min="5" max="5" width="70.28515625" style="45" customWidth="1"/>
    <col min="6" max="6" width="9.140625" style="45"/>
    <col min="7" max="8" width="37.5703125" style="45" customWidth="1"/>
    <col min="9" max="9" width="38.28515625" style="45" customWidth="1"/>
    <col min="10" max="16384" width="9.140625" style="45"/>
  </cols>
  <sheetData>
    <row r="1" spans="1:5" ht="17.25" thickTop="1" thickBot="1" x14ac:dyDescent="0.3">
      <c r="A1" s="74" t="s">
        <v>156</v>
      </c>
      <c r="B1" s="75"/>
      <c r="C1" s="75"/>
      <c r="D1" s="75"/>
      <c r="E1" s="75"/>
    </row>
    <row r="2" spans="1:5" ht="17.25" thickTop="1" thickBot="1" x14ac:dyDescent="0.3">
      <c r="A2" s="46"/>
      <c r="B2" s="46"/>
      <c r="C2" s="46"/>
      <c r="D2" s="46"/>
      <c r="E2" s="46"/>
    </row>
    <row r="3" spans="1:5" x14ac:dyDescent="0.25">
      <c r="A3" s="640" t="s">
        <v>152</v>
      </c>
      <c r="B3" s="641" t="s">
        <v>41</v>
      </c>
      <c r="C3" s="641" t="s">
        <v>40</v>
      </c>
      <c r="D3" s="642" t="s">
        <v>42</v>
      </c>
      <c r="E3" s="643" t="s">
        <v>43</v>
      </c>
    </row>
    <row r="4" spans="1:5" x14ac:dyDescent="0.25">
      <c r="A4" s="644" t="s">
        <v>44</v>
      </c>
      <c r="B4" s="639"/>
      <c r="C4" s="639"/>
      <c r="D4" s="639"/>
      <c r="E4" s="645"/>
    </row>
    <row r="5" spans="1:5" ht="33.75" customHeight="1" x14ac:dyDescent="0.25">
      <c r="A5" s="144" t="s">
        <v>644</v>
      </c>
      <c r="B5" s="87">
        <f>0.7</f>
        <v>0.7</v>
      </c>
      <c r="C5" s="636" t="s">
        <v>45</v>
      </c>
      <c r="D5" s="636"/>
      <c r="E5" s="237">
        <f>0.7</f>
        <v>0.7</v>
      </c>
    </row>
    <row r="6" spans="1:5" ht="30.75" customHeight="1" x14ac:dyDescent="0.25">
      <c r="A6" s="144" t="s">
        <v>46</v>
      </c>
      <c r="B6" s="532">
        <v>7</v>
      </c>
      <c r="C6" s="146" t="s">
        <v>47</v>
      </c>
      <c r="D6" s="62" t="s">
        <v>48</v>
      </c>
      <c r="E6" s="309">
        <v>7</v>
      </c>
    </row>
    <row r="7" spans="1:5" ht="30" customHeight="1" x14ac:dyDescent="0.25">
      <c r="A7" s="144" t="s">
        <v>49</v>
      </c>
      <c r="B7" s="87">
        <v>30</v>
      </c>
      <c r="C7" s="62" t="s">
        <v>50</v>
      </c>
      <c r="D7" s="62"/>
      <c r="E7" s="429" t="s">
        <v>1068</v>
      </c>
    </row>
    <row r="8" spans="1:5" ht="33" customHeight="1" x14ac:dyDescent="0.25">
      <c r="A8" s="144" t="s">
        <v>52</v>
      </c>
      <c r="B8" s="575">
        <f>(($B$6/100)*(1+$B$6/100)^$B$7)/(((1+$B$6/100)^$B$7)-1)*100</f>
        <v>8.0586403511111193</v>
      </c>
      <c r="C8" s="62" t="s">
        <v>47</v>
      </c>
      <c r="D8" s="62" t="s">
        <v>53</v>
      </c>
      <c r="E8" s="578"/>
    </row>
    <row r="9" spans="1:5" ht="33" customHeight="1" thickBot="1" x14ac:dyDescent="0.3">
      <c r="A9" s="150" t="s">
        <v>1210</v>
      </c>
      <c r="B9" s="579">
        <v>100</v>
      </c>
      <c r="C9" s="151" t="s">
        <v>1211</v>
      </c>
      <c r="D9" s="576" t="s">
        <v>1212</v>
      </c>
      <c r="E9" s="577" t="s">
        <v>1281</v>
      </c>
    </row>
    <row r="10" spans="1:5" ht="16.5" thickBot="1" x14ac:dyDescent="0.3"/>
    <row r="11" spans="1:5" ht="16.5" thickBot="1" x14ac:dyDescent="0.3">
      <c r="A11" s="172" t="s">
        <v>181</v>
      </c>
      <c r="B11" s="89"/>
      <c r="C11" s="89"/>
      <c r="D11" s="89"/>
      <c r="E11" s="90"/>
    </row>
    <row r="12" spans="1:5" ht="29.25" customHeight="1" x14ac:dyDescent="0.25">
      <c r="A12" s="417" t="s">
        <v>690</v>
      </c>
      <c r="B12" s="91">
        <v>1000000</v>
      </c>
      <c r="C12" s="92" t="s">
        <v>605</v>
      </c>
      <c r="D12" s="92" t="s">
        <v>1040</v>
      </c>
      <c r="E12" s="93"/>
    </row>
    <row r="13" spans="1:5" ht="30" customHeight="1" thickBot="1" x14ac:dyDescent="0.3">
      <c r="A13" s="313" t="s">
        <v>498</v>
      </c>
      <c r="B13" s="96">
        <v>90</v>
      </c>
      <c r="C13" s="92" t="s">
        <v>47</v>
      </c>
      <c r="D13" s="92" t="s">
        <v>497</v>
      </c>
      <c r="E13" s="52"/>
    </row>
    <row r="14" spans="1:5" ht="16.5" thickBot="1" x14ac:dyDescent="0.3">
      <c r="A14" s="172" t="s">
        <v>1041</v>
      </c>
      <c r="B14" s="440"/>
      <c r="C14" s="119"/>
      <c r="D14" s="119"/>
      <c r="E14" s="120"/>
    </row>
    <row r="15" spans="1:5" ht="17.25" customHeight="1" x14ac:dyDescent="0.25">
      <c r="A15" s="431" t="s">
        <v>1042</v>
      </c>
      <c r="B15" s="432"/>
      <c r="C15" s="432"/>
      <c r="D15" s="432"/>
      <c r="E15" s="433"/>
    </row>
    <row r="16" spans="1:5" ht="34.5" customHeight="1" x14ac:dyDescent="0.25">
      <c r="A16" s="541" t="s">
        <v>1154</v>
      </c>
      <c r="B16" s="114">
        <v>120</v>
      </c>
      <c r="C16" s="422" t="s">
        <v>1153</v>
      </c>
      <c r="D16" s="524"/>
      <c r="E16" s="435" t="s">
        <v>1101</v>
      </c>
    </row>
    <row r="17" spans="1:5" ht="34.5" customHeight="1" x14ac:dyDescent="0.25">
      <c r="A17" s="537" t="s">
        <v>377</v>
      </c>
      <c r="B17" s="534">
        <v>0.5</v>
      </c>
      <c r="C17" s="422" t="s">
        <v>1069</v>
      </c>
      <c r="D17" s="524"/>
      <c r="E17" s="435" t="s">
        <v>1156</v>
      </c>
    </row>
    <row r="18" spans="1:5" ht="17.25" customHeight="1" x14ac:dyDescent="0.25">
      <c r="A18" s="744" t="s">
        <v>1157</v>
      </c>
      <c r="B18" s="744"/>
      <c r="C18" s="744"/>
      <c r="D18" s="744"/>
      <c r="E18" s="744"/>
    </row>
    <row r="19" spans="1:5" ht="33" customHeight="1" x14ac:dyDescent="0.25">
      <c r="A19" s="538" t="s">
        <v>1047</v>
      </c>
      <c r="B19" s="464">
        <f>B12</f>
        <v>1000000</v>
      </c>
      <c r="C19" s="112" t="s">
        <v>605</v>
      </c>
      <c r="D19" s="530" t="s">
        <v>1060</v>
      </c>
      <c r="E19" s="394"/>
    </row>
    <row r="20" spans="1:5" ht="28.5" customHeight="1" x14ac:dyDescent="0.25">
      <c r="A20" s="745" t="s">
        <v>1132</v>
      </c>
      <c r="B20" s="426">
        <v>425</v>
      </c>
      <c r="C20" s="422" t="s">
        <v>1125</v>
      </c>
      <c r="D20" s="425" t="s">
        <v>700</v>
      </c>
      <c r="E20" s="435" t="s">
        <v>1158</v>
      </c>
    </row>
    <row r="21" spans="1:5" ht="28.5" customHeight="1" x14ac:dyDescent="0.25">
      <c r="A21" s="747"/>
      <c r="B21" s="125">
        <f>B20*B19*(B9/100)</f>
        <v>425000000</v>
      </c>
      <c r="C21" s="422" t="s">
        <v>165</v>
      </c>
      <c r="D21" s="425"/>
      <c r="E21" s="435"/>
    </row>
    <row r="22" spans="1:5" ht="33" customHeight="1" x14ac:dyDescent="0.25">
      <c r="A22" s="422" t="s">
        <v>1049</v>
      </c>
      <c r="B22" s="446">
        <v>5</v>
      </c>
      <c r="C22" s="422" t="s">
        <v>701</v>
      </c>
      <c r="D22" s="425" t="s">
        <v>162</v>
      </c>
      <c r="E22" s="435" t="s">
        <v>1137</v>
      </c>
    </row>
    <row r="23" spans="1:5" x14ac:dyDescent="0.25">
      <c r="A23" s="103" t="s">
        <v>841</v>
      </c>
      <c r="B23" s="103"/>
      <c r="C23" s="103"/>
      <c r="D23" s="103"/>
      <c r="E23" s="117"/>
    </row>
    <row r="24" spans="1:5" ht="30" customHeight="1" x14ac:dyDescent="0.25">
      <c r="A24" s="92" t="s">
        <v>841</v>
      </c>
      <c r="B24" s="109">
        <f>B12*(B13/100)</f>
        <v>900000</v>
      </c>
      <c r="C24" s="112" t="s">
        <v>605</v>
      </c>
      <c r="D24" s="92" t="s">
        <v>660</v>
      </c>
      <c r="E24" s="92"/>
    </row>
    <row r="25" spans="1:5" x14ac:dyDescent="0.25">
      <c r="A25" s="118" t="s">
        <v>251</v>
      </c>
      <c r="B25" s="119"/>
      <c r="C25" s="119"/>
      <c r="D25" s="119"/>
      <c r="E25" s="120"/>
    </row>
    <row r="26" spans="1:5" x14ac:dyDescent="0.25">
      <c r="A26" s="103" t="s">
        <v>1056</v>
      </c>
      <c r="B26" s="103"/>
      <c r="C26" s="103"/>
      <c r="D26" s="103"/>
      <c r="E26" s="117"/>
    </row>
    <row r="27" spans="1:5" ht="30.75" customHeight="1" x14ac:dyDescent="0.25">
      <c r="A27" s="121" t="s">
        <v>377</v>
      </c>
      <c r="B27" s="27">
        <v>0.3</v>
      </c>
      <c r="C27" s="121" t="s">
        <v>262</v>
      </c>
      <c r="D27" s="121" t="s">
        <v>1057</v>
      </c>
      <c r="E27" s="486" t="s">
        <v>1284</v>
      </c>
    </row>
    <row r="28" spans="1:5" x14ac:dyDescent="0.25">
      <c r="A28" s="103" t="s">
        <v>94</v>
      </c>
      <c r="B28" s="103"/>
      <c r="C28" s="103"/>
      <c r="D28" s="103"/>
      <c r="E28" s="117"/>
    </row>
    <row r="29" spans="1:5" ht="29.25" customHeight="1" x14ac:dyDescent="0.25">
      <c r="A29" s="92" t="s">
        <v>1135</v>
      </c>
      <c r="B29" s="109">
        <f>B21*(B8/100)</f>
        <v>34249221.492222257</v>
      </c>
      <c r="C29" s="92" t="s">
        <v>261</v>
      </c>
      <c r="D29" s="92"/>
      <c r="E29" s="92"/>
    </row>
    <row r="30" spans="1:5" x14ac:dyDescent="0.25">
      <c r="A30" s="103" t="s">
        <v>843</v>
      </c>
      <c r="B30" s="103"/>
      <c r="C30" s="103"/>
      <c r="D30" s="103"/>
      <c r="E30" s="117"/>
    </row>
    <row r="31" spans="1:5" ht="31.5" customHeight="1" x14ac:dyDescent="0.25">
      <c r="A31" s="121" t="s">
        <v>1136</v>
      </c>
      <c r="B31" s="125">
        <f>(B22/100)*B21</f>
        <v>21250000</v>
      </c>
      <c r="C31" s="121" t="s">
        <v>261</v>
      </c>
      <c r="D31" s="121"/>
      <c r="E31" s="122"/>
    </row>
    <row r="32" spans="1:5" x14ac:dyDescent="0.25">
      <c r="A32" s="103" t="s">
        <v>844</v>
      </c>
      <c r="B32" s="103"/>
      <c r="C32" s="103"/>
      <c r="D32" s="103"/>
      <c r="E32" s="117"/>
    </row>
    <row r="33" spans="1:5" ht="33.75" customHeight="1" x14ac:dyDescent="0.25">
      <c r="A33" s="487" t="s">
        <v>377</v>
      </c>
      <c r="B33" s="128">
        <f>B27*B17*1000*B24</f>
        <v>135000000</v>
      </c>
      <c r="C33" s="92" t="s">
        <v>261</v>
      </c>
      <c r="D33" s="92"/>
      <c r="E33" s="92"/>
    </row>
    <row r="34" spans="1:5" x14ac:dyDescent="0.25">
      <c r="A34" s="103" t="s">
        <v>258</v>
      </c>
      <c r="B34" s="103"/>
      <c r="C34" s="103"/>
      <c r="D34" s="103"/>
      <c r="E34" s="117"/>
    </row>
    <row r="35" spans="1:5" ht="36" customHeight="1" x14ac:dyDescent="0.25">
      <c r="A35" s="123" t="s">
        <v>1062</v>
      </c>
      <c r="B35" s="197">
        <f>B29/$B$24</f>
        <v>38.054690546913619</v>
      </c>
      <c r="C35" s="92" t="s">
        <v>625</v>
      </c>
      <c r="D35" s="113"/>
      <c r="E35" s="455"/>
    </row>
    <row r="36" spans="1:5" ht="34.5" customHeight="1" x14ac:dyDescent="0.25">
      <c r="A36" s="123" t="s">
        <v>1063</v>
      </c>
      <c r="B36" s="197">
        <f>B31/B24</f>
        <v>23.611111111111111</v>
      </c>
      <c r="C36" s="92" t="s">
        <v>625</v>
      </c>
      <c r="D36" s="113"/>
      <c r="E36" s="455"/>
    </row>
    <row r="37" spans="1:5" ht="34.5" customHeight="1" x14ac:dyDescent="0.25">
      <c r="A37" s="123" t="s">
        <v>1064</v>
      </c>
      <c r="B37" s="197">
        <f>(B33)/B24</f>
        <v>150</v>
      </c>
      <c r="C37" s="92" t="s">
        <v>625</v>
      </c>
      <c r="D37" s="113"/>
      <c r="E37" s="455"/>
    </row>
    <row r="38" spans="1:5" ht="38.25" customHeight="1" x14ac:dyDescent="0.25">
      <c r="A38" s="123" t="s">
        <v>1138</v>
      </c>
      <c r="B38" s="130">
        <f>SUM(B35:B37)</f>
        <v>211.66580165802475</v>
      </c>
      <c r="C38" s="92" t="s">
        <v>625</v>
      </c>
      <c r="D38" s="92"/>
      <c r="E38" s="92"/>
    </row>
    <row r="39" spans="1:5" ht="34.5" customHeight="1" x14ac:dyDescent="0.25">
      <c r="A39" s="123" t="s">
        <v>1138</v>
      </c>
      <c r="B39" s="130">
        <f>B38/B5</f>
        <v>302.3797166543211</v>
      </c>
      <c r="C39" s="92" t="s">
        <v>626</v>
      </c>
      <c r="D39" s="92"/>
      <c r="E39" s="92"/>
    </row>
    <row r="40" spans="1:5" ht="27.75" customHeight="1" x14ac:dyDescent="0.25">
      <c r="A40" s="123" t="s">
        <v>1138</v>
      </c>
      <c r="B40" s="130">
        <f>B38/$B$16</f>
        <v>1.7638816804835395</v>
      </c>
      <c r="C40" s="92" t="s">
        <v>1150</v>
      </c>
      <c r="D40" s="52"/>
      <c r="E40" s="52"/>
    </row>
    <row r="41" spans="1:5" ht="31.5" customHeight="1" x14ac:dyDescent="0.25">
      <c r="A41" s="123" t="s">
        <v>1138</v>
      </c>
      <c r="B41" s="130">
        <f>B39/$B$16</f>
        <v>2.5198309721193426</v>
      </c>
      <c r="C41" s="92" t="s">
        <v>1151</v>
      </c>
      <c r="D41" s="52"/>
      <c r="E41" s="52"/>
    </row>
    <row r="44" spans="1:5" x14ac:dyDescent="0.25">
      <c r="B44" s="326"/>
    </row>
  </sheetData>
  <mergeCells count="2">
    <mergeCell ref="A18:E18"/>
    <mergeCell ref="A20:A2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CF97-DC6F-7349-A88C-F4D54CB20DD3}">
  <sheetPr codeName="Sheet5">
    <tabColor rgb="FF284E6A"/>
  </sheetPr>
  <dimension ref="A1:CF42"/>
  <sheetViews>
    <sheetView zoomScale="80" zoomScaleNormal="80" workbookViewId="0">
      <selection activeCell="H23" sqref="H23"/>
    </sheetView>
  </sheetViews>
  <sheetFormatPr defaultColWidth="11.42578125" defaultRowHeight="15" outlineLevelRow="1" x14ac:dyDescent="0.25"/>
  <cols>
    <col min="1" max="1" width="33.140625" customWidth="1"/>
    <col min="2" max="2" width="33.85546875" bestFit="1" customWidth="1"/>
    <col min="3" max="3" width="33.85546875" customWidth="1"/>
    <col min="4" max="4" width="19.7109375" customWidth="1"/>
    <col min="5" max="5" width="80.28515625" customWidth="1"/>
    <col min="6" max="6" width="4" customWidth="1"/>
    <col min="8" max="8" width="22.140625" customWidth="1"/>
  </cols>
  <sheetData>
    <row r="1" spans="1:84" ht="27" thickTop="1" x14ac:dyDescent="0.25">
      <c r="A1" s="767" t="s">
        <v>98</v>
      </c>
      <c r="B1" s="768"/>
      <c r="C1" s="768"/>
      <c r="D1" s="768"/>
      <c r="E1" s="769"/>
      <c r="F1" s="35"/>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row>
    <row r="2" spans="1:84" ht="69" customHeight="1" thickBot="1" x14ac:dyDescent="0.3">
      <c r="A2" s="770" t="s">
        <v>388</v>
      </c>
      <c r="B2" s="771"/>
      <c r="C2" s="771"/>
      <c r="D2" s="771"/>
      <c r="E2" s="772"/>
      <c r="F2" s="33"/>
    </row>
    <row r="3" spans="1:84" ht="16.5" thickTop="1" thickBot="1" x14ac:dyDescent="0.3">
      <c r="A3" s="33"/>
      <c r="B3" s="33"/>
      <c r="C3" s="33"/>
      <c r="D3" s="33"/>
      <c r="E3" s="33"/>
      <c r="F3" s="33"/>
    </row>
    <row r="4" spans="1:84" ht="15.75" x14ac:dyDescent="0.25">
      <c r="A4" s="552" t="s">
        <v>102</v>
      </c>
      <c r="B4" s="553" t="s">
        <v>76</v>
      </c>
      <c r="C4" s="622" t="s">
        <v>1288</v>
      </c>
      <c r="D4" s="554" t="s">
        <v>101</v>
      </c>
      <c r="E4" s="555" t="s">
        <v>103</v>
      </c>
      <c r="F4" s="33"/>
    </row>
    <row r="5" spans="1:84" s="36" customFormat="1" ht="15.75" x14ac:dyDescent="0.25">
      <c r="A5" s="556" t="s">
        <v>104</v>
      </c>
      <c r="B5" s="48">
        <v>9461</v>
      </c>
      <c r="C5" s="624">
        <v>9714</v>
      </c>
      <c r="D5" s="551">
        <f>'S1. Dry Bulk Shipping'!$B$18</f>
        <v>0</v>
      </c>
      <c r="E5" s="557"/>
      <c r="F5" s="46"/>
      <c r="G5" s="45"/>
      <c r="H5" s="31"/>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row>
    <row r="6" spans="1:84" s="36" customFormat="1" ht="15.75" x14ac:dyDescent="0.25">
      <c r="A6" s="558" t="s">
        <v>1190</v>
      </c>
      <c r="B6" s="49">
        <v>9441</v>
      </c>
      <c r="C6" s="624">
        <v>9694</v>
      </c>
      <c r="D6" s="551">
        <f>'S1. Dry Bulk Shipping'!$B$18</f>
        <v>0</v>
      </c>
      <c r="E6" s="559"/>
      <c r="F6" s="46"/>
      <c r="G6" s="45"/>
      <c r="H6" s="31"/>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row>
    <row r="7" spans="1:84" s="36" customFormat="1" ht="15.75" x14ac:dyDescent="0.25">
      <c r="A7" s="558" t="s">
        <v>1191</v>
      </c>
      <c r="B7" s="49">
        <v>9584</v>
      </c>
      <c r="C7" s="624">
        <v>9837</v>
      </c>
      <c r="D7" s="551">
        <f>'S1. Dry Bulk Shipping'!$B$18</f>
        <v>0</v>
      </c>
      <c r="E7" s="559"/>
      <c r="F7" s="46"/>
      <c r="G7" s="45"/>
      <c r="H7" s="31"/>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row>
    <row r="8" spans="1:84" s="36" customFormat="1" ht="15.75" x14ac:dyDescent="0.25">
      <c r="A8" s="558" t="s">
        <v>1192</v>
      </c>
      <c r="B8" s="49">
        <v>10815</v>
      </c>
      <c r="C8" s="625">
        <v>11068</v>
      </c>
      <c r="D8" s="551">
        <f>'S1. Dry Bulk Shipping'!$B$18</f>
        <v>0</v>
      </c>
      <c r="E8" s="559"/>
      <c r="F8" s="46"/>
      <c r="G8" s="45"/>
      <c r="H8" s="31"/>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row>
    <row r="9" spans="1:84" s="36" customFormat="1" ht="15.75" x14ac:dyDescent="0.25">
      <c r="A9" s="558" t="s">
        <v>1193</v>
      </c>
      <c r="B9" s="49">
        <v>11111</v>
      </c>
      <c r="C9" s="624">
        <v>11364</v>
      </c>
      <c r="D9" s="551">
        <f>'S1. Dry Bulk Shipping'!$B$18</f>
        <v>0</v>
      </c>
      <c r="E9" s="559"/>
      <c r="F9" s="46"/>
      <c r="G9" s="45"/>
      <c r="H9" s="31"/>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row>
    <row r="10" spans="1:84" s="36" customFormat="1" ht="15.75" x14ac:dyDescent="0.25">
      <c r="A10" s="558" t="s">
        <v>1194</v>
      </c>
      <c r="B10" s="49">
        <v>11187</v>
      </c>
      <c r="C10" s="624">
        <v>11440</v>
      </c>
      <c r="D10" s="551">
        <f>'S1. Dry Bulk Shipping'!$B$18</f>
        <v>0</v>
      </c>
      <c r="E10" s="559"/>
      <c r="F10" s="46"/>
      <c r="G10" s="45"/>
      <c r="H10" s="31"/>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row>
    <row r="11" spans="1:84" s="36" customFormat="1" ht="15.75" x14ac:dyDescent="0.25">
      <c r="A11" s="558" t="s">
        <v>1195</v>
      </c>
      <c r="B11" s="49">
        <v>11525</v>
      </c>
      <c r="C11" s="624">
        <v>11778</v>
      </c>
      <c r="D11" s="551">
        <f>'S1. Dry Bulk Shipping'!$B$18</f>
        <v>0</v>
      </c>
      <c r="E11" s="559"/>
      <c r="F11" s="46"/>
      <c r="G11" s="45"/>
      <c r="H11" s="31"/>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row>
    <row r="12" spans="1:84" ht="15.75" x14ac:dyDescent="0.25">
      <c r="A12" s="558" t="s">
        <v>1196</v>
      </c>
      <c r="B12" s="324">
        <v>11625</v>
      </c>
      <c r="C12" s="624">
        <v>11878</v>
      </c>
      <c r="D12" s="551">
        <f>'S1. Dry Bulk Shipping'!$B$18</f>
        <v>0</v>
      </c>
      <c r="E12" s="559"/>
      <c r="F12" s="33"/>
      <c r="H12" s="31"/>
      <c r="I12" s="45"/>
      <c r="J12" s="45"/>
      <c r="K12" s="45"/>
    </row>
    <row r="13" spans="1:84" ht="15.75" x14ac:dyDescent="0.25">
      <c r="A13" s="558" t="s">
        <v>1197</v>
      </c>
      <c r="B13" s="324">
        <v>11753</v>
      </c>
      <c r="C13" s="624">
        <v>12006</v>
      </c>
      <c r="D13" s="551">
        <f>'S1. Dry Bulk Shipping'!$B$18</f>
        <v>0</v>
      </c>
      <c r="E13" s="559"/>
      <c r="F13" s="33"/>
      <c r="H13" s="31"/>
      <c r="I13" s="45"/>
      <c r="J13" s="45"/>
      <c r="K13" s="45"/>
    </row>
    <row r="14" spans="1:84" ht="15.75" x14ac:dyDescent="0.25">
      <c r="A14" s="558" t="s">
        <v>1198</v>
      </c>
      <c r="B14" s="324">
        <v>11346</v>
      </c>
      <c r="C14" s="624">
        <v>11599</v>
      </c>
      <c r="D14" s="551">
        <f>'S1. Dry Bulk Shipping'!$B$18</f>
        <v>0</v>
      </c>
      <c r="E14" s="559"/>
      <c r="F14" s="33"/>
      <c r="H14" s="31"/>
      <c r="I14" s="45"/>
      <c r="J14" s="45"/>
      <c r="K14" s="45"/>
    </row>
    <row r="15" spans="1:84" ht="16.5" outlineLevel="1" thickBot="1" x14ac:dyDescent="0.3">
      <c r="A15" s="560" t="s">
        <v>101</v>
      </c>
      <c r="B15" s="561">
        <f>'S1. Dry Bulk Shipping'!$B$18</f>
        <v>0</v>
      </c>
      <c r="C15" s="561">
        <f>'S1. Dry Bulk Shipping'!$B$18</f>
        <v>0</v>
      </c>
      <c r="D15" s="561">
        <f>'S1. Dry Bulk Shipping'!$B$18</f>
        <v>0</v>
      </c>
      <c r="E15" s="562" t="s">
        <v>138</v>
      </c>
      <c r="F15" s="33"/>
    </row>
    <row r="16" spans="1:84" ht="15.75" thickBot="1" x14ac:dyDescent="0.3">
      <c r="D16" s="33"/>
      <c r="E16" s="33"/>
      <c r="F16" s="33"/>
    </row>
    <row r="17" spans="1:6" ht="15.75" x14ac:dyDescent="0.25">
      <c r="A17" s="552" t="s">
        <v>105</v>
      </c>
      <c r="B17" s="564" t="s">
        <v>76</v>
      </c>
      <c r="C17" s="623" t="s">
        <v>1288</v>
      </c>
      <c r="D17" s="565" t="s">
        <v>101</v>
      </c>
      <c r="E17" s="555" t="s">
        <v>103</v>
      </c>
      <c r="F17" s="33"/>
    </row>
    <row r="18" spans="1:6" ht="15.75" x14ac:dyDescent="0.25">
      <c r="A18" s="556" t="s">
        <v>104</v>
      </c>
      <c r="B18" s="50" t="s">
        <v>106</v>
      </c>
      <c r="C18" s="50" t="s">
        <v>106</v>
      </c>
      <c r="D18" s="563" t="str">
        <f>'S1. Dry Bulk Shipping'!$B$19</f>
        <v>YES</v>
      </c>
      <c r="E18" s="566"/>
      <c r="F18" s="33"/>
    </row>
    <row r="19" spans="1:6" ht="15.75" x14ac:dyDescent="0.25">
      <c r="A19" s="556" t="s">
        <v>1190</v>
      </c>
      <c r="B19" s="50" t="s">
        <v>106</v>
      </c>
      <c r="C19" s="50" t="s">
        <v>106</v>
      </c>
      <c r="D19" s="563" t="str">
        <f>'S1. Dry Bulk Shipping'!$B$19</f>
        <v>YES</v>
      </c>
      <c r="E19" s="566"/>
      <c r="F19" s="33"/>
    </row>
    <row r="20" spans="1:6" ht="15.75" x14ac:dyDescent="0.25">
      <c r="A20" s="556" t="s">
        <v>1191</v>
      </c>
      <c r="B20" s="50" t="s">
        <v>106</v>
      </c>
      <c r="C20" s="50" t="s">
        <v>106</v>
      </c>
      <c r="D20" s="563" t="str">
        <f>'S1. Dry Bulk Shipping'!$B$19</f>
        <v>YES</v>
      </c>
      <c r="E20" s="566"/>
      <c r="F20" s="33"/>
    </row>
    <row r="21" spans="1:6" ht="15.75" x14ac:dyDescent="0.25">
      <c r="A21" s="556" t="s">
        <v>1192</v>
      </c>
      <c r="B21" s="50" t="s">
        <v>106</v>
      </c>
      <c r="C21" s="50" t="s">
        <v>106</v>
      </c>
      <c r="D21" s="563" t="str">
        <f>'S1. Dry Bulk Shipping'!$B$19</f>
        <v>YES</v>
      </c>
      <c r="E21" s="566"/>
      <c r="F21" s="33"/>
    </row>
    <row r="22" spans="1:6" ht="15.75" x14ac:dyDescent="0.25">
      <c r="A22" s="556" t="s">
        <v>1193</v>
      </c>
      <c r="B22" s="50" t="s">
        <v>106</v>
      </c>
      <c r="C22" s="50" t="s">
        <v>106</v>
      </c>
      <c r="D22" s="563" t="str">
        <f>'S1. Dry Bulk Shipping'!$B$19</f>
        <v>YES</v>
      </c>
      <c r="E22" s="566"/>
      <c r="F22" s="33"/>
    </row>
    <row r="23" spans="1:6" ht="15.75" x14ac:dyDescent="0.25">
      <c r="A23" s="556" t="s">
        <v>1194</v>
      </c>
      <c r="B23" s="50" t="s">
        <v>106</v>
      </c>
      <c r="C23" s="50" t="s">
        <v>106</v>
      </c>
      <c r="D23" s="563" t="str">
        <f>'S1. Dry Bulk Shipping'!$B$19</f>
        <v>YES</v>
      </c>
      <c r="E23" s="566"/>
      <c r="F23" s="33"/>
    </row>
    <row r="24" spans="1:6" ht="15.75" x14ac:dyDescent="0.25">
      <c r="A24" s="556" t="s">
        <v>1195</v>
      </c>
      <c r="B24" s="50" t="s">
        <v>106</v>
      </c>
      <c r="C24" s="50" t="s">
        <v>106</v>
      </c>
      <c r="D24" s="563" t="str">
        <f>'S1. Dry Bulk Shipping'!$B$19</f>
        <v>YES</v>
      </c>
      <c r="E24" s="566"/>
      <c r="F24" s="33"/>
    </row>
    <row r="25" spans="1:6" ht="15.75" x14ac:dyDescent="0.25">
      <c r="A25" s="556" t="s">
        <v>1196</v>
      </c>
      <c r="B25" s="50" t="s">
        <v>106</v>
      </c>
      <c r="C25" s="50" t="s">
        <v>106</v>
      </c>
      <c r="D25" s="563" t="str">
        <f>'S1. Dry Bulk Shipping'!$B$19</f>
        <v>YES</v>
      </c>
      <c r="E25" s="566"/>
      <c r="F25" s="33"/>
    </row>
    <row r="26" spans="1:6" s="31" customFormat="1" x14ac:dyDescent="0.2">
      <c r="A26" s="556" t="s">
        <v>1197</v>
      </c>
      <c r="B26" s="50" t="s">
        <v>106</v>
      </c>
      <c r="C26" s="50" t="s">
        <v>106</v>
      </c>
      <c r="D26" s="563" t="str">
        <f>'S1. Dry Bulk Shipping'!$B$19</f>
        <v>YES</v>
      </c>
      <c r="E26" s="566"/>
      <c r="F26" s="30"/>
    </row>
    <row r="27" spans="1:6" s="31" customFormat="1" x14ac:dyDescent="0.2">
      <c r="A27" s="556" t="s">
        <v>1198</v>
      </c>
      <c r="B27" s="50" t="s">
        <v>106</v>
      </c>
      <c r="C27" s="50" t="s">
        <v>106</v>
      </c>
      <c r="D27" s="563" t="str">
        <f>'S1. Dry Bulk Shipping'!$B$19</f>
        <v>YES</v>
      </c>
      <c r="E27" s="566"/>
      <c r="F27" s="30"/>
    </row>
    <row r="28" spans="1:6" s="31" customFormat="1" ht="15.75" thickBot="1" x14ac:dyDescent="0.25">
      <c r="A28" s="560" t="s">
        <v>101</v>
      </c>
      <c r="B28" s="567" t="str">
        <f>'S1. Dry Bulk Shipping'!$B$19</f>
        <v>YES</v>
      </c>
      <c r="C28" s="567" t="str">
        <f>'S1. Dry Bulk Shipping'!$B$19</f>
        <v>YES</v>
      </c>
      <c r="D28" s="567" t="str">
        <f>'S1. Dry Bulk Shipping'!$B$19</f>
        <v>YES</v>
      </c>
      <c r="E28" s="568" t="s">
        <v>138</v>
      </c>
      <c r="F28" s="30"/>
    </row>
    <row r="29" spans="1:6" s="31" customFormat="1" ht="16.5" thickBot="1" x14ac:dyDescent="0.3">
      <c r="A29"/>
      <c r="B29"/>
      <c r="C29"/>
      <c r="D29" s="37"/>
      <c r="E29" s="37"/>
      <c r="F29" s="30"/>
    </row>
    <row r="30" spans="1:6" s="31" customFormat="1" ht="15.75" x14ac:dyDescent="0.25">
      <c r="A30" s="552" t="s">
        <v>108</v>
      </c>
      <c r="B30" s="564" t="s">
        <v>76</v>
      </c>
      <c r="C30" s="623" t="s">
        <v>1288</v>
      </c>
      <c r="D30" s="565" t="s">
        <v>101</v>
      </c>
      <c r="E30" s="555" t="s">
        <v>103</v>
      </c>
      <c r="F30" s="30"/>
    </row>
    <row r="31" spans="1:6" s="31" customFormat="1" x14ac:dyDescent="0.2">
      <c r="A31" s="556" t="s">
        <v>104</v>
      </c>
      <c r="B31" s="50" t="s">
        <v>107</v>
      </c>
      <c r="C31" s="50" t="s">
        <v>107</v>
      </c>
      <c r="D31" s="563" t="str">
        <f>'S1. Dry Bulk Shipping'!$B$20</f>
        <v>NO</v>
      </c>
      <c r="E31" s="569"/>
      <c r="F31" s="30"/>
    </row>
    <row r="32" spans="1:6" s="31" customFormat="1" x14ac:dyDescent="0.2">
      <c r="A32" s="558" t="s">
        <v>1190</v>
      </c>
      <c r="B32" s="50" t="s">
        <v>107</v>
      </c>
      <c r="C32" s="50" t="s">
        <v>107</v>
      </c>
      <c r="D32" s="563" t="str">
        <f>'S1. Dry Bulk Shipping'!$B$20</f>
        <v>NO</v>
      </c>
      <c r="E32" s="570"/>
      <c r="F32" s="30"/>
    </row>
    <row r="33" spans="1:8" s="31" customFormat="1" x14ac:dyDescent="0.2">
      <c r="A33" s="558" t="s">
        <v>1191</v>
      </c>
      <c r="B33" s="50" t="s">
        <v>107</v>
      </c>
      <c r="C33" s="50" t="s">
        <v>107</v>
      </c>
      <c r="D33" s="563" t="str">
        <f>'S1. Dry Bulk Shipping'!$B$20</f>
        <v>NO</v>
      </c>
      <c r="E33" s="570"/>
      <c r="F33" s="30"/>
    </row>
    <row r="34" spans="1:8" s="31" customFormat="1" x14ac:dyDescent="0.2">
      <c r="A34" s="558" t="s">
        <v>1192</v>
      </c>
      <c r="B34" s="50" t="s">
        <v>107</v>
      </c>
      <c r="C34" s="50" t="s">
        <v>107</v>
      </c>
      <c r="D34" s="563" t="str">
        <f>'S1. Dry Bulk Shipping'!$B$20</f>
        <v>NO</v>
      </c>
      <c r="E34" s="570"/>
      <c r="F34" s="30"/>
    </row>
    <row r="35" spans="1:8" s="31" customFormat="1" x14ac:dyDescent="0.2">
      <c r="A35" s="558" t="s">
        <v>1193</v>
      </c>
      <c r="B35" s="50" t="s">
        <v>107</v>
      </c>
      <c r="C35" s="50" t="s">
        <v>107</v>
      </c>
      <c r="D35" s="563" t="str">
        <f>'S1. Dry Bulk Shipping'!$B$20</f>
        <v>NO</v>
      </c>
      <c r="E35" s="570"/>
      <c r="F35" s="30"/>
    </row>
    <row r="36" spans="1:8" s="31" customFormat="1" x14ac:dyDescent="0.2">
      <c r="A36" s="558" t="s">
        <v>1194</v>
      </c>
      <c r="B36" s="50" t="s">
        <v>107</v>
      </c>
      <c r="C36" s="50" t="s">
        <v>107</v>
      </c>
      <c r="D36" s="563" t="str">
        <f>'S1. Dry Bulk Shipping'!$B$20</f>
        <v>NO</v>
      </c>
      <c r="E36" s="570"/>
      <c r="F36" s="30"/>
    </row>
    <row r="37" spans="1:8" s="31" customFormat="1" x14ac:dyDescent="0.2">
      <c r="A37" s="558" t="s">
        <v>1195</v>
      </c>
      <c r="B37" s="50" t="s">
        <v>107</v>
      </c>
      <c r="C37" s="50" t="s">
        <v>107</v>
      </c>
      <c r="D37" s="563" t="str">
        <f>'S1. Dry Bulk Shipping'!$B$20</f>
        <v>NO</v>
      </c>
      <c r="E37" s="570"/>
      <c r="F37" s="30"/>
    </row>
    <row r="38" spans="1:8" s="31" customFormat="1" x14ac:dyDescent="0.2">
      <c r="A38" s="558" t="s">
        <v>1196</v>
      </c>
      <c r="B38" s="50" t="s">
        <v>107</v>
      </c>
      <c r="C38" s="50" t="s">
        <v>107</v>
      </c>
      <c r="D38" s="563" t="str">
        <f>'S1. Dry Bulk Shipping'!$B$20</f>
        <v>NO</v>
      </c>
      <c r="E38" s="570"/>
      <c r="F38" s="30"/>
    </row>
    <row r="39" spans="1:8" ht="15.75" x14ac:dyDescent="0.25">
      <c r="A39" s="558" t="s">
        <v>1197</v>
      </c>
      <c r="B39" s="50" t="s">
        <v>107</v>
      </c>
      <c r="C39" s="50" t="s">
        <v>107</v>
      </c>
      <c r="D39" s="563" t="str">
        <f>'S1. Dry Bulk Shipping'!$B$20</f>
        <v>NO</v>
      </c>
      <c r="E39" s="570"/>
      <c r="F39" s="33"/>
    </row>
    <row r="40" spans="1:8" ht="15.75" x14ac:dyDescent="0.25">
      <c r="A40" s="558" t="s">
        <v>1198</v>
      </c>
      <c r="B40" s="50" t="s">
        <v>107</v>
      </c>
      <c r="C40" s="50" t="s">
        <v>107</v>
      </c>
      <c r="D40" s="563" t="str">
        <f>'S1. Dry Bulk Shipping'!$B$20</f>
        <v>NO</v>
      </c>
      <c r="E40" s="570"/>
      <c r="F40" s="33"/>
    </row>
    <row r="41" spans="1:8" ht="16.5" thickBot="1" x14ac:dyDescent="0.3">
      <c r="A41" s="560" t="s">
        <v>101</v>
      </c>
      <c r="B41" s="567" t="str">
        <f>'S1. Dry Bulk Shipping'!$B$20</f>
        <v>NO</v>
      </c>
      <c r="C41" s="567" t="str">
        <f>'S1. Dry Bulk Shipping'!$B$20</f>
        <v>NO</v>
      </c>
      <c r="D41" s="567" t="str">
        <f>'S1. Dry Bulk Shipping'!$B$20</f>
        <v>NO</v>
      </c>
      <c r="E41" s="562" t="s">
        <v>138</v>
      </c>
      <c r="F41" s="33"/>
    </row>
    <row r="42" spans="1:8" x14ac:dyDescent="0.25">
      <c r="H42" s="283"/>
    </row>
  </sheetData>
  <mergeCells count="2">
    <mergeCell ref="A1:E1"/>
    <mergeCell ref="A2:E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F994-FD00-4BCB-9089-D1CACC70EA6A}">
  <dimension ref="A1:E16"/>
  <sheetViews>
    <sheetView workbookViewId="0">
      <selection activeCell="A23" sqref="A23"/>
    </sheetView>
  </sheetViews>
  <sheetFormatPr defaultRowHeight="15" x14ac:dyDescent="0.25"/>
  <cols>
    <col min="1" max="1" width="63.28515625" customWidth="1"/>
    <col min="2" max="2" width="24.5703125" customWidth="1"/>
    <col min="3" max="3" width="19.85546875" customWidth="1"/>
    <col min="4" max="4" width="11.42578125" customWidth="1"/>
    <col min="5" max="5" width="12" customWidth="1"/>
  </cols>
  <sheetData>
    <row r="1" spans="1:5" ht="27" thickBot="1" x14ac:dyDescent="0.45">
      <c r="A1" s="773" t="s">
        <v>139</v>
      </c>
      <c r="B1" s="774"/>
      <c r="C1" s="774"/>
      <c r="D1" s="774"/>
      <c r="E1" s="775"/>
    </row>
    <row r="2" spans="1:5" ht="51" customHeight="1" thickBot="1" x14ac:dyDescent="0.3">
      <c r="A2" s="776" t="s">
        <v>140</v>
      </c>
      <c r="B2" s="777"/>
      <c r="C2" s="777"/>
      <c r="D2" s="777"/>
      <c r="E2" s="778"/>
    </row>
    <row r="4" spans="1:5" ht="15.75" x14ac:dyDescent="0.25">
      <c r="A4" s="51" t="s">
        <v>141</v>
      </c>
      <c r="B4" t="s">
        <v>106</v>
      </c>
    </row>
    <row r="5" spans="1:5" x14ac:dyDescent="0.25">
      <c r="B5" t="s">
        <v>107</v>
      </c>
    </row>
    <row r="6" spans="1:5" x14ac:dyDescent="0.25">
      <c r="B6" t="s">
        <v>45</v>
      </c>
    </row>
    <row r="8" spans="1:5" ht="15.75" x14ac:dyDescent="0.25">
      <c r="A8" s="51" t="s">
        <v>367</v>
      </c>
    </row>
    <row r="9" spans="1:5" ht="18.75" x14ac:dyDescent="0.25">
      <c r="A9" s="263" t="s">
        <v>368</v>
      </c>
      <c r="B9" s="265">
        <v>730</v>
      </c>
      <c r="C9" s="266" t="s">
        <v>369</v>
      </c>
    </row>
    <row r="10" spans="1:5" ht="18.75" x14ac:dyDescent="0.25">
      <c r="A10" s="263" t="s">
        <v>370</v>
      </c>
      <c r="B10" s="265">
        <v>850</v>
      </c>
      <c r="C10" s="266" t="s">
        <v>369</v>
      </c>
    </row>
    <row r="11" spans="1:5" ht="18.75" x14ac:dyDescent="0.25">
      <c r="A11" s="263" t="s">
        <v>371</v>
      </c>
      <c r="B11" s="265">
        <v>730</v>
      </c>
      <c r="C11" s="266" t="s">
        <v>369</v>
      </c>
    </row>
    <row r="12" spans="1:5" ht="18.75" x14ac:dyDescent="0.25">
      <c r="A12" s="263" t="s">
        <v>372</v>
      </c>
      <c r="B12" s="265">
        <v>250</v>
      </c>
      <c r="C12" s="266" t="s">
        <v>369</v>
      </c>
    </row>
    <row r="13" spans="1:5" ht="18.75" x14ac:dyDescent="0.25">
      <c r="A13" s="263" t="s">
        <v>373</v>
      </c>
      <c r="B13" s="265">
        <v>510</v>
      </c>
      <c r="C13" s="266" t="s">
        <v>369</v>
      </c>
    </row>
    <row r="14" spans="1:5" ht="18.75" x14ac:dyDescent="0.25">
      <c r="A14" s="263" t="s">
        <v>374</v>
      </c>
      <c r="B14" s="265">
        <v>170</v>
      </c>
      <c r="C14" s="266" t="s">
        <v>369</v>
      </c>
    </row>
    <row r="15" spans="1:5" ht="18.75" x14ac:dyDescent="0.25">
      <c r="A15" s="263" t="s">
        <v>375</v>
      </c>
      <c r="B15" s="265">
        <v>540</v>
      </c>
      <c r="C15" s="266" t="s">
        <v>369</v>
      </c>
    </row>
    <row r="16" spans="1:5" ht="18.75" x14ac:dyDescent="0.25">
      <c r="A16" s="263" t="s">
        <v>376</v>
      </c>
      <c r="B16" s="265">
        <v>580</v>
      </c>
      <c r="C16" s="266" t="s">
        <v>369</v>
      </c>
    </row>
  </sheetData>
  <mergeCells count="2">
    <mergeCell ref="A1:E1"/>
    <mergeCell ref="A2:E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2A278-7345-4BD5-9867-2D9C200F3EDE}">
  <dimension ref="B2:K15"/>
  <sheetViews>
    <sheetView topLeftCell="B4" zoomScale="85" zoomScaleNormal="85" workbookViewId="0">
      <selection activeCell="K9" sqref="K9"/>
    </sheetView>
  </sheetViews>
  <sheetFormatPr defaultRowHeight="15" x14ac:dyDescent="0.25"/>
  <cols>
    <col min="2" max="2" width="61.42578125" customWidth="1"/>
    <col min="3" max="3" width="29.7109375" bestFit="1" customWidth="1"/>
    <col min="4" max="4" width="27.7109375" bestFit="1" customWidth="1"/>
    <col min="5" max="5" width="21.28515625" customWidth="1"/>
    <col min="6" max="6" width="15.140625" bestFit="1" customWidth="1"/>
    <col min="7" max="7" width="24.140625" customWidth="1"/>
    <col min="8" max="8" width="28.28515625" customWidth="1"/>
    <col min="9" max="9" width="17.28515625" customWidth="1"/>
    <col min="10" max="10" width="21.7109375" customWidth="1"/>
    <col min="11" max="11" width="91.7109375" customWidth="1"/>
  </cols>
  <sheetData>
    <row r="2" spans="2:11" x14ac:dyDescent="0.25">
      <c r="B2" t="s">
        <v>182</v>
      </c>
    </row>
    <row r="4" spans="2:11" x14ac:dyDescent="0.25">
      <c r="B4" s="80" t="s">
        <v>183</v>
      </c>
      <c r="C4" s="80" t="s">
        <v>184</v>
      </c>
      <c r="D4" s="80" t="s">
        <v>185</v>
      </c>
      <c r="E4" s="80" t="s">
        <v>186</v>
      </c>
      <c r="F4" s="80" t="s">
        <v>187</v>
      </c>
      <c r="G4" s="80" t="s">
        <v>188</v>
      </c>
      <c r="H4" s="80" t="s">
        <v>553</v>
      </c>
      <c r="I4" s="80" t="s">
        <v>189</v>
      </c>
      <c r="J4" s="80" t="s">
        <v>190</v>
      </c>
      <c r="K4" s="80" t="s">
        <v>191</v>
      </c>
    </row>
    <row r="5" spans="2:11" s="83" customFormat="1" ht="60" x14ac:dyDescent="0.25">
      <c r="B5" s="78" t="s">
        <v>164</v>
      </c>
      <c r="C5" s="78" t="s">
        <v>210</v>
      </c>
      <c r="D5" s="78" t="s">
        <v>208</v>
      </c>
      <c r="E5" s="85">
        <v>27000</v>
      </c>
      <c r="F5" s="77">
        <v>1992</v>
      </c>
      <c r="G5" s="82">
        <v>358.2</v>
      </c>
      <c r="H5" s="78">
        <v>795.4</v>
      </c>
      <c r="I5" s="81">
        <f t="shared" ref="I5:I11" si="0">(H5/G5)*E5</f>
        <v>59954.773869346733</v>
      </c>
      <c r="J5" s="77" t="s">
        <v>165</v>
      </c>
      <c r="K5" s="78" t="s">
        <v>209</v>
      </c>
    </row>
    <row r="6" spans="2:11" s="83" customFormat="1" ht="60" x14ac:dyDescent="0.25">
      <c r="B6" s="78" t="s">
        <v>164</v>
      </c>
      <c r="C6" s="77" t="s">
        <v>214</v>
      </c>
      <c r="D6" s="77" t="s">
        <v>214</v>
      </c>
      <c r="E6" s="85">
        <v>15000</v>
      </c>
      <c r="F6" s="77">
        <v>1992</v>
      </c>
      <c r="G6" s="82">
        <v>358.2</v>
      </c>
      <c r="H6" s="78">
        <v>795.4</v>
      </c>
      <c r="I6" s="81">
        <f t="shared" si="0"/>
        <v>33308.207705192624</v>
      </c>
      <c r="J6" s="77" t="s">
        <v>165</v>
      </c>
      <c r="K6" s="78" t="s">
        <v>215</v>
      </c>
    </row>
    <row r="7" spans="2:11" s="83" customFormat="1" ht="60" x14ac:dyDescent="0.25">
      <c r="B7" s="78" t="s">
        <v>164</v>
      </c>
      <c r="C7" s="77" t="s">
        <v>216</v>
      </c>
      <c r="D7" s="77" t="s">
        <v>216</v>
      </c>
      <c r="E7" s="85">
        <v>18000</v>
      </c>
      <c r="F7" s="77">
        <v>1992</v>
      </c>
      <c r="G7" s="82">
        <v>358.2</v>
      </c>
      <c r="H7" s="78">
        <v>795.4</v>
      </c>
      <c r="I7" s="81">
        <f t="shared" si="0"/>
        <v>39969.849246231155</v>
      </c>
      <c r="J7" s="77" t="s">
        <v>165</v>
      </c>
      <c r="K7" s="77"/>
    </row>
    <row r="8" spans="2:11" s="83" customFormat="1" ht="60" x14ac:dyDescent="0.25">
      <c r="B8" s="78" t="s">
        <v>164</v>
      </c>
      <c r="C8" s="77" t="s">
        <v>213</v>
      </c>
      <c r="D8" s="77" t="s">
        <v>217</v>
      </c>
      <c r="E8" s="85">
        <v>18700</v>
      </c>
      <c r="F8" s="77">
        <v>1992</v>
      </c>
      <c r="G8" s="82">
        <v>358.2</v>
      </c>
      <c r="H8" s="78">
        <v>795.4</v>
      </c>
      <c r="I8" s="81">
        <f t="shared" si="0"/>
        <v>41524.232272473477</v>
      </c>
      <c r="J8" s="77" t="s">
        <v>165</v>
      </c>
      <c r="K8" s="78" t="s">
        <v>218</v>
      </c>
    </row>
    <row r="9" spans="2:11" s="83" customFormat="1" ht="120" x14ac:dyDescent="0.25">
      <c r="B9" s="78" t="s">
        <v>164</v>
      </c>
      <c r="C9" s="78" t="s">
        <v>554</v>
      </c>
      <c r="D9" s="77" t="s">
        <v>555</v>
      </c>
      <c r="E9" s="84">
        <v>20600</v>
      </c>
      <c r="F9" s="77">
        <v>1992</v>
      </c>
      <c r="G9" s="82">
        <v>358.2</v>
      </c>
      <c r="H9" s="78">
        <v>795.4</v>
      </c>
      <c r="I9" s="81">
        <f t="shared" ref="I9:I10" si="1">(H9/G9)*E9</f>
        <v>45743.271915131205</v>
      </c>
      <c r="J9" s="77" t="s">
        <v>165</v>
      </c>
      <c r="K9" s="78"/>
    </row>
    <row r="10" spans="2:11" s="83" customFormat="1" ht="52.5" customHeight="1" x14ac:dyDescent="0.25">
      <c r="B10" s="78" t="s">
        <v>1199</v>
      </c>
      <c r="C10" s="78" t="s">
        <v>542</v>
      </c>
      <c r="D10" s="77" t="s">
        <v>542</v>
      </c>
      <c r="E10" s="85">
        <v>362000000</v>
      </c>
      <c r="F10" s="77">
        <v>2023</v>
      </c>
      <c r="G10" s="82">
        <v>797.9</v>
      </c>
      <c r="H10" s="78">
        <v>795.4</v>
      </c>
      <c r="I10" s="81">
        <f t="shared" si="1"/>
        <v>360865772.65321469</v>
      </c>
      <c r="J10" s="77" t="s">
        <v>165</v>
      </c>
      <c r="K10" s="78"/>
    </row>
    <row r="11" spans="2:11" s="83" customFormat="1" ht="60" x14ac:dyDescent="0.25">
      <c r="B11" s="78" t="s">
        <v>164</v>
      </c>
      <c r="C11" s="77" t="s">
        <v>219</v>
      </c>
      <c r="D11" s="77" t="s">
        <v>220</v>
      </c>
      <c r="E11" s="85">
        <v>20000</v>
      </c>
      <c r="F11" s="77">
        <v>1992</v>
      </c>
      <c r="G11" s="82">
        <v>358.2</v>
      </c>
      <c r="H11" s="78">
        <v>795.4</v>
      </c>
      <c r="I11" s="81">
        <f t="shared" si="0"/>
        <v>44410.943606923502</v>
      </c>
      <c r="J11" s="77" t="s">
        <v>165</v>
      </c>
      <c r="K11" s="77"/>
    </row>
    <row r="12" spans="2:11" ht="60" x14ac:dyDescent="0.25">
      <c r="B12" s="78" t="s">
        <v>164</v>
      </c>
      <c r="C12" s="77" t="s">
        <v>192</v>
      </c>
      <c r="D12" s="77" t="s">
        <v>193</v>
      </c>
      <c r="E12" s="85">
        <v>20000</v>
      </c>
      <c r="F12" s="77">
        <v>1992</v>
      </c>
      <c r="G12" s="82">
        <v>358.2</v>
      </c>
      <c r="H12" s="78">
        <v>795.4</v>
      </c>
      <c r="I12" s="81">
        <f>(H12/G12)*E12</f>
        <v>44410.943606923502</v>
      </c>
      <c r="J12" s="77" t="s">
        <v>165</v>
      </c>
      <c r="K12" s="77"/>
    </row>
    <row r="13" spans="2:11" ht="60" x14ac:dyDescent="0.25">
      <c r="B13" s="78" t="s">
        <v>164</v>
      </c>
      <c r="C13" s="77" t="s">
        <v>197</v>
      </c>
      <c r="D13" s="77" t="s">
        <v>198</v>
      </c>
      <c r="E13" s="85">
        <v>510000</v>
      </c>
      <c r="F13" s="77">
        <v>1992</v>
      </c>
      <c r="G13" s="82">
        <v>358.2</v>
      </c>
      <c r="H13" s="78">
        <v>795.4</v>
      </c>
      <c r="I13" s="81">
        <f>(H13/G13)*E13</f>
        <v>1132479.0619765492</v>
      </c>
      <c r="J13" s="77" t="s">
        <v>165</v>
      </c>
      <c r="K13" s="77"/>
    </row>
    <row r="14" spans="2:11" ht="60" x14ac:dyDescent="0.25">
      <c r="B14" s="78" t="s">
        <v>164</v>
      </c>
      <c r="C14" s="77" t="s">
        <v>204</v>
      </c>
      <c r="D14" s="77" t="s">
        <v>204</v>
      </c>
      <c r="E14" s="85">
        <v>20400</v>
      </c>
      <c r="F14" s="77">
        <v>1992</v>
      </c>
      <c r="G14" s="82">
        <v>358.2</v>
      </c>
      <c r="H14" s="78">
        <v>795.4</v>
      </c>
      <c r="I14" s="81">
        <f>(H14/G14)*E14</f>
        <v>45299.162479061975</v>
      </c>
      <c r="J14" s="77" t="s">
        <v>165</v>
      </c>
      <c r="K14" s="77"/>
    </row>
    <row r="15" spans="2:11" ht="59.25" customHeight="1" x14ac:dyDescent="0.25">
      <c r="B15" s="78" t="s">
        <v>222</v>
      </c>
      <c r="C15" s="77" t="s">
        <v>162</v>
      </c>
      <c r="D15" s="77" t="s">
        <v>162</v>
      </c>
      <c r="E15" s="86">
        <v>150000</v>
      </c>
      <c r="F15" s="77">
        <v>2011</v>
      </c>
      <c r="G15" s="82">
        <v>585.70000000000005</v>
      </c>
      <c r="H15" s="78">
        <v>795.4</v>
      </c>
      <c r="I15" s="81">
        <f t="shared" ref="I15" si="2">(H15/G15)*E15</f>
        <v>203704.96841386374</v>
      </c>
      <c r="J15" s="77" t="s">
        <v>165</v>
      </c>
      <c r="K15" s="79"/>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59410-C691-41F8-97F1-6417DC6A3CDF}">
  <dimension ref="B2:N17"/>
  <sheetViews>
    <sheetView topLeftCell="A9" workbookViewId="0">
      <selection activeCell="B29" sqref="B29"/>
    </sheetView>
  </sheetViews>
  <sheetFormatPr defaultRowHeight="15" x14ac:dyDescent="0.25"/>
  <cols>
    <col min="2" max="2" width="123.28515625" bestFit="1" customWidth="1"/>
    <col min="3" max="3" width="41" customWidth="1"/>
    <col min="4" max="4" width="10.28515625" customWidth="1"/>
    <col min="5" max="5" width="9.42578125" customWidth="1"/>
    <col min="6" max="6" width="15.140625" bestFit="1" customWidth="1"/>
    <col min="7" max="7" width="22.7109375" bestFit="1" customWidth="1"/>
    <col min="8" max="8" width="26.28515625" bestFit="1" customWidth="1"/>
    <col min="9" max="9" width="12.140625" customWidth="1"/>
    <col min="10" max="10" width="11.42578125" customWidth="1"/>
    <col min="11" max="11" width="21" bestFit="1" customWidth="1"/>
    <col min="12" max="12" width="13" customWidth="1"/>
    <col min="13" max="13" width="11.5703125" customWidth="1"/>
    <col min="14" max="14" width="60.5703125" customWidth="1"/>
  </cols>
  <sheetData>
    <row r="2" spans="2:14" x14ac:dyDescent="0.25">
      <c r="B2" t="s">
        <v>182</v>
      </c>
    </row>
    <row r="4" spans="2:14" x14ac:dyDescent="0.25">
      <c r="B4" s="80" t="s">
        <v>183</v>
      </c>
      <c r="C4" s="80" t="s">
        <v>184</v>
      </c>
      <c r="D4" s="779" t="s">
        <v>335</v>
      </c>
      <c r="E4" s="780"/>
      <c r="F4" s="80" t="s">
        <v>187</v>
      </c>
      <c r="G4" s="80" t="s">
        <v>188</v>
      </c>
      <c r="H4" s="80" t="s">
        <v>553</v>
      </c>
      <c r="I4" s="779" t="s">
        <v>345</v>
      </c>
      <c r="J4" s="780"/>
      <c r="K4" s="80" t="s">
        <v>190</v>
      </c>
      <c r="L4" s="779" t="s">
        <v>560</v>
      </c>
      <c r="M4" s="780"/>
      <c r="N4" s="80" t="s">
        <v>191</v>
      </c>
    </row>
    <row r="5" spans="2:14" ht="45.75" customHeight="1" x14ac:dyDescent="0.25">
      <c r="B5" s="77" t="s">
        <v>271</v>
      </c>
      <c r="C5" s="77" t="s">
        <v>280</v>
      </c>
      <c r="D5" s="77">
        <v>150000</v>
      </c>
      <c r="E5" s="77"/>
      <c r="F5" s="77">
        <v>2004</v>
      </c>
      <c r="G5" s="77">
        <v>444.2</v>
      </c>
      <c r="H5" s="78">
        <v>795.4</v>
      </c>
      <c r="I5" s="85">
        <f>H5/G5*D5</f>
        <v>268595.2273750563</v>
      </c>
      <c r="J5" s="85">
        <f>H5/G5*E5</f>
        <v>0</v>
      </c>
      <c r="K5" s="77" t="s">
        <v>158</v>
      </c>
      <c r="L5" s="344">
        <f>I5*0.7</f>
        <v>188016.65916253941</v>
      </c>
      <c r="M5" s="343">
        <f>J5*0.7</f>
        <v>0</v>
      </c>
      <c r="N5" s="77"/>
    </row>
    <row r="6" spans="2:14" ht="42.75" customHeight="1" x14ac:dyDescent="0.25">
      <c r="B6" s="124" t="s">
        <v>403</v>
      </c>
      <c r="C6" s="218" t="s">
        <v>292</v>
      </c>
      <c r="D6" s="232">
        <v>5.31</v>
      </c>
      <c r="E6" s="86"/>
      <c r="F6" s="77">
        <v>2020</v>
      </c>
      <c r="G6" s="82">
        <v>596.20000000000005</v>
      </c>
      <c r="H6" s="78">
        <v>795.4</v>
      </c>
      <c r="I6" s="342">
        <f t="shared" ref="I6:I12" si="0">H6/G6*D6</f>
        <v>7.0841563233814142</v>
      </c>
      <c r="J6" s="85">
        <f t="shared" ref="J6:J12" si="1">H6/G6*E6</f>
        <v>0</v>
      </c>
      <c r="K6" s="77" t="s">
        <v>165</v>
      </c>
      <c r="L6" s="352"/>
      <c r="M6" s="77"/>
      <c r="N6" s="77"/>
    </row>
    <row r="7" spans="2:14" ht="42.75" customHeight="1" x14ac:dyDescent="0.25">
      <c r="B7" s="99" t="s">
        <v>404</v>
      </c>
      <c r="C7" s="218" t="s">
        <v>292</v>
      </c>
      <c r="D7" s="232">
        <v>3.03</v>
      </c>
      <c r="E7" s="86"/>
      <c r="F7" s="77">
        <v>2020</v>
      </c>
      <c r="G7" s="82">
        <v>596.20000000000005</v>
      </c>
      <c r="H7" s="78">
        <v>795.4</v>
      </c>
      <c r="I7" s="342">
        <f t="shared" si="0"/>
        <v>4.0423716873532367</v>
      </c>
      <c r="J7" s="85">
        <f t="shared" si="1"/>
        <v>0</v>
      </c>
      <c r="K7" s="77" t="s">
        <v>165</v>
      </c>
      <c r="L7" s="352"/>
      <c r="M7" s="77"/>
      <c r="N7" s="77"/>
    </row>
    <row r="8" spans="2:14" ht="42.75" customHeight="1" x14ac:dyDescent="0.25">
      <c r="B8" s="99" t="s">
        <v>397</v>
      </c>
      <c r="C8" s="341" t="s">
        <v>558</v>
      </c>
      <c r="D8" s="232">
        <v>2.95</v>
      </c>
      <c r="E8" s="86"/>
      <c r="F8" s="77">
        <v>2020</v>
      </c>
      <c r="G8" s="82">
        <v>596.20000000000005</v>
      </c>
      <c r="H8" s="78">
        <v>795.4</v>
      </c>
      <c r="I8" s="342">
        <f t="shared" ref="I8" si="2">H8/G8*D8</f>
        <v>3.9356424018785638</v>
      </c>
      <c r="J8" s="85">
        <f t="shared" ref="J8" si="3">H8/G8*E8</f>
        <v>0</v>
      </c>
      <c r="K8" s="77" t="s">
        <v>165</v>
      </c>
      <c r="L8" s="352"/>
      <c r="M8" s="77"/>
      <c r="N8" s="77"/>
    </row>
    <row r="9" spans="2:14" ht="42.75" customHeight="1" x14ac:dyDescent="0.25">
      <c r="B9" s="99" t="s">
        <v>398</v>
      </c>
      <c r="C9" s="341" t="s">
        <v>559</v>
      </c>
      <c r="D9" s="232">
        <v>4.0999999999999996</v>
      </c>
      <c r="E9" s="86"/>
      <c r="F9" s="77">
        <v>2020</v>
      </c>
      <c r="G9" s="82">
        <v>596.20000000000005</v>
      </c>
      <c r="H9" s="78">
        <v>795.4</v>
      </c>
      <c r="I9" s="342">
        <f t="shared" ref="I9" si="4">H9/G9*D9</f>
        <v>5.4698758805769865</v>
      </c>
      <c r="J9" s="85">
        <f t="shared" ref="J9" si="5">H9/G9*E9</f>
        <v>0</v>
      </c>
      <c r="K9" s="77" t="s">
        <v>165</v>
      </c>
      <c r="L9" s="352"/>
      <c r="M9" s="77"/>
      <c r="N9" s="77"/>
    </row>
    <row r="10" spans="2:14" ht="42.75" customHeight="1" x14ac:dyDescent="0.25">
      <c r="B10" s="99" t="s">
        <v>395</v>
      </c>
      <c r="C10" s="341" t="s">
        <v>557</v>
      </c>
      <c r="D10" s="232">
        <v>1.76</v>
      </c>
      <c r="E10" s="86"/>
      <c r="F10" s="77">
        <v>2020</v>
      </c>
      <c r="G10" s="82">
        <v>596.20000000000005</v>
      </c>
      <c r="H10" s="78">
        <v>795.4</v>
      </c>
      <c r="I10" s="342">
        <f t="shared" si="0"/>
        <v>2.3480442804428043</v>
      </c>
      <c r="J10" s="85"/>
      <c r="K10" s="77" t="s">
        <v>165</v>
      </c>
      <c r="L10" s="352"/>
      <c r="M10" s="77"/>
      <c r="N10" s="77"/>
    </row>
    <row r="11" spans="2:14" ht="47.25" x14ac:dyDescent="0.25">
      <c r="B11" s="99" t="s">
        <v>338</v>
      </c>
      <c r="C11" s="341" t="s">
        <v>293</v>
      </c>
      <c r="D11" s="232">
        <v>45</v>
      </c>
      <c r="E11" s="86">
        <v>50</v>
      </c>
      <c r="F11" s="77">
        <v>2004</v>
      </c>
      <c r="G11" s="77">
        <v>444.2</v>
      </c>
      <c r="H11" s="78">
        <v>795.4</v>
      </c>
      <c r="I11" s="85">
        <f t="shared" si="0"/>
        <v>80.578568212516885</v>
      </c>
      <c r="J11" s="85">
        <f t="shared" si="1"/>
        <v>89.531742458352099</v>
      </c>
      <c r="K11" s="77" t="s">
        <v>158</v>
      </c>
      <c r="L11" s="343">
        <f>I11*0.7</f>
        <v>56.404997748761815</v>
      </c>
      <c r="M11" s="343">
        <f>J11*0.7</f>
        <v>62.672219720846464</v>
      </c>
      <c r="N11" s="77"/>
    </row>
    <row r="12" spans="2:14" ht="47.25" x14ac:dyDescent="0.25">
      <c r="B12" s="124" t="s">
        <v>337</v>
      </c>
      <c r="C12" s="218" t="s">
        <v>294</v>
      </c>
      <c r="D12" s="232">
        <v>1.6</v>
      </c>
      <c r="E12" s="233"/>
      <c r="F12" s="77">
        <v>2004</v>
      </c>
      <c r="G12" s="77">
        <v>444.2</v>
      </c>
      <c r="H12" s="78">
        <v>795.4</v>
      </c>
      <c r="I12" s="342">
        <f t="shared" si="0"/>
        <v>2.8650157586672673</v>
      </c>
      <c r="J12" s="85">
        <f t="shared" si="1"/>
        <v>0</v>
      </c>
      <c r="K12" s="77" t="s">
        <v>158</v>
      </c>
      <c r="L12" s="343">
        <f t="shared" ref="L12:M12" si="6">I12*0.7</f>
        <v>2.0055110310670869</v>
      </c>
      <c r="M12" s="343">
        <f t="shared" si="6"/>
        <v>0</v>
      </c>
      <c r="N12" s="77"/>
    </row>
    <row r="14" spans="2:14" x14ac:dyDescent="0.25">
      <c r="B14" t="s">
        <v>1205</v>
      </c>
    </row>
    <row r="16" spans="2:14" ht="30" x14ac:dyDescent="0.25">
      <c r="B16" s="80" t="s">
        <v>183</v>
      </c>
      <c r="C16" s="80" t="s">
        <v>184</v>
      </c>
      <c r="D16" s="231" t="s">
        <v>335</v>
      </c>
      <c r="E16" s="80" t="s">
        <v>187</v>
      </c>
      <c r="F16" s="80" t="s">
        <v>685</v>
      </c>
      <c r="G16" s="416" t="s">
        <v>686</v>
      </c>
      <c r="H16" s="231" t="s">
        <v>345</v>
      </c>
      <c r="I16" s="80" t="s">
        <v>190</v>
      </c>
      <c r="J16" s="80" t="s">
        <v>191</v>
      </c>
    </row>
    <row r="17" spans="2:10" ht="47.25" x14ac:dyDescent="0.25">
      <c r="B17" s="124" t="s">
        <v>336</v>
      </c>
      <c r="C17" s="218" t="s">
        <v>296</v>
      </c>
      <c r="D17" s="571">
        <f>0.001*0.7</f>
        <v>6.9999999999999999E-4</v>
      </c>
      <c r="E17" s="77">
        <v>2007</v>
      </c>
      <c r="F17" s="82">
        <v>3</v>
      </c>
      <c r="G17" s="78">
        <f t="shared" ref="G17" si="7">2024-E17</f>
        <v>17</v>
      </c>
      <c r="H17" s="572">
        <f t="shared" ref="H17" si="8">D17*(1+(F17/100))^G17</f>
        <v>1.1569933425902255E-3</v>
      </c>
      <c r="I17" s="77" t="s">
        <v>165</v>
      </c>
      <c r="J17" s="77"/>
    </row>
  </sheetData>
  <mergeCells count="3">
    <mergeCell ref="D4:E4"/>
    <mergeCell ref="I4:J4"/>
    <mergeCell ref="L4:M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10145-519C-49AF-BF00-C96E33115B57}">
  <dimension ref="B2:J18"/>
  <sheetViews>
    <sheetView topLeftCell="C10" workbookViewId="0">
      <selection activeCell="H24" sqref="H24"/>
    </sheetView>
  </sheetViews>
  <sheetFormatPr defaultRowHeight="15" x14ac:dyDescent="0.25"/>
  <cols>
    <col min="2" max="2" width="79.7109375" customWidth="1"/>
    <col min="3" max="3" width="31.85546875" customWidth="1"/>
    <col min="4" max="4" width="17.140625" customWidth="1"/>
    <col min="5" max="5" width="17.42578125" customWidth="1"/>
    <col min="6" max="6" width="23.42578125" customWidth="1"/>
    <col min="7" max="7" width="26.28515625" bestFit="1" customWidth="1"/>
    <col min="8" max="8" width="18" customWidth="1"/>
    <col min="9" max="9" width="21" bestFit="1" customWidth="1"/>
    <col min="10" max="10" width="43" customWidth="1"/>
  </cols>
  <sheetData>
    <row r="2" spans="2:10" x14ac:dyDescent="0.25">
      <c r="B2" t="s">
        <v>684</v>
      </c>
    </row>
    <row r="4" spans="2:10" x14ac:dyDescent="0.25">
      <c r="B4" s="80" t="s">
        <v>183</v>
      </c>
      <c r="C4" s="80" t="s">
        <v>184</v>
      </c>
      <c r="D4" s="231" t="s">
        <v>335</v>
      </c>
      <c r="E4" s="80" t="s">
        <v>187</v>
      </c>
      <c r="F4" s="80" t="s">
        <v>188</v>
      </c>
      <c r="G4" s="80" t="s">
        <v>553</v>
      </c>
      <c r="H4" s="231" t="s">
        <v>345</v>
      </c>
      <c r="I4" s="80" t="s">
        <v>190</v>
      </c>
      <c r="J4" s="80" t="s">
        <v>191</v>
      </c>
    </row>
    <row r="5" spans="2:10" ht="47.25" x14ac:dyDescent="0.25">
      <c r="B5" s="124" t="s">
        <v>346</v>
      </c>
      <c r="C5" s="62" t="s">
        <v>341</v>
      </c>
      <c r="D5" s="243">
        <v>268000</v>
      </c>
      <c r="E5" s="77">
        <v>2017</v>
      </c>
      <c r="F5" s="82">
        <v>567.5</v>
      </c>
      <c r="G5" s="78">
        <v>795.4</v>
      </c>
      <c r="H5" s="84">
        <f t="shared" ref="H5" si="0">(G5/F5)*D5</f>
        <v>375625.02202643169</v>
      </c>
      <c r="I5" s="77" t="s">
        <v>165</v>
      </c>
      <c r="J5" s="77"/>
    </row>
    <row r="6" spans="2:10" ht="47.25" x14ac:dyDescent="0.25">
      <c r="B6" s="124" t="s">
        <v>346</v>
      </c>
      <c r="C6" s="62" t="s">
        <v>344</v>
      </c>
      <c r="D6" s="243">
        <v>420000</v>
      </c>
      <c r="E6" s="77">
        <v>2017</v>
      </c>
      <c r="F6" s="82">
        <v>567.5</v>
      </c>
      <c r="G6" s="78">
        <v>795.4</v>
      </c>
      <c r="H6" s="84">
        <f>(G6/F6)*D6</f>
        <v>588666.0792951542</v>
      </c>
      <c r="I6" s="77" t="s">
        <v>165</v>
      </c>
      <c r="J6" s="79"/>
    </row>
    <row r="7" spans="2:10" ht="47.25" x14ac:dyDescent="0.25">
      <c r="B7" s="124" t="s">
        <v>526</v>
      </c>
      <c r="C7" s="62" t="s">
        <v>120</v>
      </c>
      <c r="D7" s="243">
        <v>20000000</v>
      </c>
      <c r="E7" s="340">
        <v>2014</v>
      </c>
      <c r="F7" s="338">
        <v>576.1</v>
      </c>
      <c r="G7" s="339">
        <v>795.4</v>
      </c>
      <c r="H7" s="84">
        <f>(G7/F7)*D7</f>
        <v>27613261.586530115</v>
      </c>
      <c r="I7" s="77" t="s">
        <v>165</v>
      </c>
      <c r="J7" s="79"/>
    </row>
    <row r="8" spans="2:10" ht="47.25" x14ac:dyDescent="0.25">
      <c r="B8" s="124" t="s">
        <v>526</v>
      </c>
      <c r="C8" s="62" t="s">
        <v>121</v>
      </c>
      <c r="D8" s="243">
        <v>27000000</v>
      </c>
      <c r="E8" s="340">
        <v>2014</v>
      </c>
      <c r="F8" s="338">
        <v>576.1</v>
      </c>
      <c r="G8" s="339">
        <v>795.4</v>
      </c>
      <c r="H8" s="84">
        <f t="shared" ref="H8:H11" si="1">(G8/F8)*D8</f>
        <v>37277903.141815655</v>
      </c>
      <c r="I8" s="77" t="s">
        <v>165</v>
      </c>
      <c r="J8" s="79"/>
    </row>
    <row r="9" spans="2:10" ht="47.25" x14ac:dyDescent="0.25">
      <c r="B9" s="124" t="s">
        <v>526</v>
      </c>
      <c r="C9" s="62" t="s">
        <v>122</v>
      </c>
      <c r="D9" s="243">
        <v>30000000</v>
      </c>
      <c r="E9" s="340">
        <v>2014</v>
      </c>
      <c r="F9" s="338">
        <v>576.1</v>
      </c>
      <c r="G9" s="339">
        <v>795.4</v>
      </c>
      <c r="H9" s="84">
        <f t="shared" si="1"/>
        <v>41419892.379795171</v>
      </c>
      <c r="I9" s="77" t="s">
        <v>165</v>
      </c>
      <c r="J9" s="79"/>
    </row>
    <row r="10" spans="2:10" ht="47.25" x14ac:dyDescent="0.25">
      <c r="B10" s="124" t="s">
        <v>526</v>
      </c>
      <c r="C10" s="62" t="s">
        <v>123</v>
      </c>
      <c r="D10" s="243">
        <v>40000000</v>
      </c>
      <c r="E10" s="340">
        <v>2014</v>
      </c>
      <c r="F10" s="338">
        <v>576.1</v>
      </c>
      <c r="G10" s="339">
        <v>795.4</v>
      </c>
      <c r="H10" s="84">
        <f t="shared" si="1"/>
        <v>55226523.173060231</v>
      </c>
      <c r="I10" s="77" t="s">
        <v>165</v>
      </c>
      <c r="J10" s="79"/>
    </row>
    <row r="11" spans="2:10" ht="47.25" x14ac:dyDescent="0.25">
      <c r="B11" s="124" t="s">
        <v>526</v>
      </c>
      <c r="C11" s="62" t="s">
        <v>124</v>
      </c>
      <c r="D11" s="243">
        <v>50000000</v>
      </c>
      <c r="E11" s="340">
        <v>2014</v>
      </c>
      <c r="F11" s="338">
        <v>576.1</v>
      </c>
      <c r="G11" s="339">
        <v>795.4</v>
      </c>
      <c r="H11" s="84">
        <f t="shared" si="1"/>
        <v>69033153.966325283</v>
      </c>
      <c r="I11" s="77" t="s">
        <v>165</v>
      </c>
      <c r="J11" s="79"/>
    </row>
    <row r="13" spans="2:10" x14ac:dyDescent="0.25">
      <c r="B13" t="s">
        <v>1205</v>
      </c>
    </row>
    <row r="15" spans="2:10" ht="30" x14ac:dyDescent="0.25">
      <c r="B15" s="80" t="s">
        <v>183</v>
      </c>
      <c r="C15" s="80" t="s">
        <v>184</v>
      </c>
      <c r="D15" s="231" t="s">
        <v>335</v>
      </c>
      <c r="E15" s="80" t="s">
        <v>187</v>
      </c>
      <c r="F15" s="80" t="s">
        <v>685</v>
      </c>
      <c r="G15" s="416" t="s">
        <v>686</v>
      </c>
      <c r="H15" s="231" t="s">
        <v>345</v>
      </c>
      <c r="I15" s="80" t="s">
        <v>190</v>
      </c>
      <c r="J15" s="80" t="s">
        <v>191</v>
      </c>
    </row>
    <row r="16" spans="2:10" ht="47.25" x14ac:dyDescent="0.25">
      <c r="B16" s="124" t="s">
        <v>346</v>
      </c>
      <c r="C16" s="62" t="s">
        <v>340</v>
      </c>
      <c r="D16" s="243">
        <v>289000</v>
      </c>
      <c r="E16" s="77">
        <v>2017</v>
      </c>
      <c r="F16" s="82">
        <v>3</v>
      </c>
      <c r="G16" s="78">
        <f t="shared" ref="G16:G18" si="2">2024-E16</f>
        <v>7</v>
      </c>
      <c r="H16" s="84">
        <f t="shared" ref="H16:H18" si="3">D16*(1+(F16/100))^G16</f>
        <v>355433.54710778745</v>
      </c>
      <c r="I16" s="77" t="s">
        <v>165</v>
      </c>
      <c r="J16" s="77"/>
    </row>
    <row r="17" spans="2:10" ht="47.25" x14ac:dyDescent="0.25">
      <c r="B17" s="124" t="s">
        <v>346</v>
      </c>
      <c r="C17" s="62" t="s">
        <v>342</v>
      </c>
      <c r="D17" s="243">
        <v>313000</v>
      </c>
      <c r="E17" s="77">
        <v>2017</v>
      </c>
      <c r="F17" s="82">
        <v>3</v>
      </c>
      <c r="G17" s="78">
        <f t="shared" si="2"/>
        <v>7</v>
      </c>
      <c r="H17" s="84">
        <f t="shared" si="3"/>
        <v>384950.5198779843</v>
      </c>
      <c r="I17" s="77" t="s">
        <v>165</v>
      </c>
      <c r="J17" s="77"/>
    </row>
    <row r="18" spans="2:10" ht="47.25" x14ac:dyDescent="0.25">
      <c r="B18" s="124" t="s">
        <v>346</v>
      </c>
      <c r="C18" s="62" t="s">
        <v>343</v>
      </c>
      <c r="D18" s="243">
        <v>269000</v>
      </c>
      <c r="E18" s="77">
        <v>2017</v>
      </c>
      <c r="F18" s="82">
        <v>3</v>
      </c>
      <c r="G18" s="78">
        <f t="shared" si="2"/>
        <v>7</v>
      </c>
      <c r="H18" s="84">
        <f t="shared" si="3"/>
        <v>330836.06979929004</v>
      </c>
      <c r="I18" s="77" t="s">
        <v>165</v>
      </c>
      <c r="J18" s="79"/>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30623-0687-44DB-B495-9C4E22889B9B}">
  <dimension ref="B2:K15"/>
  <sheetViews>
    <sheetView workbookViewId="0">
      <selection activeCell="D27" sqref="D27"/>
    </sheetView>
  </sheetViews>
  <sheetFormatPr defaultRowHeight="15" x14ac:dyDescent="0.25"/>
  <cols>
    <col min="2" max="2" width="35.28515625" customWidth="1"/>
    <col min="3" max="3" width="29.7109375" bestFit="1" customWidth="1"/>
    <col min="4" max="4" width="30.28515625" bestFit="1" customWidth="1"/>
    <col min="5" max="5" width="16.42578125" bestFit="1" customWidth="1"/>
    <col min="6" max="6" width="15.140625" bestFit="1" customWidth="1"/>
    <col min="7" max="7" width="22.7109375" bestFit="1" customWidth="1"/>
    <col min="8" max="8" width="26.28515625" bestFit="1" customWidth="1"/>
    <col min="9" max="9" width="15.7109375" bestFit="1" customWidth="1"/>
    <col min="10" max="10" width="21" bestFit="1" customWidth="1"/>
    <col min="11" max="11" width="28.140625" customWidth="1"/>
  </cols>
  <sheetData>
    <row r="2" spans="2:11" x14ac:dyDescent="0.25">
      <c r="B2" t="s">
        <v>182</v>
      </c>
    </row>
    <row r="4" spans="2:11" x14ac:dyDescent="0.25">
      <c r="B4" s="80" t="s">
        <v>183</v>
      </c>
      <c r="C4" s="80" t="s">
        <v>184</v>
      </c>
      <c r="D4" s="80" t="s">
        <v>185</v>
      </c>
      <c r="E4" s="80" t="s">
        <v>186</v>
      </c>
      <c r="F4" s="80" t="s">
        <v>187</v>
      </c>
      <c r="G4" s="80" t="s">
        <v>188</v>
      </c>
      <c r="H4" s="80" t="s">
        <v>553</v>
      </c>
      <c r="I4" s="80" t="s">
        <v>189</v>
      </c>
      <c r="J4" s="80" t="s">
        <v>190</v>
      </c>
      <c r="K4" s="80" t="s">
        <v>191</v>
      </c>
    </row>
    <row r="5" spans="2:11" x14ac:dyDescent="0.25">
      <c r="B5" s="77" t="s">
        <v>698</v>
      </c>
      <c r="C5" s="77" t="s">
        <v>729</v>
      </c>
      <c r="D5" s="77" t="s">
        <v>729</v>
      </c>
      <c r="E5" s="81">
        <v>49080</v>
      </c>
      <c r="F5" s="77">
        <v>2022</v>
      </c>
      <c r="G5" s="82">
        <v>816</v>
      </c>
      <c r="H5" s="78">
        <v>795.4</v>
      </c>
      <c r="I5" s="81">
        <f>(H5/G5)*E5</f>
        <v>47840.970588235294</v>
      </c>
      <c r="J5" s="77" t="s">
        <v>165</v>
      </c>
      <c r="K5" s="77"/>
    </row>
    <row r="6" spans="2:11" x14ac:dyDescent="0.25">
      <c r="B6" s="77" t="s">
        <v>698</v>
      </c>
      <c r="C6" s="77" t="s">
        <v>703</v>
      </c>
      <c r="D6" s="77" t="s">
        <v>703</v>
      </c>
      <c r="E6" s="81">
        <v>4930889</v>
      </c>
      <c r="F6" s="77">
        <v>2022</v>
      </c>
      <c r="G6" s="82">
        <v>816</v>
      </c>
      <c r="H6" s="78">
        <v>795.4</v>
      </c>
      <c r="I6" s="81">
        <f t="shared" ref="I6:I15" si="0">(H6/G6)*E6</f>
        <v>4806408.2237745095</v>
      </c>
      <c r="J6" s="77" t="s">
        <v>165</v>
      </c>
      <c r="K6" s="77"/>
    </row>
    <row r="7" spans="2:11" x14ac:dyDescent="0.25">
      <c r="B7" s="77" t="s">
        <v>698</v>
      </c>
      <c r="C7" s="77" t="s">
        <v>730</v>
      </c>
      <c r="D7" s="77" t="s">
        <v>730</v>
      </c>
      <c r="E7" s="81">
        <v>6151202</v>
      </c>
      <c r="F7" s="77">
        <v>2022</v>
      </c>
      <c r="G7" s="82">
        <v>816</v>
      </c>
      <c r="H7" s="78">
        <v>795.4</v>
      </c>
      <c r="I7" s="81">
        <f t="shared" si="0"/>
        <v>5995914.3024509801</v>
      </c>
      <c r="J7" s="77" t="s">
        <v>165</v>
      </c>
      <c r="K7" s="77"/>
    </row>
    <row r="8" spans="2:11" x14ac:dyDescent="0.25">
      <c r="B8" s="77" t="s">
        <v>698</v>
      </c>
      <c r="C8" s="77" t="s">
        <v>731</v>
      </c>
      <c r="D8" s="77" t="s">
        <v>731</v>
      </c>
      <c r="E8" s="81">
        <v>60812</v>
      </c>
      <c r="F8" s="77">
        <v>2022</v>
      </c>
      <c r="G8" s="82">
        <v>816</v>
      </c>
      <c r="H8" s="78">
        <v>795.4</v>
      </c>
      <c r="I8" s="81">
        <f t="shared" si="0"/>
        <v>59276.795098039212</v>
      </c>
      <c r="J8" s="77" t="s">
        <v>165</v>
      </c>
      <c r="K8" s="77"/>
    </row>
    <row r="9" spans="2:11" x14ac:dyDescent="0.25">
      <c r="B9" s="77" t="s">
        <v>979</v>
      </c>
      <c r="C9" s="77" t="s">
        <v>1263</v>
      </c>
      <c r="D9" s="77" t="s">
        <v>1263</v>
      </c>
      <c r="E9" s="81">
        <v>590000000</v>
      </c>
      <c r="F9" s="77" t="s">
        <v>982</v>
      </c>
      <c r="G9" s="82">
        <v>816</v>
      </c>
      <c r="H9" s="78">
        <v>795.4</v>
      </c>
      <c r="I9" s="81">
        <f t="shared" si="0"/>
        <v>575105392.15686274</v>
      </c>
      <c r="J9" s="77" t="s">
        <v>165</v>
      </c>
      <c r="K9" s="77"/>
    </row>
    <row r="10" spans="2:11" ht="30" x14ac:dyDescent="0.25">
      <c r="B10" s="77" t="s">
        <v>979</v>
      </c>
      <c r="C10" s="78" t="s">
        <v>980</v>
      </c>
      <c r="D10" s="78" t="s">
        <v>981</v>
      </c>
      <c r="E10" s="81">
        <v>459000000</v>
      </c>
      <c r="F10" s="77" t="s">
        <v>982</v>
      </c>
      <c r="G10" s="82">
        <v>816</v>
      </c>
      <c r="H10" s="78">
        <v>795.4</v>
      </c>
      <c r="I10" s="81">
        <f t="shared" si="0"/>
        <v>447412500</v>
      </c>
      <c r="J10" s="77" t="s">
        <v>165</v>
      </c>
      <c r="K10" s="77"/>
    </row>
    <row r="11" spans="2:11" x14ac:dyDescent="0.25">
      <c r="B11" s="77" t="s">
        <v>979</v>
      </c>
      <c r="C11" s="78" t="s">
        <v>1262</v>
      </c>
      <c r="D11" s="78" t="s">
        <v>1277</v>
      </c>
      <c r="E11" s="81">
        <v>195000000</v>
      </c>
      <c r="F11" s="77" t="s">
        <v>982</v>
      </c>
      <c r="G11" s="82">
        <v>816</v>
      </c>
      <c r="H11" s="78">
        <v>795.4</v>
      </c>
      <c r="I11" s="81">
        <f>(H11/G11)*E11</f>
        <v>190077205.88235295</v>
      </c>
      <c r="J11" s="77" t="s">
        <v>165</v>
      </c>
      <c r="K11" s="77"/>
    </row>
    <row r="12" spans="2:11" x14ac:dyDescent="0.25">
      <c r="B12" s="77" t="s">
        <v>698</v>
      </c>
      <c r="C12" s="77" t="s">
        <v>732</v>
      </c>
      <c r="D12" s="77" t="s">
        <v>733</v>
      </c>
      <c r="E12" s="81">
        <v>30622</v>
      </c>
      <c r="F12" s="77">
        <v>2022</v>
      </c>
      <c r="G12" s="82">
        <v>816</v>
      </c>
      <c r="H12" s="78">
        <v>795.4</v>
      </c>
      <c r="I12" s="81">
        <f t="shared" si="0"/>
        <v>29848.944607843136</v>
      </c>
      <c r="J12" s="77" t="s">
        <v>165</v>
      </c>
      <c r="K12" s="77"/>
    </row>
    <row r="13" spans="2:11" x14ac:dyDescent="0.25">
      <c r="B13" s="77" t="s">
        <v>698</v>
      </c>
      <c r="C13" s="77" t="s">
        <v>734</v>
      </c>
      <c r="D13" s="77" t="s">
        <v>734</v>
      </c>
      <c r="E13" s="81">
        <v>69819</v>
      </c>
      <c r="F13" s="77">
        <v>2022</v>
      </c>
      <c r="G13" s="82">
        <v>816</v>
      </c>
      <c r="H13" s="78">
        <v>795.4</v>
      </c>
      <c r="I13" s="81">
        <f t="shared" si="0"/>
        <v>68056.412499999991</v>
      </c>
      <c r="J13" s="77" t="s">
        <v>165</v>
      </c>
      <c r="K13" s="77"/>
    </row>
    <row r="14" spans="2:11" x14ac:dyDescent="0.25">
      <c r="B14" s="77" t="s">
        <v>698</v>
      </c>
      <c r="C14" s="77" t="s">
        <v>735</v>
      </c>
      <c r="D14" s="77" t="s">
        <v>736</v>
      </c>
      <c r="E14" s="81">
        <v>6320</v>
      </c>
      <c r="F14" s="77">
        <v>2022</v>
      </c>
      <c r="G14" s="82">
        <v>816</v>
      </c>
      <c r="H14" s="78">
        <v>795.4</v>
      </c>
      <c r="I14" s="81">
        <f t="shared" si="0"/>
        <v>6160.4509803921565</v>
      </c>
      <c r="J14" s="77" t="s">
        <v>165</v>
      </c>
      <c r="K14" s="77"/>
    </row>
    <row r="15" spans="2:11" x14ac:dyDescent="0.25">
      <c r="B15" s="77" t="s">
        <v>698</v>
      </c>
      <c r="C15" s="77" t="s">
        <v>737</v>
      </c>
      <c r="D15" s="77" t="s">
        <v>738</v>
      </c>
      <c r="E15" s="81">
        <v>174548</v>
      </c>
      <c r="F15" s="77">
        <v>2022</v>
      </c>
      <c r="G15" s="82">
        <v>816</v>
      </c>
      <c r="H15" s="78">
        <v>795.4</v>
      </c>
      <c r="I15" s="81">
        <f t="shared" si="0"/>
        <v>170141.51862745098</v>
      </c>
      <c r="J15" s="77" t="s">
        <v>165</v>
      </c>
      <c r="K15" s="7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th_Settings xmlns="7bda426c-ce87-4e30-b0b7-bd53851ebe65" xsi:nil="true"/>
    <Has_Teacher_Only_SectionGroup xmlns="7bda426c-ce87-4e30-b0b7-bd53851ebe65" xsi:nil="true"/>
    <AppVersion xmlns="7bda426c-ce87-4e30-b0b7-bd53851ebe65" xsi:nil="true"/>
    <Self_Registration_Enabled xmlns="7bda426c-ce87-4e30-b0b7-bd53851ebe65" xsi:nil="true"/>
    <Invited_Students xmlns="7bda426c-ce87-4e30-b0b7-bd53851ebe65" xsi:nil="true"/>
    <DefaultSectionNames xmlns="7bda426c-ce87-4e30-b0b7-bd53851ebe65" xsi:nil="true"/>
    <Invited_Teachers xmlns="7bda426c-ce87-4e30-b0b7-bd53851ebe65" xsi:nil="true"/>
    <NotebookType xmlns="7bda426c-ce87-4e30-b0b7-bd53851ebe65" xsi:nil="true"/>
    <FolderType xmlns="7bda426c-ce87-4e30-b0b7-bd53851ebe65" xsi:nil="true"/>
    <CultureName xmlns="7bda426c-ce87-4e30-b0b7-bd53851ebe65" xsi:nil="true"/>
    <Students xmlns="7bda426c-ce87-4e30-b0b7-bd53851ebe65">
      <UserInfo>
        <DisplayName/>
        <AccountId xsi:nil="true"/>
        <AccountType/>
      </UserInfo>
    </Students>
    <Student_Groups xmlns="7bda426c-ce87-4e30-b0b7-bd53851ebe65">
      <UserInfo>
        <DisplayName/>
        <AccountId xsi:nil="true"/>
        <AccountType/>
      </UserInfo>
    </Student_Groups>
    <Distribution_Groups xmlns="7bda426c-ce87-4e30-b0b7-bd53851ebe65" xsi:nil="true"/>
    <Templates xmlns="7bda426c-ce87-4e30-b0b7-bd53851ebe65" xsi:nil="true"/>
    <TeamsChannelId xmlns="7bda426c-ce87-4e30-b0b7-bd53851ebe65" xsi:nil="true"/>
    <Owner xmlns="7bda426c-ce87-4e30-b0b7-bd53851ebe65">
      <UserInfo>
        <DisplayName/>
        <AccountId xsi:nil="true"/>
        <AccountType/>
      </UserInfo>
    </Owner>
    <Teachers xmlns="7bda426c-ce87-4e30-b0b7-bd53851ebe65">
      <UserInfo>
        <DisplayName/>
        <AccountId xsi:nil="true"/>
        <AccountType/>
      </UserInfo>
    </Teachers>
    <Is_Collaboration_Space_Locked xmlns="7bda426c-ce87-4e30-b0b7-bd53851ebe65" xsi:nil="true"/>
    <LMS_Mappings xmlns="7bda426c-ce87-4e30-b0b7-bd53851ebe65" xsi:nil="true"/>
    <IsNotebookLocked xmlns="7bda426c-ce87-4e30-b0b7-bd53851ebe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360F3DF0D7EC4EB2B54E7B4BA89595" ma:contentTypeVersion="30" ma:contentTypeDescription="Create a new document." ma:contentTypeScope="" ma:versionID="3f241f75fa7795ebd9823a84d043a80c">
  <xsd:schema xmlns:xsd="http://www.w3.org/2001/XMLSchema" xmlns:xs="http://www.w3.org/2001/XMLSchema" xmlns:p="http://schemas.microsoft.com/office/2006/metadata/properties" xmlns:ns2="7bda426c-ce87-4e30-b0b7-bd53851ebe65" xmlns:ns3="9b140ab8-5851-4480-97f9-c8047efe4da9" targetNamespace="http://schemas.microsoft.com/office/2006/metadata/properties" ma:root="true" ma:fieldsID="dc880e677dee9c7e26e32340f80af41a" ns2:_="" ns3:_="">
    <xsd:import namespace="7bda426c-ce87-4e30-b0b7-bd53851ebe65"/>
    <xsd:import namespace="9b140ab8-5851-4480-97f9-c8047efe4da9"/>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Teachers" minOccurs="0"/>
                <xsd:element ref="ns2:Students" minOccurs="0"/>
                <xsd:element ref="ns2:Student_Groups" minOccurs="0"/>
                <xsd:element ref="ns2:Distribution_Groups" minOccurs="0"/>
                <xsd:element ref="ns2:LMS_Mappings" minOccurs="0"/>
                <xsd:element ref="ns2:Invited_Teachers" minOccurs="0"/>
                <xsd:element ref="ns2:Invited_Students" minOccurs="0"/>
                <xsd:element ref="ns2:Self_Registration_Enabled" minOccurs="0"/>
                <xsd:element ref="ns2:Has_Teacher_Only_SectionGroup" minOccurs="0"/>
                <xsd:element ref="ns2:Is_Collaboration_Space_Locked" minOccurs="0"/>
                <xsd:element ref="ns2:IsNotebookLocked"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da426c-ce87-4e30-b0b7-bd53851ebe65"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Teachers" ma:index="17"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18"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19"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Teachers" ma:index="22" nillable="true" ma:displayName="Invited Teachers" ma:internalName="Invited_Teachers">
      <xsd:simpleType>
        <xsd:restriction base="dms:Note">
          <xsd:maxLength value="255"/>
        </xsd:restriction>
      </xsd:simpleType>
    </xsd:element>
    <xsd:element name="Invited_Students" ma:index="23" nillable="true" ma:displayName="Invited Students" ma:internalName="Invited_Student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Teacher_Only_SectionGroup" ma:index="25" nillable="true" ma:displayName="Has Teacher Only SectionGroup" ma:internalName="Has_Teacher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AutoTags" ma:index="34" nillable="true" ma:displayName="Tags" ma:internalName="MediaServiceAutoTags"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140ab8-5851-4480-97f9-c8047efe4da9"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095B28-7677-4AFF-AE72-79191791ED41}">
  <ds:schemaRefs>
    <ds:schemaRef ds:uri="http://schemas.microsoft.com/office/2006/metadata/properties"/>
    <ds:schemaRef ds:uri="http://schemas.microsoft.com/office/infopath/2007/PartnerControls"/>
    <ds:schemaRef ds:uri="7bda426c-ce87-4e30-b0b7-bd53851ebe65"/>
  </ds:schemaRefs>
</ds:datastoreItem>
</file>

<file path=customXml/itemProps2.xml><?xml version="1.0" encoding="utf-8"?>
<ds:datastoreItem xmlns:ds="http://schemas.openxmlformats.org/officeDocument/2006/customXml" ds:itemID="{7092D8C1-E085-42B1-A1D9-C118A929CE47}">
  <ds:schemaRefs>
    <ds:schemaRef ds:uri="http://schemas.microsoft.com/sharepoint/v3/contenttype/forms"/>
  </ds:schemaRefs>
</ds:datastoreItem>
</file>

<file path=customXml/itemProps3.xml><?xml version="1.0" encoding="utf-8"?>
<ds:datastoreItem xmlns:ds="http://schemas.openxmlformats.org/officeDocument/2006/customXml" ds:itemID="{0C085262-9370-4551-B867-094779C97A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da426c-ce87-4e30-b0b7-bd53851ebe65"/>
    <ds:schemaRef ds:uri="9b140ab8-5851-4480-97f9-c8047efe4d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P1. Project Title </vt:lpstr>
      <vt:lpstr>P2. Project Description</vt:lpstr>
      <vt:lpstr>Index</vt:lpstr>
      <vt:lpstr>S1. Ore_Extraction</vt:lpstr>
      <vt:lpstr>S1. Ore_Extraction_Benef_Pellet</vt:lpstr>
      <vt:lpstr>S1. Rail Transport</vt:lpstr>
      <vt:lpstr>S1. Dry Bulk Shipping</vt:lpstr>
      <vt:lpstr>S1. Ironmaking_DRI_ESF</vt:lpstr>
      <vt:lpstr>S1. Ironmaking_DRI_HBI</vt:lpstr>
      <vt:lpstr>S1. Steelmaking_DRI_ESF_BOF</vt:lpstr>
      <vt:lpstr>S1. Steelmaking_DRI_EAF</vt:lpstr>
      <vt:lpstr>S1. Steelmaking_EAF</vt:lpstr>
      <vt:lpstr>S1. Steelmaking_BOF</vt:lpstr>
      <vt:lpstr>S1. AmmoniaProduction</vt:lpstr>
      <vt:lpstr>S1. AmmoniaCracking</vt:lpstr>
      <vt:lpstr>S1. MethanolProduction</vt:lpstr>
      <vt:lpstr>S1. SyntheticNGProduction</vt:lpstr>
      <vt:lpstr>S1. SyntheticNGLiquefaction</vt:lpstr>
      <vt:lpstr>S1. LiquidSNGRegass</vt:lpstr>
      <vt:lpstr>S1. LOHCProduction</vt:lpstr>
      <vt:lpstr>S1. LOHCReconversion</vt:lpstr>
      <vt:lpstr>S1. LiquidH2Production</vt:lpstr>
      <vt:lpstr>S1. LiquidH2Regass</vt:lpstr>
      <vt:lpstr>S3. Shipping Route Data</vt:lpstr>
      <vt:lpstr>A1. Ranges</vt:lpstr>
      <vt:lpstr>A2.OreExtractCostYearAdjust</vt:lpstr>
      <vt:lpstr>A3. RailTransportCostYearAdjust</vt:lpstr>
      <vt:lpstr>A4. ShippingCostYearAdjust</vt:lpstr>
      <vt:lpstr>A5. IronSteelCostYearAdjust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Muhammad Haider Ali Khan</cp:lastModifiedBy>
  <cp:revision/>
  <dcterms:created xsi:type="dcterms:W3CDTF">2021-06-18T00:41:05Z</dcterms:created>
  <dcterms:modified xsi:type="dcterms:W3CDTF">2025-11-07T00:13:40Z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0x010100AD360F3DF0D7EC4EB2B54E7B4BA89595</vt:lpwstr>
  </property>
</Properties>
</file>