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baro\Downloads\"/>
    </mc:Choice>
  </mc:AlternateContent>
  <xr:revisionPtr revIDLastSave="0" documentId="13_ncr:1_{7849D8F4-0549-4A1A-B16E-BE5FF9D845DE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Instrucciones" sheetId="1" r:id="rId1"/>
    <sheet name="Mapeo" sheetId="2" r:id="rId2"/>
    <sheet name="Transacciones" sheetId="3" r:id="rId3"/>
    <sheet name="DB Facturas" sheetId="4" r:id="rId4"/>
    <sheet name="Flujo de caja" sheetId="5" r:id="rId5"/>
    <sheet name="Calendario fisca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0" i="3" l="1"/>
  <c r="F30" i="3"/>
  <c r="E30" i="3"/>
  <c r="D30" i="3"/>
  <c r="G29" i="3"/>
  <c r="F29" i="3"/>
  <c r="E29" i="3"/>
  <c r="D29" i="3"/>
  <c r="G28" i="3"/>
  <c r="F28" i="3"/>
  <c r="E28" i="3"/>
  <c r="D28" i="3"/>
  <c r="G27" i="3"/>
  <c r="F27" i="3"/>
  <c r="E27" i="3"/>
  <c r="D27" i="3"/>
  <c r="B30" i="3"/>
  <c r="B29" i="3"/>
  <c r="B28" i="3"/>
  <c r="B27" i="3"/>
  <c r="G26" i="3"/>
  <c r="F26" i="3"/>
  <c r="E26" i="3"/>
  <c r="D26" i="3"/>
  <c r="B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G8" i="3"/>
  <c r="G7" i="3"/>
  <c r="G6" i="3"/>
  <c r="G5" i="3"/>
  <c r="G4" i="3"/>
  <c r="M38" i="5"/>
  <c r="L38" i="5"/>
  <c r="K38" i="5"/>
  <c r="J38" i="5"/>
  <c r="I38" i="5"/>
  <c r="H38" i="5"/>
  <c r="G38" i="5"/>
  <c r="F38" i="5"/>
  <c r="E38" i="5"/>
  <c r="D38" i="5"/>
  <c r="C38" i="5"/>
  <c r="B38" i="5"/>
  <c r="M36" i="5"/>
  <c r="L36" i="5"/>
  <c r="K36" i="5"/>
  <c r="J36" i="5"/>
  <c r="I36" i="5"/>
  <c r="H36" i="5"/>
  <c r="G36" i="5"/>
  <c r="F36" i="5"/>
  <c r="E36" i="5"/>
  <c r="D36" i="5"/>
  <c r="C36" i="5"/>
  <c r="B36" i="5"/>
  <c r="M6" i="5"/>
  <c r="M10" i="5" s="1"/>
  <c r="L6" i="5"/>
  <c r="L10" i="5" s="1"/>
  <c r="K6" i="5"/>
  <c r="K10" i="5" s="1"/>
  <c r="J6" i="5"/>
  <c r="J10" i="5" s="1"/>
  <c r="I6" i="5"/>
  <c r="I18" i="5" s="1"/>
  <c r="H6" i="5"/>
  <c r="H18" i="5" s="1"/>
  <c r="G6" i="5"/>
  <c r="G18" i="5" s="1"/>
  <c r="F6" i="5"/>
  <c r="F18" i="5" s="1"/>
  <c r="E6" i="5"/>
  <c r="E10" i="5" s="1"/>
  <c r="D6" i="5"/>
  <c r="D10" i="5" s="1"/>
  <c r="C6" i="5"/>
  <c r="C10" i="5" s="1"/>
  <c r="B6" i="5"/>
  <c r="B10" i="5" s="1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G15" i="4"/>
  <c r="H15" i="4" s="1"/>
  <c r="H14" i="4"/>
  <c r="G14" i="4"/>
  <c r="H13" i="4"/>
  <c r="G13" i="4"/>
  <c r="G12" i="4"/>
  <c r="H12" i="4" s="1"/>
  <c r="G11" i="4"/>
  <c r="H11" i="4" s="1"/>
  <c r="H10" i="4"/>
  <c r="G10" i="4"/>
  <c r="H9" i="4"/>
  <c r="G9" i="4"/>
  <c r="G8" i="4"/>
  <c r="H8" i="4" s="1"/>
  <c r="H7" i="4"/>
  <c r="G7" i="4"/>
  <c r="H6" i="4"/>
  <c r="G6" i="4"/>
  <c r="H5" i="4"/>
  <c r="G5" i="4"/>
  <c r="G4" i="4"/>
  <c r="H4" i="4" s="1"/>
  <c r="E25" i="3"/>
  <c r="D25" i="3"/>
  <c r="B25" i="3"/>
  <c r="E24" i="3"/>
  <c r="D24" i="3"/>
  <c r="B24" i="3"/>
  <c r="E23" i="3"/>
  <c r="D23" i="3"/>
  <c r="B23" i="3"/>
  <c r="E22" i="3"/>
  <c r="D22" i="3"/>
  <c r="B22" i="3"/>
  <c r="E21" i="3"/>
  <c r="D21" i="3"/>
  <c r="B21" i="3"/>
  <c r="E20" i="3"/>
  <c r="D20" i="3"/>
  <c r="B20" i="3"/>
  <c r="E19" i="3"/>
  <c r="D19" i="3"/>
  <c r="B19" i="3"/>
  <c r="E18" i="3"/>
  <c r="D18" i="3"/>
  <c r="B18" i="3"/>
  <c r="E17" i="3"/>
  <c r="D17" i="3"/>
  <c r="B17" i="3"/>
  <c r="E16" i="3"/>
  <c r="D16" i="3"/>
  <c r="B16" i="3"/>
  <c r="E15" i="3"/>
  <c r="D15" i="3"/>
  <c r="B15" i="3"/>
  <c r="E14" i="3"/>
  <c r="D14" i="3"/>
  <c r="B14" i="3"/>
  <c r="E13" i="3"/>
  <c r="D13" i="3"/>
  <c r="B13" i="3"/>
  <c r="E12" i="3"/>
  <c r="D12" i="3"/>
  <c r="B12" i="3"/>
  <c r="E11" i="3"/>
  <c r="D11" i="3"/>
  <c r="B11" i="3"/>
  <c r="E10" i="3"/>
  <c r="D10" i="3"/>
  <c r="B10" i="3"/>
  <c r="E9" i="3"/>
  <c r="D9" i="3"/>
  <c r="B9" i="3"/>
  <c r="E8" i="3"/>
  <c r="D8" i="3"/>
  <c r="B8" i="3"/>
  <c r="E7" i="3"/>
  <c r="D7" i="3"/>
  <c r="J20" i="5" s="1"/>
  <c r="B7" i="3"/>
  <c r="E6" i="3"/>
  <c r="D6" i="3"/>
  <c r="B6" i="3"/>
  <c r="E5" i="3"/>
  <c r="D5" i="3"/>
  <c r="B5" i="3"/>
  <c r="E4" i="3"/>
  <c r="D4" i="3"/>
  <c r="B4" i="3"/>
  <c r="G22" i="5" l="1"/>
  <c r="F22" i="5"/>
  <c r="F24" i="5"/>
  <c r="F23" i="5" s="1"/>
  <c r="B22" i="5"/>
  <c r="H24" i="5"/>
  <c r="H23" i="5" s="1"/>
  <c r="D22" i="5"/>
  <c r="G24" i="5"/>
  <c r="G23" i="5" s="1"/>
  <c r="H22" i="5"/>
  <c r="I24" i="5"/>
  <c r="I23" i="5" s="1"/>
  <c r="I22" i="5"/>
  <c r="B24" i="5"/>
  <c r="B23" i="5" s="1"/>
  <c r="J24" i="5"/>
  <c r="J23" i="5" s="1"/>
  <c r="J22" i="5"/>
  <c r="C24" i="5"/>
  <c r="C23" i="5" s="1"/>
  <c r="K24" i="5"/>
  <c r="K23" i="5" s="1"/>
  <c r="L22" i="5"/>
  <c r="D24" i="5"/>
  <c r="D23" i="5" s="1"/>
  <c r="L24" i="5"/>
  <c r="L23" i="5" s="1"/>
  <c r="B4" i="5"/>
  <c r="E24" i="5"/>
  <c r="E23" i="5" s="1"/>
  <c r="M24" i="5"/>
  <c r="M23" i="5" s="1"/>
  <c r="C22" i="5"/>
  <c r="K22" i="5"/>
  <c r="E22" i="5"/>
  <c r="M22" i="5"/>
  <c r="L19" i="5"/>
  <c r="M21" i="5"/>
  <c r="J18" i="5"/>
  <c r="C18" i="5"/>
  <c r="K18" i="5"/>
  <c r="D18" i="5"/>
  <c r="L18" i="5"/>
  <c r="E18" i="5"/>
  <c r="M18" i="5"/>
  <c r="F21" i="5"/>
  <c r="G19" i="5"/>
  <c r="C20" i="5"/>
  <c r="C17" i="5" s="1"/>
  <c r="K20" i="5"/>
  <c r="K17" i="5" s="1"/>
  <c r="G21" i="5"/>
  <c r="B20" i="5"/>
  <c r="H19" i="5"/>
  <c r="D20" i="5"/>
  <c r="D17" i="5" s="1"/>
  <c r="L20" i="5"/>
  <c r="H21" i="5"/>
  <c r="F19" i="5"/>
  <c r="I19" i="5"/>
  <c r="E20" i="5"/>
  <c r="E17" i="5" s="1"/>
  <c r="M20" i="5"/>
  <c r="M17" i="5" s="1"/>
  <c r="I21" i="5"/>
  <c r="B19" i="5"/>
  <c r="J19" i="5"/>
  <c r="F20" i="5"/>
  <c r="F17" i="5" s="1"/>
  <c r="F26" i="5" s="1"/>
  <c r="B21" i="5"/>
  <c r="J21" i="5"/>
  <c r="C19" i="5"/>
  <c r="K19" i="5"/>
  <c r="G20" i="5"/>
  <c r="G17" i="5" s="1"/>
  <c r="C21" i="5"/>
  <c r="K21" i="5"/>
  <c r="D19" i="5"/>
  <c r="H20" i="5"/>
  <c r="H17" i="5" s="1"/>
  <c r="H26" i="5" s="1"/>
  <c r="D21" i="5"/>
  <c r="L21" i="5"/>
  <c r="E19" i="5"/>
  <c r="M19" i="5"/>
  <c r="I20" i="5"/>
  <c r="I17" i="5" s="1"/>
  <c r="E21" i="5"/>
  <c r="B18" i="5"/>
  <c r="I10" i="5"/>
  <c r="F11" i="5"/>
  <c r="H11" i="5"/>
  <c r="F10" i="5"/>
  <c r="G10" i="5"/>
  <c r="H10" i="5"/>
  <c r="B13" i="5"/>
  <c r="B12" i="5" s="1"/>
  <c r="J13" i="5"/>
  <c r="J12" i="5" s="1"/>
  <c r="J17" i="5"/>
  <c r="G11" i="5"/>
  <c r="C13" i="5"/>
  <c r="C12" i="5" s="1"/>
  <c r="K13" i="5"/>
  <c r="K12" i="5" s="1"/>
  <c r="I11" i="5"/>
  <c r="E13" i="5"/>
  <c r="E12" i="5" s="1"/>
  <c r="M13" i="5"/>
  <c r="M12" i="5" s="1"/>
  <c r="B11" i="5"/>
  <c r="B9" i="5" s="1"/>
  <c r="J11" i="5"/>
  <c r="J9" i="5" s="1"/>
  <c r="F13" i="5"/>
  <c r="F12" i="5" s="1"/>
  <c r="C11" i="5"/>
  <c r="C9" i="5" s="1"/>
  <c r="K11" i="5"/>
  <c r="K9" i="5" s="1"/>
  <c r="G13" i="5"/>
  <c r="G12" i="5" s="1"/>
  <c r="D13" i="5"/>
  <c r="D12" i="5" s="1"/>
  <c r="L13" i="5"/>
  <c r="L12" i="5" s="1"/>
  <c r="L17" i="5"/>
  <c r="D11" i="5"/>
  <c r="D9" i="5" s="1"/>
  <c r="L11" i="5"/>
  <c r="L9" i="5" s="1"/>
  <c r="H13" i="5"/>
  <c r="H12" i="5" s="1"/>
  <c r="E11" i="5"/>
  <c r="E9" i="5" s="1"/>
  <c r="M11" i="5"/>
  <c r="M9" i="5" s="1"/>
  <c r="I13" i="5"/>
  <c r="I12" i="5" s="1"/>
  <c r="M26" i="5" l="1"/>
  <c r="I9" i="5"/>
  <c r="I15" i="5" s="1"/>
  <c r="L26" i="5"/>
  <c r="D26" i="5"/>
  <c r="I26" i="5"/>
  <c r="K26" i="5"/>
  <c r="G26" i="5"/>
  <c r="C26" i="5"/>
  <c r="E26" i="5"/>
  <c r="J26" i="5"/>
  <c r="J15" i="5"/>
  <c r="B17" i="5"/>
  <c r="B26" i="5" s="1"/>
  <c r="B15" i="5"/>
  <c r="F9" i="5"/>
  <c r="F15" i="5" s="1"/>
  <c r="F28" i="5" s="1"/>
  <c r="H9" i="5"/>
  <c r="H15" i="5" s="1"/>
  <c r="H28" i="5" s="1"/>
  <c r="G9" i="5"/>
  <c r="G15" i="5" s="1"/>
  <c r="M15" i="5"/>
  <c r="L15" i="5"/>
  <c r="E15" i="5"/>
  <c r="D15" i="5"/>
  <c r="K15" i="5"/>
  <c r="C15" i="5"/>
  <c r="L28" i="5" l="1"/>
  <c r="K28" i="5"/>
  <c r="J28" i="5"/>
  <c r="D28" i="5"/>
  <c r="C28" i="5"/>
  <c r="E28" i="5"/>
  <c r="M28" i="5"/>
  <c r="B28" i="5"/>
  <c r="B30" i="5" s="1"/>
  <c r="C7" i="5" s="1"/>
  <c r="G28" i="5"/>
  <c r="I28" i="5"/>
  <c r="C30" i="5" l="1"/>
  <c r="D7" i="5" s="1"/>
  <c r="D30" i="5" s="1"/>
  <c r="E7" i="5" s="1"/>
  <c r="E30" i="5" l="1"/>
  <c r="F7" i="5" s="1"/>
  <c r="F30" i="5" l="1"/>
  <c r="G7" i="5" s="1"/>
  <c r="G30" i="5" l="1"/>
  <c r="H7" i="5" s="1"/>
  <c r="H30" i="5" l="1"/>
  <c r="I7" i="5" s="1"/>
  <c r="I30" i="5" l="1"/>
  <c r="J7" i="5" s="1"/>
  <c r="J30" i="5" l="1"/>
  <c r="K7" i="5" s="1"/>
  <c r="K30" i="5" l="1"/>
  <c r="L7" i="5" s="1"/>
  <c r="L30" i="5" l="1"/>
  <c r="M7" i="5" s="1"/>
  <c r="M30" i="5" s="1"/>
</calcChain>
</file>

<file path=xl/sharedStrings.xml><?xml version="1.0" encoding="utf-8"?>
<sst xmlns="http://schemas.openxmlformats.org/spreadsheetml/2006/main" count="244" uniqueCount="135">
  <si>
    <t>Plantilla de Flujo de Efectivo — ILIO</t>
  </si>
  <si>
    <t>Cómo está armada esta plantilla</t>
  </si>
  <si>
    <t>Esta plantilla combina dos fuentes de datos, igual que un sistema de flujo de caja real:</t>
  </si>
  <si>
    <t>1. Transacciones (banco): tus movimientos bancarios ya categorizados. Cada concepto se etiqueta automáticamente como Ingreso/Egreso y Fija/Variable usando la pestaña Mapeo.</t>
  </si>
  <si>
    <t>2. DB Facturas (CXC/CXP): tus facturas por cobrar y por pagar. La fecha esperada de cobro/pago se calcula sola (fecha de emisión + días de crédito), y las facturas canceladas se excluyen automáticamente de la proyección.</t>
  </si>
  <si>
    <t>La pestaña Flujo de caja junta ambas fuentes en el reporte mensual de 12 meses: los ingresos y egresos ya registrados en el banco, más las facturas todavía pendientes de cobro o pago.</t>
  </si>
  <si>
    <t>Orden para llenarla</t>
  </si>
  <si>
    <t>1. Pestaña Mapeo: revisa o ajusta la lista de conceptos (nómina, renta, proveedores, etc.) y su clasificación Fija/Variable.</t>
  </si>
  <si>
    <t>2. Pestaña Transacciones: captura tus movimientos bancarios. La Categoría y Clasificación se llenan solas si el concepto existe en Mapeo.</t>
  </si>
  <si>
    <t>3. Pestaña DB Facturas: captura tus facturas por cobrar (CXC) y por pagar (CXP) con su fecha de emisión y días de crédito. Actualiza el Status cuando se cobren, paguen o cancelen.</t>
  </si>
  <si>
    <t>4. Pestaña Flujo de caja: no la edites — se calcula sola a partir de las otras tres. Revisa el Saldo final cada mes.</t>
  </si>
  <si>
    <t>5. Pestaña Calendario fiscal: referencia para no olvidar tus obligaciones recurrentes al capturar tus transacciones fijas.</t>
  </si>
  <si>
    <t>Código de color</t>
  </si>
  <si>
    <t>Texto azul: Celda que debes llenar tú (dato de entrada).</t>
  </si>
  <si>
    <t>Texto negro: Fórmula. No la edites — se calcula sola.</t>
  </si>
  <si>
    <t>Relleno amarillo: Supuesto clave (fecha de inicio de la proyección).</t>
  </si>
  <si>
    <t>Los datos de ejemplo (clientes, proveedores y montos) son ficticios — bórralos y captura los tuyos.</t>
  </si>
  <si>
    <t>Basado en la guía: Cómo hacer una proyección de flujo de efectivo en Excel — ILIO (ilio.mx/blog)</t>
  </si>
  <si>
    <t>Mapeo de categorías</t>
  </si>
  <si>
    <t>Concepto</t>
  </si>
  <si>
    <t>Categoría</t>
  </si>
  <si>
    <t>CLIENTE MOSTRADOR RETAIL SA - CMR190304T22 - PAGO CONTADO</t>
  </si>
  <si>
    <t>Ingreso</t>
  </si>
  <si>
    <t>REEMBOLSO SEGUROS QUALITAS SA - RSQ080715B41</t>
  </si>
  <si>
    <t>DISPERSION NOMINA - NALOG PAYROLL SC</t>
  </si>
  <si>
    <t>Egreso</t>
  </si>
  <si>
    <t>Fija</t>
  </si>
  <si>
    <t>INMOBILIARIA VISTA NORTE SA - IVN140922KP5 - RENTA MENSUAL</t>
  </si>
  <si>
    <t>SUA IMSS INFONAVIT - PAGO CUOTAS OBRERO PATRONAL</t>
  </si>
  <si>
    <t>SAT PAGO REFERENCIADO - DECL ISR IVA PROV</t>
  </si>
  <si>
    <t>BANORTE CREDITO PYME - PAGO MENSUALIDAD PREST 0043</t>
  </si>
  <si>
    <t>COMPONENTES DEL BAJIO SA DE - CBJ910604M39 - OC2210-014</t>
  </si>
  <si>
    <t>Variable</t>
  </si>
  <si>
    <t>FERRETERA Y SUMINISTROS GDL SA - FSG160812RT8</t>
  </si>
  <si>
    <t>COMISION MANEJO DE CUENTA - BANORTE PYME</t>
  </si>
  <si>
    <t>META PLATFORMS ADS MX - PUBLICIDAD DIGITAL ENE</t>
  </si>
  <si>
    <t>RETIRO DEP. ELECTRONICO</t>
  </si>
  <si>
    <t>Agrega más filas si necesitas más conceptos. Transacciones busca coincidencia exacta con esta columna.</t>
  </si>
  <si>
    <t>Transacciones (banco)</t>
  </si>
  <si>
    <t>Fecha</t>
  </si>
  <si>
    <t>Mes</t>
  </si>
  <si>
    <t>Monto</t>
  </si>
  <si>
    <t>DB Facturas — CXC / CXP</t>
  </si>
  <si>
    <t>Folio</t>
  </si>
  <si>
    <t>Cliente / Proveedor</t>
  </si>
  <si>
    <t>Tipo</t>
  </si>
  <si>
    <t>Status</t>
  </si>
  <si>
    <t>Fecha emisión</t>
  </si>
  <si>
    <t>Días crédito</t>
  </si>
  <si>
    <t>Fecha esperada</t>
  </si>
  <si>
    <t>Mes esperado</t>
  </si>
  <si>
    <t>F001</t>
  </si>
  <si>
    <t>Cliente A</t>
  </si>
  <si>
    <t>CXC</t>
  </si>
  <si>
    <t>Pagada</t>
  </si>
  <si>
    <t>F002</t>
  </si>
  <si>
    <t>Cliente B</t>
  </si>
  <si>
    <t>F003</t>
  </si>
  <si>
    <t>Vigente</t>
  </si>
  <si>
    <t>F004</t>
  </si>
  <si>
    <t>Cliente C</t>
  </si>
  <si>
    <t>Cancelada</t>
  </si>
  <si>
    <t>F005</t>
  </si>
  <si>
    <t>F006</t>
  </si>
  <si>
    <t>F007</t>
  </si>
  <si>
    <t>Cliente D</t>
  </si>
  <si>
    <t>F008</t>
  </si>
  <si>
    <t>P001</t>
  </si>
  <si>
    <t>Proveedor A</t>
  </si>
  <si>
    <t>CXP</t>
  </si>
  <si>
    <t>P002</t>
  </si>
  <si>
    <t>P003</t>
  </si>
  <si>
    <t>Proveedor B</t>
  </si>
  <si>
    <t>P004</t>
  </si>
  <si>
    <t>Status esperados: Vigente, Pagada, Cancelada. Solo las 'Vigente' se proyectan en Flujo de caja; las 'Pagada' ya deben estar en Transacciones.</t>
  </si>
  <si>
    <t>Flujo de Efectivo — 12 Meses</t>
  </si>
  <si>
    <t>Mes de inicio (día 1):</t>
  </si>
  <si>
    <t>Saldo inicial</t>
  </si>
  <si>
    <t>Total entradas</t>
  </si>
  <si>
    <t>Saldo final</t>
  </si>
  <si>
    <t>No edites esta hoja: se calcula sola desde Transacciones y DB Facturas. Datos de ejemplo ficticios.</t>
  </si>
  <si>
    <t>Seguimiento: proyectado vs. real (llena al cierre de cada mes)</t>
  </si>
  <si>
    <t>Entradas real</t>
  </si>
  <si>
    <t>% desviación entradas</t>
  </si>
  <si>
    <t>Saldo final real</t>
  </si>
  <si>
    <t>% desviación saldo final</t>
  </si>
  <si>
    <t>Calendario fiscal recurrente — México</t>
  </si>
  <si>
    <t>Obligación</t>
  </si>
  <si>
    <t>Periodicidad</t>
  </si>
  <si>
    <t>Fecha aproximada</t>
  </si>
  <si>
    <t>Notas</t>
  </si>
  <si>
    <t>ISR (pago provisional)</t>
  </si>
  <si>
    <t>Mensual</t>
  </si>
  <si>
    <t>Día 17*</t>
  </si>
  <si>
    <t>*Ajustado según el sexto dígito del RFC.</t>
  </si>
  <si>
    <t>IVA</t>
  </si>
  <si>
    <t>DIOT</t>
  </si>
  <si>
    <t>Si estás obligado a presentarla.</t>
  </si>
  <si>
    <t>IMSS / Infonavit</t>
  </si>
  <si>
    <t>Bimestral</t>
  </si>
  <si>
    <t>Cuotas obrero-patronales, si tienes empleados.</t>
  </si>
  <si>
    <t>PTU</t>
  </si>
  <si>
    <t>Anual</t>
  </si>
  <si>
    <t>Mayo</t>
  </si>
  <si>
    <t>10% de la utilidad fiscal del ejercicio anterior. Se paga dentro de los 60 días siguientes a la declaración anual.</t>
  </si>
  <si>
    <t>Aguinaldo</t>
  </si>
  <si>
    <t>Diciembre</t>
  </si>
  <si>
    <t>Mínimo 15 días de salario por ley. Revisa tu política interna.</t>
  </si>
  <si>
    <t>Declaración anual — personas morales</t>
  </si>
  <si>
    <t>Marzo</t>
  </si>
  <si>
    <t>Declaración anual — personas físicas con actividad empresarial</t>
  </si>
  <si>
    <t>Abril</t>
  </si>
  <si>
    <t>Referencia: guía "Cómo hacer una proyección de flujo de efectivo en Excel" — ilio.mx/blog</t>
  </si>
  <si>
    <t>Clasificación 1</t>
  </si>
  <si>
    <t>Clasificación 2</t>
  </si>
  <si>
    <t>Renta</t>
  </si>
  <si>
    <t>Impuestos</t>
  </si>
  <si>
    <t>Reembolso de crédito</t>
  </si>
  <si>
    <t>Flujo operativo</t>
  </si>
  <si>
    <t>Flujo financiero</t>
  </si>
  <si>
    <t>Pago a proveedores</t>
  </si>
  <si>
    <t>Comisiones bancarias</t>
  </si>
  <si>
    <t>Marketing</t>
  </si>
  <si>
    <t>Otros gastos</t>
  </si>
  <si>
    <t>Clasificación 3</t>
  </si>
  <si>
    <t>Cobranza a clientes</t>
  </si>
  <si>
    <t>Reembolso de seguro</t>
  </si>
  <si>
    <t>Personal</t>
  </si>
  <si>
    <t>CxC</t>
  </si>
  <si>
    <t>CxP</t>
  </si>
  <si>
    <t>Mes en curso</t>
  </si>
  <si>
    <t>En verde</t>
  </si>
  <si>
    <t>Total salidas</t>
  </si>
  <si>
    <t>Flujo neto</t>
  </si>
  <si>
    <r>
      <rPr>
        <b/>
        <i/>
        <u/>
        <sz val="9"/>
        <color rgb="FF5B6472"/>
        <rFont val="Arial"/>
        <family val="2"/>
      </rPr>
      <t>NB</t>
    </r>
    <r>
      <rPr>
        <i/>
        <sz val="9"/>
        <color rgb="FF5B6472"/>
        <rFont val="Arial"/>
        <family val="2"/>
      </rPr>
      <t>: Incluye pagos fijos recurrentes (por ejemplo, renta y personal)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</si>
</sst>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"/>
    <numFmt numFmtId="165" formatCode="\$#,##0;&quot;($&quot;#,##0\)"/>
    <numFmt numFmtId="166" formatCode="mmm\-yyyy"/>
    <numFmt numFmtId="167" formatCode="0.0%;\(0.0%\)"/>
    <numFmt numFmtId="168" formatCode="#,##0.0_);\(#,##0.0\);\-_)"/>
  </numFmts>
  <fonts count="1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0F1E3D"/>
      <name val="Arial"/>
      <family val="2"/>
    </font>
    <font>
      <b/>
      <sz val="12"/>
      <color rgb="FF0F1E3D"/>
      <name val="Arial"/>
      <family val="2"/>
    </font>
    <font>
      <sz val="10"/>
      <color rgb="FF000000"/>
      <name val="Arial"/>
      <family val="2"/>
    </font>
    <font>
      <i/>
      <sz val="9"/>
      <color rgb="FF5B6472"/>
      <name val="Arial"/>
      <family val="2"/>
    </font>
    <font>
      <b/>
      <sz val="16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0"/>
      <color rgb="FF0F1E3D"/>
      <name val="Arial"/>
      <family val="2"/>
    </font>
    <font>
      <sz val="10"/>
      <color rgb="FF0F1E3D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10"/>
      <color rgb="FF0000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i/>
      <u/>
      <sz val="9"/>
      <color rgb="FF5B647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F1E3D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6F7F9"/>
        <bgColor rgb="FFFFFFFF"/>
      </patternFill>
    </fill>
    <fill>
      <patternFill patternType="solid">
        <fgColor rgb="FF16A34A"/>
        <bgColor rgb="FF008080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00B050"/>
        <bgColor rgb="FF333333"/>
      </patternFill>
    </fill>
    <fill>
      <patternFill patternType="solid">
        <fgColor rgb="FF002060"/>
        <bgColor rgb="FFFFFFFF"/>
      </patternFill>
    </fill>
  </fills>
  <borders count="2">
    <border>
      <left/>
      <right/>
      <top/>
      <bottom/>
      <diagonal/>
    </border>
    <border>
      <left style="thin">
        <color rgb="FFE7E9EC"/>
      </left>
      <right style="thin">
        <color rgb="FFE7E9EC"/>
      </right>
      <top style="thin">
        <color rgb="FFE7E9EC"/>
      </top>
      <bottom style="thin">
        <color rgb="FFE7E9EC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2" fillId="5" borderId="0" xfId="0" applyFont="1" applyFill="1" applyBorder="1"/>
    <xf numFmtId="0" fontId="6" fillId="2" borderId="0" xfId="0" applyFont="1" applyFill="1" applyBorder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7" fillId="2" borderId="1" xfId="0" applyFont="1" applyFill="1" applyBorder="1"/>
    <xf numFmtId="0" fontId="8" fillId="0" borderId="1" xfId="0" applyFont="1" applyBorder="1"/>
    <xf numFmtId="164" fontId="8" fillId="0" borderId="1" xfId="0" applyNumberFormat="1" applyFont="1" applyBorder="1"/>
    <xf numFmtId="17" fontId="4" fillId="0" borderId="1" xfId="0" applyNumberFormat="1" applyFont="1" applyBorder="1"/>
    <xf numFmtId="0" fontId="4" fillId="0" borderId="1" xfId="0" applyFont="1" applyBorder="1"/>
    <xf numFmtId="165" fontId="8" fillId="0" borderId="1" xfId="0" applyNumberFormat="1" applyFont="1" applyBorder="1"/>
    <xf numFmtId="0" fontId="0" fillId="0" borderId="1" xfId="0" applyBorder="1"/>
    <xf numFmtId="165" fontId="0" fillId="0" borderId="1" xfId="0" applyNumberFormat="1" applyBorder="1"/>
    <xf numFmtId="0" fontId="7" fillId="2" borderId="1" xfId="0" applyFont="1" applyFill="1" applyBorder="1" applyAlignment="1">
      <alignment vertical="center" wrapText="1"/>
    </xf>
    <xf numFmtId="164" fontId="4" fillId="0" borderId="1" xfId="0" applyNumberFormat="1" applyFont="1" applyBorder="1"/>
    <xf numFmtId="0" fontId="9" fillId="0" borderId="0" xfId="0" applyFont="1"/>
    <xf numFmtId="166" fontId="8" fillId="3" borderId="1" xfId="0" applyNumberFormat="1" applyFont="1" applyFill="1" applyBorder="1"/>
    <xf numFmtId="0" fontId="7" fillId="2" borderId="0" xfId="0" applyFont="1" applyFill="1"/>
    <xf numFmtId="17" fontId="7" fillId="2" borderId="0" xfId="0" applyNumberFormat="1" applyFont="1" applyFill="1" applyAlignment="1">
      <alignment horizontal="center"/>
    </xf>
    <xf numFmtId="0" fontId="9" fillId="0" borderId="1" xfId="0" applyFont="1" applyBorder="1"/>
    <xf numFmtId="165" fontId="4" fillId="0" borderId="1" xfId="0" applyNumberFormat="1" applyFont="1" applyBorder="1"/>
    <xf numFmtId="0" fontId="10" fillId="0" borderId="1" xfId="0" applyFont="1" applyBorder="1"/>
    <xf numFmtId="0" fontId="9" fillId="4" borderId="1" xfId="0" applyFont="1" applyFill="1" applyBorder="1"/>
    <xf numFmtId="165" fontId="11" fillId="4" borderId="1" xfId="0" applyNumberFormat="1" applyFont="1" applyFill="1" applyBorder="1"/>
    <xf numFmtId="0" fontId="11" fillId="4" borderId="1" xfId="0" applyFont="1" applyFill="1" applyBorder="1"/>
    <xf numFmtId="167" fontId="4" fillId="0" borderId="1" xfId="0" applyNumberFormat="1" applyFont="1" applyBorder="1"/>
    <xf numFmtId="0" fontId="4" fillId="0" borderId="1" xfId="0" applyFont="1" applyBorder="1" applyAlignment="1">
      <alignment vertical="top" wrapText="1"/>
    </xf>
    <xf numFmtId="0" fontId="6" fillId="2" borderId="0" xfId="0" applyFont="1" applyFill="1" applyBorder="1" applyAlignment="1">
      <alignment vertical="center"/>
    </xf>
    <xf numFmtId="0" fontId="4" fillId="0" borderId="1" xfId="0" applyFont="1" applyBorder="1" applyAlignment="1">
      <alignment horizontal="left"/>
    </xf>
    <xf numFmtId="168" fontId="9" fillId="4" borderId="1" xfId="0" applyNumberFormat="1" applyFont="1" applyFill="1" applyBorder="1"/>
    <xf numFmtId="0" fontId="10" fillId="0" borderId="1" xfId="0" applyFont="1" applyBorder="1" applyAlignment="1">
      <alignment horizontal="left" indent="1"/>
    </xf>
    <xf numFmtId="165" fontId="11" fillId="0" borderId="1" xfId="0" applyNumberFormat="1" applyFont="1" applyBorder="1"/>
    <xf numFmtId="165" fontId="13" fillId="3" borderId="1" xfId="0" applyNumberFormat="1" applyFont="1" applyFill="1" applyBorder="1"/>
    <xf numFmtId="0" fontId="9" fillId="6" borderId="1" xfId="0" applyFont="1" applyFill="1" applyBorder="1"/>
    <xf numFmtId="165" fontId="11" fillId="6" borderId="1" xfId="0" applyNumberFormat="1" applyFont="1" applyFill="1" applyBorder="1"/>
    <xf numFmtId="0" fontId="9" fillId="0" borderId="1" xfId="0" applyFont="1" applyFill="1" applyBorder="1"/>
    <xf numFmtId="165" fontId="11" fillId="0" borderId="1" xfId="0" applyNumberFormat="1" applyFont="1" applyFill="1" applyBorder="1"/>
    <xf numFmtId="165" fontId="8" fillId="0" borderId="1" xfId="0" applyNumberFormat="1" applyFont="1" applyFill="1" applyBorder="1"/>
    <xf numFmtId="165" fontId="4" fillId="0" borderId="1" xfId="0" applyNumberFormat="1" applyFont="1" applyFill="1" applyBorder="1"/>
    <xf numFmtId="17" fontId="7" fillId="7" borderId="0" xfId="0" applyNumberFormat="1" applyFont="1" applyFill="1" applyAlignment="1">
      <alignment horizontal="center"/>
    </xf>
    <xf numFmtId="166" fontId="1" fillId="0" borderId="0" xfId="0" applyNumberFormat="1" applyFont="1" applyFill="1" applyBorder="1"/>
    <xf numFmtId="0" fontId="14" fillId="0" borderId="0" xfId="0" applyFont="1"/>
    <xf numFmtId="0" fontId="14" fillId="0" borderId="0" xfId="0" applyFont="1" applyFill="1"/>
    <xf numFmtId="0" fontId="15" fillId="0" borderId="0" xfId="0" applyFont="1"/>
    <xf numFmtId="0" fontId="16" fillId="8" borderId="1" xfId="0" applyFont="1" applyFill="1" applyBorder="1"/>
    <xf numFmtId="165" fontId="16" fillId="8" borderId="1" xfId="0" applyNumberFormat="1" applyFont="1" applyFill="1" applyBorder="1"/>
    <xf numFmtId="0" fontId="5" fillId="0" borderId="0" xfId="0" applyFont="1" applyBorder="1" applyAlignment="1"/>
  </cellXfs>
  <cellStyles count="1">
    <cellStyle name="Normal" xfId="0" builtinId="0"/>
  </cellStyles>
  <dxfs count="1">
    <dxf>
      <font>
        <b/>
        <sz val="10"/>
        <color rgb="FFDC2626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7F9"/>
      <rgbColor rgb="FFE7E9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F1E3D"/>
      <rgbColor rgb="FF16A34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tabSelected="1" zoomScaleNormal="100" workbookViewId="0"/>
  </sheetViews>
  <sheetFormatPr defaultColWidth="8.6640625" defaultRowHeight="14.25" x14ac:dyDescent="0.45"/>
  <cols>
    <col min="1" max="1" width="105" customWidth="1"/>
  </cols>
  <sheetData>
    <row r="1" spans="1:1" ht="20.65" x14ac:dyDescent="0.6">
      <c r="A1" s="3" t="s">
        <v>0</v>
      </c>
    </row>
    <row r="3" spans="1:1" ht="15.4" x14ac:dyDescent="0.45">
      <c r="A3" s="4" t="s">
        <v>1</v>
      </c>
    </row>
    <row r="4" spans="1:1" x14ac:dyDescent="0.45">
      <c r="A4" s="5" t="s">
        <v>2</v>
      </c>
    </row>
    <row r="5" spans="1:1" x14ac:dyDescent="0.45">
      <c r="A5" s="5"/>
    </row>
    <row r="6" spans="1:1" ht="25.5" x14ac:dyDescent="0.45">
      <c r="A6" s="5" t="s">
        <v>3</v>
      </c>
    </row>
    <row r="7" spans="1:1" ht="25.5" x14ac:dyDescent="0.45">
      <c r="A7" s="5" t="s">
        <v>4</v>
      </c>
    </row>
    <row r="8" spans="1:1" x14ac:dyDescent="0.45">
      <c r="A8" s="5"/>
    </row>
    <row r="9" spans="1:1" ht="25.5" x14ac:dyDescent="0.45">
      <c r="A9" s="5" t="s">
        <v>5</v>
      </c>
    </row>
    <row r="11" spans="1:1" ht="15.4" x14ac:dyDescent="0.45">
      <c r="A11" s="4" t="s">
        <v>6</v>
      </c>
    </row>
    <row r="12" spans="1:1" x14ac:dyDescent="0.45">
      <c r="A12" s="5" t="s">
        <v>7</v>
      </c>
    </row>
    <row r="13" spans="1:1" ht="25.5" x14ac:dyDescent="0.45">
      <c r="A13" s="5" t="s">
        <v>8</v>
      </c>
    </row>
    <row r="14" spans="1:1" ht="25.5" x14ac:dyDescent="0.45">
      <c r="A14" s="5" t="s">
        <v>9</v>
      </c>
    </row>
    <row r="15" spans="1:1" x14ac:dyDescent="0.45">
      <c r="A15" s="5" t="s">
        <v>10</v>
      </c>
    </row>
    <row r="16" spans="1:1" x14ac:dyDescent="0.45">
      <c r="A16" s="5" t="s">
        <v>11</v>
      </c>
    </row>
    <row r="18" spans="1:1" ht="15.4" x14ac:dyDescent="0.45">
      <c r="A18" s="4" t="s">
        <v>12</v>
      </c>
    </row>
    <row r="19" spans="1:1" x14ac:dyDescent="0.45">
      <c r="A19" s="6" t="s">
        <v>13</v>
      </c>
    </row>
    <row r="20" spans="1:1" x14ac:dyDescent="0.45">
      <c r="A20" s="6" t="s">
        <v>14</v>
      </c>
    </row>
    <row r="21" spans="1:1" x14ac:dyDescent="0.45">
      <c r="A21" s="6" t="s">
        <v>15</v>
      </c>
    </row>
    <row r="23" spans="1:1" x14ac:dyDescent="0.45">
      <c r="A23" s="7" t="s">
        <v>16</v>
      </c>
    </row>
    <row r="24" spans="1:1" x14ac:dyDescent="0.45">
      <c r="A24" s="7" t="s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showGridLines="0" zoomScaleNormal="100" workbookViewId="0">
      <selection activeCell="E10" sqref="E10"/>
    </sheetView>
  </sheetViews>
  <sheetFormatPr defaultColWidth="8.6640625" defaultRowHeight="14.25" x14ac:dyDescent="0.45"/>
  <cols>
    <col min="1" max="1" width="60.19921875" customWidth="1"/>
    <col min="2" max="2" width="14" customWidth="1"/>
    <col min="3" max="3" width="16" customWidth="1"/>
    <col min="4" max="4" width="15.86328125" customWidth="1"/>
    <col min="5" max="5" width="18.53125" bestFit="1" customWidth="1"/>
  </cols>
  <sheetData>
    <row r="1" spans="1:5" ht="25.5" customHeight="1" x14ac:dyDescent="0.45">
      <c r="A1" s="30" t="s">
        <v>18</v>
      </c>
      <c r="B1" s="30"/>
      <c r="C1" s="30"/>
      <c r="D1" s="30"/>
      <c r="E1" s="30"/>
    </row>
    <row r="3" spans="1:5" x14ac:dyDescent="0.45">
      <c r="A3" s="8" t="s">
        <v>19</v>
      </c>
      <c r="B3" s="8" t="s">
        <v>20</v>
      </c>
      <c r="C3" s="8" t="s">
        <v>113</v>
      </c>
      <c r="D3" s="8" t="s">
        <v>114</v>
      </c>
      <c r="E3" s="8" t="s">
        <v>124</v>
      </c>
    </row>
    <row r="4" spans="1:5" x14ac:dyDescent="0.45">
      <c r="A4" s="9" t="s">
        <v>21</v>
      </c>
      <c r="B4" s="9" t="s">
        <v>22</v>
      </c>
      <c r="C4" s="9" t="s">
        <v>118</v>
      </c>
      <c r="D4" s="9"/>
      <c r="E4" s="9" t="s">
        <v>125</v>
      </c>
    </row>
    <row r="5" spans="1:5" x14ac:dyDescent="0.45">
      <c r="A5" s="9" t="s">
        <v>23</v>
      </c>
      <c r="B5" s="9" t="s">
        <v>22</v>
      </c>
      <c r="C5" s="9" t="s">
        <v>119</v>
      </c>
      <c r="D5" s="9"/>
      <c r="E5" s="9" t="s">
        <v>126</v>
      </c>
    </row>
    <row r="6" spans="1:5" x14ac:dyDescent="0.45">
      <c r="A6" s="9" t="s">
        <v>24</v>
      </c>
      <c r="B6" s="9" t="s">
        <v>25</v>
      </c>
      <c r="C6" s="9" t="s">
        <v>118</v>
      </c>
      <c r="D6" s="9" t="s">
        <v>26</v>
      </c>
      <c r="E6" s="9" t="s">
        <v>127</v>
      </c>
    </row>
    <row r="7" spans="1:5" x14ac:dyDescent="0.45">
      <c r="A7" s="9" t="s">
        <v>27</v>
      </c>
      <c r="B7" s="9" t="s">
        <v>25</v>
      </c>
      <c r="C7" s="9" t="s">
        <v>118</v>
      </c>
      <c r="D7" s="9" t="s">
        <v>26</v>
      </c>
      <c r="E7" s="9" t="s">
        <v>115</v>
      </c>
    </row>
    <row r="8" spans="1:5" x14ac:dyDescent="0.45">
      <c r="A8" s="9" t="s">
        <v>28</v>
      </c>
      <c r="B8" s="9" t="s">
        <v>25</v>
      </c>
      <c r="C8" s="9" t="s">
        <v>118</v>
      </c>
      <c r="D8" s="9" t="s">
        <v>26</v>
      </c>
      <c r="E8" s="9" t="s">
        <v>116</v>
      </c>
    </row>
    <row r="9" spans="1:5" x14ac:dyDescent="0.45">
      <c r="A9" s="9" t="s">
        <v>29</v>
      </c>
      <c r="B9" s="9" t="s">
        <v>25</v>
      </c>
      <c r="C9" s="9" t="s">
        <v>118</v>
      </c>
      <c r="D9" s="9" t="s">
        <v>26</v>
      </c>
      <c r="E9" s="9" t="s">
        <v>116</v>
      </c>
    </row>
    <row r="10" spans="1:5" x14ac:dyDescent="0.45">
      <c r="A10" s="9" t="s">
        <v>30</v>
      </c>
      <c r="B10" s="9" t="s">
        <v>25</v>
      </c>
      <c r="C10" s="9" t="s">
        <v>119</v>
      </c>
      <c r="D10" s="9" t="s">
        <v>26</v>
      </c>
      <c r="E10" s="9" t="s">
        <v>117</v>
      </c>
    </row>
    <row r="11" spans="1:5" x14ac:dyDescent="0.45">
      <c r="A11" s="9" t="s">
        <v>31</v>
      </c>
      <c r="B11" s="9" t="s">
        <v>25</v>
      </c>
      <c r="C11" s="9" t="s">
        <v>118</v>
      </c>
      <c r="D11" s="9" t="s">
        <v>32</v>
      </c>
      <c r="E11" s="9" t="s">
        <v>120</v>
      </c>
    </row>
    <row r="12" spans="1:5" x14ac:dyDescent="0.45">
      <c r="A12" s="9" t="s">
        <v>33</v>
      </c>
      <c r="B12" s="9" t="s">
        <v>25</v>
      </c>
      <c r="C12" s="9" t="s">
        <v>118</v>
      </c>
      <c r="D12" s="9" t="s">
        <v>32</v>
      </c>
      <c r="E12" s="9" t="s">
        <v>120</v>
      </c>
    </row>
    <row r="13" spans="1:5" x14ac:dyDescent="0.45">
      <c r="A13" s="9" t="s">
        <v>34</v>
      </c>
      <c r="B13" s="9" t="s">
        <v>25</v>
      </c>
      <c r="C13" s="9" t="s">
        <v>118</v>
      </c>
      <c r="D13" s="9" t="s">
        <v>32</v>
      </c>
      <c r="E13" s="9" t="s">
        <v>121</v>
      </c>
    </row>
    <row r="14" spans="1:5" x14ac:dyDescent="0.45">
      <c r="A14" s="9" t="s">
        <v>35</v>
      </c>
      <c r="B14" s="9" t="s">
        <v>25</v>
      </c>
      <c r="C14" s="9" t="s">
        <v>118</v>
      </c>
      <c r="D14" s="9" t="s">
        <v>32</v>
      </c>
      <c r="E14" s="9" t="s">
        <v>122</v>
      </c>
    </row>
    <row r="15" spans="1:5" x14ac:dyDescent="0.45">
      <c r="A15" s="9" t="s">
        <v>36</v>
      </c>
      <c r="B15" s="9" t="s">
        <v>25</v>
      </c>
      <c r="C15" s="9" t="s">
        <v>118</v>
      </c>
      <c r="D15" s="9" t="s">
        <v>32</v>
      </c>
      <c r="E15" s="9" t="s">
        <v>123</v>
      </c>
    </row>
    <row r="17" spans="1:1" x14ac:dyDescent="0.45">
      <c r="A17" s="7" t="s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7"/>
  <sheetViews>
    <sheetView showGridLines="0" zoomScaleNormal="100" workbookViewId="0">
      <pane ySplit="3" topLeftCell="A4" activePane="bottomLeft" state="frozen"/>
      <selection pane="bottomLeft" activeCell="G30" sqref="G30"/>
    </sheetView>
  </sheetViews>
  <sheetFormatPr defaultColWidth="8.6640625" defaultRowHeight="14.25" x14ac:dyDescent="0.45"/>
  <cols>
    <col min="1" max="2" width="13" customWidth="1"/>
    <col min="3" max="3" width="62.59765625" bestFit="1" customWidth="1"/>
    <col min="4" max="5" width="14" customWidth="1"/>
    <col min="6" max="6" width="15.19921875" customWidth="1"/>
    <col min="7" max="7" width="18.59765625" bestFit="1" customWidth="1"/>
    <col min="8" max="8" width="12.53125" customWidth="1"/>
  </cols>
  <sheetData>
    <row r="1" spans="1:8" ht="25.5" customHeight="1" x14ac:dyDescent="0.45">
      <c r="A1" s="30" t="s">
        <v>38</v>
      </c>
      <c r="B1" s="30"/>
      <c r="C1" s="30"/>
      <c r="D1" s="30"/>
      <c r="E1" s="30"/>
      <c r="F1" s="30"/>
      <c r="G1" s="30"/>
      <c r="H1" s="30"/>
    </row>
    <row r="3" spans="1:8" x14ac:dyDescent="0.45">
      <c r="A3" s="8" t="s">
        <v>39</v>
      </c>
      <c r="B3" s="8" t="s">
        <v>40</v>
      </c>
      <c r="C3" s="8" t="s">
        <v>19</v>
      </c>
      <c r="D3" s="8" t="s">
        <v>20</v>
      </c>
      <c r="E3" s="8" t="s">
        <v>113</v>
      </c>
      <c r="F3" s="8" t="s">
        <v>114</v>
      </c>
      <c r="G3" s="8" t="s">
        <v>124</v>
      </c>
      <c r="H3" s="8" t="s">
        <v>41</v>
      </c>
    </row>
    <row r="4" spans="1:8" x14ac:dyDescent="0.45">
      <c r="A4" s="10">
        <v>46027</v>
      </c>
      <c r="B4" s="11">
        <f t="shared" ref="B4:B30" si="0">IF(A4="","",DATE(YEAR(A4),MONTH(A4),1))</f>
        <v>46023</v>
      </c>
      <c r="C4" s="9" t="s">
        <v>24</v>
      </c>
      <c r="D4" s="12" t="str">
        <f>IFERROR(INDEX(Mapeo!$B:$B,MATCH($C4,Mapeo!$A:$A,0)),"")</f>
        <v>Egreso</v>
      </c>
      <c r="E4" s="12" t="str">
        <f>IFERROR(INDEX(Mapeo!$C:$C,MATCH($C4,Mapeo!$A:$A,0)),"")</f>
        <v>Flujo operativo</v>
      </c>
      <c r="F4" s="31" t="str">
        <f>IF(IFERROR(INDEX(Mapeo!$D:$D,MATCH($C4,Mapeo!$A:$A,0)),"")=0,"",IFERROR(INDEX(Mapeo!$D:$D,MATCH($C4,Mapeo!$A:$A,0)),""))</f>
        <v>Fija</v>
      </c>
      <c r="G4" s="12" t="str">
        <f>IFERROR(INDEX(Mapeo!$E:$E,MATCH($C4,Mapeo!$A:$A,0)),"")</f>
        <v>Personal</v>
      </c>
      <c r="H4" s="13">
        <v>-58000</v>
      </c>
    </row>
    <row r="5" spans="1:8" x14ac:dyDescent="0.45">
      <c r="A5" s="10">
        <v>46028</v>
      </c>
      <c r="B5" s="11">
        <f t="shared" si="0"/>
        <v>46023</v>
      </c>
      <c r="C5" s="9" t="s">
        <v>27</v>
      </c>
      <c r="D5" s="12" t="str">
        <f>IFERROR(INDEX(Mapeo!$B:$B,MATCH($C5,Mapeo!$A:$A,0)),"")</f>
        <v>Egreso</v>
      </c>
      <c r="E5" s="12" t="str">
        <f>IFERROR(INDEX(Mapeo!$C:$C,MATCH($C5,Mapeo!$A:$A,0)),"")</f>
        <v>Flujo operativo</v>
      </c>
      <c r="F5" s="31" t="str">
        <f>IF(IFERROR(INDEX(Mapeo!$D:$D,MATCH($C5,Mapeo!$A:$A,0)),"")=0,"",IFERROR(INDEX(Mapeo!$D:$D,MATCH($C5,Mapeo!$A:$A,0)),""))</f>
        <v>Fija</v>
      </c>
      <c r="G5" s="12" t="str">
        <f>IFERROR(INDEX(Mapeo!$E:$E,MATCH($C5,Mapeo!$A:$A,0)),"")</f>
        <v>Renta</v>
      </c>
      <c r="H5" s="13">
        <v>-25000</v>
      </c>
    </row>
    <row r="6" spans="1:8" x14ac:dyDescent="0.45">
      <c r="A6" s="10">
        <v>46039</v>
      </c>
      <c r="B6" s="11">
        <f t="shared" si="0"/>
        <v>46023</v>
      </c>
      <c r="C6" s="9" t="s">
        <v>29</v>
      </c>
      <c r="D6" s="12" t="str">
        <f>IFERROR(INDEX(Mapeo!$B:$B,MATCH($C6,Mapeo!$A:$A,0)),"")</f>
        <v>Egreso</v>
      </c>
      <c r="E6" s="12" t="str">
        <f>IFERROR(INDEX(Mapeo!$C:$C,MATCH($C6,Mapeo!$A:$A,0)),"")</f>
        <v>Flujo operativo</v>
      </c>
      <c r="F6" s="31" t="str">
        <f>IF(IFERROR(INDEX(Mapeo!$D:$D,MATCH($C6,Mapeo!$A:$A,0)),"")=0,"",IFERROR(INDEX(Mapeo!$D:$D,MATCH($C6,Mapeo!$A:$A,0)),""))</f>
        <v>Fija</v>
      </c>
      <c r="G6" s="12" t="str">
        <f>IFERROR(INDEX(Mapeo!$E:$E,MATCH($C6,Mapeo!$A:$A,0)),"")</f>
        <v>Impuestos</v>
      </c>
      <c r="H6" s="13">
        <v>-21000</v>
      </c>
    </row>
    <row r="7" spans="1:8" x14ac:dyDescent="0.45">
      <c r="A7" s="10">
        <v>46042</v>
      </c>
      <c r="B7" s="11">
        <f t="shared" si="0"/>
        <v>46023</v>
      </c>
      <c r="C7" s="9" t="s">
        <v>28</v>
      </c>
      <c r="D7" s="12" t="str">
        <f>IFERROR(INDEX(Mapeo!$B:$B,MATCH($C7,Mapeo!$A:$A,0)),"")</f>
        <v>Egreso</v>
      </c>
      <c r="E7" s="12" t="str">
        <f>IFERROR(INDEX(Mapeo!$C:$C,MATCH($C7,Mapeo!$A:$A,0)),"")</f>
        <v>Flujo operativo</v>
      </c>
      <c r="F7" s="31" t="str">
        <f>IF(IFERROR(INDEX(Mapeo!$D:$D,MATCH($C7,Mapeo!$A:$A,0)),"")=0,"",IFERROR(INDEX(Mapeo!$D:$D,MATCH($C7,Mapeo!$A:$A,0)),""))</f>
        <v>Fija</v>
      </c>
      <c r="G7" s="12" t="str">
        <f>IFERROR(INDEX(Mapeo!$E:$E,MATCH($C7,Mapeo!$A:$A,0)),"")</f>
        <v>Impuestos</v>
      </c>
      <c r="H7" s="13">
        <v>-14000</v>
      </c>
    </row>
    <row r="8" spans="1:8" x14ac:dyDescent="0.45">
      <c r="A8" s="10">
        <v>46032</v>
      </c>
      <c r="B8" s="11">
        <f t="shared" si="0"/>
        <v>46023</v>
      </c>
      <c r="C8" s="9" t="s">
        <v>31</v>
      </c>
      <c r="D8" s="12" t="str">
        <f>IFERROR(INDEX(Mapeo!$B:$B,MATCH($C8,Mapeo!$A:$A,0)),"")</f>
        <v>Egreso</v>
      </c>
      <c r="E8" s="12" t="str">
        <f>IFERROR(INDEX(Mapeo!$C:$C,MATCH($C8,Mapeo!$A:$A,0)),"")</f>
        <v>Flujo operativo</v>
      </c>
      <c r="F8" s="31" t="str">
        <f>IF(IFERROR(INDEX(Mapeo!$D:$D,MATCH($C8,Mapeo!$A:$A,0)),"")=0,"",IFERROR(INDEX(Mapeo!$D:$D,MATCH($C8,Mapeo!$A:$A,0)),""))</f>
        <v>Variable</v>
      </c>
      <c r="G8" s="12" t="str">
        <f>IFERROR(INDEX(Mapeo!$E:$E,MATCH($C8,Mapeo!$A:$A,0)),"")</f>
        <v>Pago a proveedores</v>
      </c>
      <c r="H8" s="13">
        <v>-38000</v>
      </c>
    </row>
    <row r="9" spans="1:8" x14ac:dyDescent="0.45">
      <c r="A9" s="10">
        <v>46037</v>
      </c>
      <c r="B9" s="11">
        <f t="shared" si="0"/>
        <v>46023</v>
      </c>
      <c r="C9" s="9" t="s">
        <v>33</v>
      </c>
      <c r="D9" s="12" t="str">
        <f>IFERROR(INDEX(Mapeo!$B:$B,MATCH($C9,Mapeo!$A:$A,0)),"")</f>
        <v>Egreso</v>
      </c>
      <c r="E9" s="12" t="str">
        <f>IFERROR(INDEX(Mapeo!$C:$C,MATCH($C9,Mapeo!$A:$A,0)),"")</f>
        <v>Flujo operativo</v>
      </c>
      <c r="F9" s="31" t="str">
        <f>IF(IFERROR(INDEX(Mapeo!$D:$D,MATCH($C9,Mapeo!$A:$A,0)),"")=0,"",IFERROR(INDEX(Mapeo!$D:$D,MATCH($C9,Mapeo!$A:$A,0)),""))</f>
        <v>Variable</v>
      </c>
      <c r="G9" s="12" t="str">
        <f>IFERROR(INDEX(Mapeo!$E:$E,MATCH($C9,Mapeo!$A:$A,0)),"")</f>
        <v>Pago a proveedores</v>
      </c>
      <c r="H9" s="13">
        <v>-12000</v>
      </c>
    </row>
    <row r="10" spans="1:8" x14ac:dyDescent="0.45">
      <c r="A10" s="10">
        <v>46030</v>
      </c>
      <c r="B10" s="11">
        <f t="shared" si="0"/>
        <v>46023</v>
      </c>
      <c r="C10" s="9" t="s">
        <v>21</v>
      </c>
      <c r="D10" s="12" t="str">
        <f>IFERROR(INDEX(Mapeo!$B:$B,MATCH($C10,Mapeo!$A:$A,0)),"")</f>
        <v>Ingreso</v>
      </c>
      <c r="E10" s="12" t="str">
        <f>IFERROR(INDEX(Mapeo!$C:$C,MATCH($C10,Mapeo!$A:$A,0)),"")</f>
        <v>Flujo operativo</v>
      </c>
      <c r="F10" s="31" t="str">
        <f>IF(IFERROR(INDEX(Mapeo!$D:$D,MATCH($C10,Mapeo!$A:$A,0)),"")=0,"",IFERROR(INDEX(Mapeo!$D:$D,MATCH($C10,Mapeo!$A:$A,0)),""))</f>
        <v/>
      </c>
      <c r="G10" s="12" t="str">
        <f>IFERROR(INDEX(Mapeo!$E:$E,MATCH($C10,Mapeo!$A:$A,0)),"")</f>
        <v>Cobranza a clientes</v>
      </c>
      <c r="H10" s="13">
        <v>20000</v>
      </c>
    </row>
    <row r="11" spans="1:8" x14ac:dyDescent="0.45">
      <c r="A11" s="10">
        <v>46049</v>
      </c>
      <c r="B11" s="11">
        <f t="shared" si="0"/>
        <v>46023</v>
      </c>
      <c r="C11" s="9" t="s">
        <v>23</v>
      </c>
      <c r="D11" s="12" t="str">
        <f>IFERROR(INDEX(Mapeo!$B:$B,MATCH($C11,Mapeo!$A:$A,0)),"")</f>
        <v>Ingreso</v>
      </c>
      <c r="E11" s="12" t="str">
        <f>IFERROR(INDEX(Mapeo!$C:$C,MATCH($C11,Mapeo!$A:$A,0)),"")</f>
        <v>Flujo financiero</v>
      </c>
      <c r="F11" s="31" t="str">
        <f>IF(IFERROR(INDEX(Mapeo!$D:$D,MATCH($C11,Mapeo!$A:$A,0)),"")=0,"",IFERROR(INDEX(Mapeo!$D:$D,MATCH($C11,Mapeo!$A:$A,0)),""))</f>
        <v/>
      </c>
      <c r="G11" s="12" t="str">
        <f>IFERROR(INDEX(Mapeo!$E:$E,MATCH($C11,Mapeo!$A:$A,0)),"")</f>
        <v>Reembolso de seguro</v>
      </c>
      <c r="H11" s="13">
        <v>45000</v>
      </c>
    </row>
    <row r="12" spans="1:8" x14ac:dyDescent="0.45">
      <c r="A12" s="10">
        <v>46047</v>
      </c>
      <c r="B12" s="11">
        <f t="shared" si="0"/>
        <v>46023</v>
      </c>
      <c r="C12" s="9" t="s">
        <v>31</v>
      </c>
      <c r="D12" s="12" t="str">
        <f>IFERROR(INDEX(Mapeo!$B:$B,MATCH($C12,Mapeo!$A:$A,0)),"")</f>
        <v>Egreso</v>
      </c>
      <c r="E12" s="12" t="str">
        <f>IFERROR(INDEX(Mapeo!$C:$C,MATCH($C12,Mapeo!$A:$A,0)),"")</f>
        <v>Flujo operativo</v>
      </c>
      <c r="F12" s="31" t="str">
        <f>IF(IFERROR(INDEX(Mapeo!$D:$D,MATCH($C12,Mapeo!$A:$A,0)),"")=0,"",IFERROR(INDEX(Mapeo!$D:$D,MATCH($C12,Mapeo!$A:$A,0)),""))</f>
        <v>Variable</v>
      </c>
      <c r="G12" s="12" t="str">
        <f>IFERROR(INDEX(Mapeo!$E:$E,MATCH($C12,Mapeo!$A:$A,0)),"")</f>
        <v>Pago a proveedores</v>
      </c>
      <c r="H12" s="13">
        <v>-20000</v>
      </c>
    </row>
    <row r="13" spans="1:8" x14ac:dyDescent="0.45">
      <c r="A13" s="10">
        <v>46058</v>
      </c>
      <c r="B13" s="11">
        <f t="shared" si="0"/>
        <v>46054</v>
      </c>
      <c r="C13" s="9" t="s">
        <v>24</v>
      </c>
      <c r="D13" s="12" t="str">
        <f>IFERROR(INDEX(Mapeo!$B:$B,MATCH($C13,Mapeo!$A:$A,0)),"")</f>
        <v>Egreso</v>
      </c>
      <c r="E13" s="12" t="str">
        <f>IFERROR(INDEX(Mapeo!$C:$C,MATCH($C13,Mapeo!$A:$A,0)),"")</f>
        <v>Flujo operativo</v>
      </c>
      <c r="F13" s="31" t="str">
        <f>IF(IFERROR(INDEX(Mapeo!$D:$D,MATCH($C13,Mapeo!$A:$A,0)),"")=0,"",IFERROR(INDEX(Mapeo!$D:$D,MATCH($C13,Mapeo!$A:$A,0)),""))</f>
        <v>Fija</v>
      </c>
      <c r="G13" s="12" t="str">
        <f>IFERROR(INDEX(Mapeo!$E:$E,MATCH($C13,Mapeo!$A:$A,0)),"")</f>
        <v>Personal</v>
      </c>
      <c r="H13" s="13">
        <v>-58000</v>
      </c>
    </row>
    <row r="14" spans="1:8" x14ac:dyDescent="0.45">
      <c r="A14" s="10">
        <v>46059</v>
      </c>
      <c r="B14" s="11">
        <f t="shared" si="0"/>
        <v>46054</v>
      </c>
      <c r="C14" s="9" t="s">
        <v>27</v>
      </c>
      <c r="D14" s="12" t="str">
        <f>IFERROR(INDEX(Mapeo!$B:$B,MATCH($C14,Mapeo!$A:$A,0)),"")</f>
        <v>Egreso</v>
      </c>
      <c r="E14" s="12" t="str">
        <f>IFERROR(INDEX(Mapeo!$C:$C,MATCH($C14,Mapeo!$A:$A,0)),"")</f>
        <v>Flujo operativo</v>
      </c>
      <c r="F14" s="31" t="str">
        <f>IF(IFERROR(INDEX(Mapeo!$D:$D,MATCH($C14,Mapeo!$A:$A,0)),"")=0,"",IFERROR(INDEX(Mapeo!$D:$D,MATCH($C14,Mapeo!$A:$A,0)),""))</f>
        <v>Fija</v>
      </c>
      <c r="G14" s="12" t="str">
        <f>IFERROR(INDEX(Mapeo!$E:$E,MATCH($C14,Mapeo!$A:$A,0)),"")</f>
        <v>Renta</v>
      </c>
      <c r="H14" s="13">
        <v>-25000</v>
      </c>
    </row>
    <row r="15" spans="1:8" x14ac:dyDescent="0.45">
      <c r="A15" s="10">
        <v>46070</v>
      </c>
      <c r="B15" s="11">
        <f t="shared" si="0"/>
        <v>46054</v>
      </c>
      <c r="C15" s="9" t="s">
        <v>29</v>
      </c>
      <c r="D15" s="12" t="str">
        <f>IFERROR(INDEX(Mapeo!$B:$B,MATCH($C15,Mapeo!$A:$A,0)),"")</f>
        <v>Egreso</v>
      </c>
      <c r="E15" s="12" t="str">
        <f>IFERROR(INDEX(Mapeo!$C:$C,MATCH($C15,Mapeo!$A:$A,0)),"")</f>
        <v>Flujo operativo</v>
      </c>
      <c r="F15" s="31" t="str">
        <f>IF(IFERROR(INDEX(Mapeo!$D:$D,MATCH($C15,Mapeo!$A:$A,0)),"")=0,"",IFERROR(INDEX(Mapeo!$D:$D,MATCH($C15,Mapeo!$A:$A,0)),""))</f>
        <v>Fija</v>
      </c>
      <c r="G15" s="12" t="str">
        <f>IFERROR(INDEX(Mapeo!$E:$E,MATCH($C15,Mapeo!$A:$A,0)),"")</f>
        <v>Impuestos</v>
      </c>
      <c r="H15" s="13">
        <v>-13000</v>
      </c>
    </row>
    <row r="16" spans="1:8" x14ac:dyDescent="0.45">
      <c r="A16" s="10">
        <v>46065</v>
      </c>
      <c r="B16" s="11">
        <f t="shared" si="0"/>
        <v>46054</v>
      </c>
      <c r="C16" s="9" t="s">
        <v>31</v>
      </c>
      <c r="D16" s="12" t="str">
        <f>IFERROR(INDEX(Mapeo!$B:$B,MATCH($C16,Mapeo!$A:$A,0)),"")</f>
        <v>Egreso</v>
      </c>
      <c r="E16" s="12" t="str">
        <f>IFERROR(INDEX(Mapeo!$C:$C,MATCH($C16,Mapeo!$A:$A,0)),"")</f>
        <v>Flujo operativo</v>
      </c>
      <c r="F16" s="31" t="str">
        <f>IF(IFERROR(INDEX(Mapeo!$D:$D,MATCH($C16,Mapeo!$A:$A,0)),"")=0,"",IFERROR(INDEX(Mapeo!$D:$D,MATCH($C16,Mapeo!$A:$A,0)),""))</f>
        <v>Variable</v>
      </c>
      <c r="G16" s="12" t="str">
        <f>IFERROR(INDEX(Mapeo!$E:$E,MATCH($C16,Mapeo!$A:$A,0)),"")</f>
        <v>Pago a proveedores</v>
      </c>
      <c r="H16" s="13">
        <v>-42000</v>
      </c>
    </row>
    <row r="17" spans="1:8" x14ac:dyDescent="0.45">
      <c r="A17" s="10">
        <v>46071</v>
      </c>
      <c r="B17" s="11">
        <f t="shared" si="0"/>
        <v>46054</v>
      </c>
      <c r="C17" s="9" t="s">
        <v>33</v>
      </c>
      <c r="D17" s="12" t="str">
        <f>IFERROR(INDEX(Mapeo!$B:$B,MATCH($C17,Mapeo!$A:$A,0)),"")</f>
        <v>Egreso</v>
      </c>
      <c r="E17" s="12" t="str">
        <f>IFERROR(INDEX(Mapeo!$C:$C,MATCH($C17,Mapeo!$A:$A,0)),"")</f>
        <v>Flujo operativo</v>
      </c>
      <c r="F17" s="31" t="str">
        <f>IF(IFERROR(INDEX(Mapeo!$D:$D,MATCH($C17,Mapeo!$A:$A,0)),"")=0,"",IFERROR(INDEX(Mapeo!$D:$D,MATCH($C17,Mapeo!$A:$A,0)),""))</f>
        <v>Variable</v>
      </c>
      <c r="G17" s="12" t="str">
        <f>IFERROR(INDEX(Mapeo!$E:$E,MATCH($C17,Mapeo!$A:$A,0)),"")</f>
        <v>Pago a proveedores</v>
      </c>
      <c r="H17" s="13">
        <v>-16000</v>
      </c>
    </row>
    <row r="18" spans="1:8" x14ac:dyDescent="0.45">
      <c r="A18" s="10">
        <v>46062</v>
      </c>
      <c r="B18" s="11">
        <f t="shared" si="0"/>
        <v>46054</v>
      </c>
      <c r="C18" s="9" t="s">
        <v>21</v>
      </c>
      <c r="D18" s="12" t="str">
        <f>IFERROR(INDEX(Mapeo!$B:$B,MATCH($C18,Mapeo!$A:$A,0)),"")</f>
        <v>Ingreso</v>
      </c>
      <c r="E18" s="12" t="str">
        <f>IFERROR(INDEX(Mapeo!$C:$C,MATCH($C18,Mapeo!$A:$A,0)),"")</f>
        <v>Flujo operativo</v>
      </c>
      <c r="F18" s="31" t="str">
        <f>IF(IFERROR(INDEX(Mapeo!$D:$D,MATCH($C18,Mapeo!$A:$A,0)),"")=0,"",IFERROR(INDEX(Mapeo!$D:$D,MATCH($C18,Mapeo!$A:$A,0)),""))</f>
        <v/>
      </c>
      <c r="G18" s="12" t="str">
        <f>IFERROR(INDEX(Mapeo!$E:$E,MATCH($C18,Mapeo!$A:$A,0)),"")</f>
        <v>Cobranza a clientes</v>
      </c>
      <c r="H18" s="13">
        <v>15000</v>
      </c>
    </row>
    <row r="19" spans="1:8" x14ac:dyDescent="0.45">
      <c r="A19" s="10">
        <v>46057</v>
      </c>
      <c r="B19" s="11">
        <f t="shared" si="0"/>
        <v>46054</v>
      </c>
      <c r="C19" s="9" t="s">
        <v>23</v>
      </c>
      <c r="D19" s="12" t="str">
        <f>IFERROR(INDEX(Mapeo!$B:$B,MATCH($C19,Mapeo!$A:$A,0)),"")</f>
        <v>Ingreso</v>
      </c>
      <c r="E19" s="12" t="str">
        <f>IFERROR(INDEX(Mapeo!$C:$C,MATCH($C19,Mapeo!$A:$A,0)),"")</f>
        <v>Flujo financiero</v>
      </c>
      <c r="F19" s="31" t="str">
        <f>IF(IFERROR(INDEX(Mapeo!$D:$D,MATCH($C19,Mapeo!$A:$A,0)),"")=0,"",IFERROR(INDEX(Mapeo!$D:$D,MATCH($C19,Mapeo!$A:$A,0)),""))</f>
        <v/>
      </c>
      <c r="G19" s="12" t="str">
        <f>IFERROR(INDEX(Mapeo!$E:$E,MATCH($C19,Mapeo!$A:$A,0)),"")</f>
        <v>Reembolso de seguro</v>
      </c>
      <c r="H19" s="13">
        <v>60000</v>
      </c>
    </row>
    <row r="20" spans="1:8" x14ac:dyDescent="0.45">
      <c r="A20" s="10">
        <v>46086</v>
      </c>
      <c r="B20" s="11">
        <f t="shared" si="0"/>
        <v>46082</v>
      </c>
      <c r="C20" s="9" t="s">
        <v>24</v>
      </c>
      <c r="D20" s="12" t="str">
        <f>IFERROR(INDEX(Mapeo!$B:$B,MATCH($C20,Mapeo!$A:$A,0)),"")</f>
        <v>Egreso</v>
      </c>
      <c r="E20" s="12" t="str">
        <f>IFERROR(INDEX(Mapeo!$C:$C,MATCH($C20,Mapeo!$A:$A,0)),"")</f>
        <v>Flujo operativo</v>
      </c>
      <c r="F20" s="31" t="str">
        <f>IF(IFERROR(INDEX(Mapeo!$D:$D,MATCH($C20,Mapeo!$A:$A,0)),"")=0,"",IFERROR(INDEX(Mapeo!$D:$D,MATCH($C20,Mapeo!$A:$A,0)),""))</f>
        <v>Fija</v>
      </c>
      <c r="G20" s="12" t="str">
        <f>IFERROR(INDEX(Mapeo!$E:$E,MATCH($C20,Mapeo!$A:$A,0)),"")</f>
        <v>Personal</v>
      </c>
      <c r="H20" s="13">
        <v>-58000</v>
      </c>
    </row>
    <row r="21" spans="1:8" x14ac:dyDescent="0.45">
      <c r="A21" s="10">
        <v>46087</v>
      </c>
      <c r="B21" s="11">
        <f t="shared" si="0"/>
        <v>46082</v>
      </c>
      <c r="C21" s="9" t="s">
        <v>27</v>
      </c>
      <c r="D21" s="12" t="str">
        <f>IFERROR(INDEX(Mapeo!$B:$B,MATCH($C21,Mapeo!$A:$A,0)),"")</f>
        <v>Egreso</v>
      </c>
      <c r="E21" s="12" t="str">
        <f>IFERROR(INDEX(Mapeo!$C:$C,MATCH($C21,Mapeo!$A:$A,0)),"")</f>
        <v>Flujo operativo</v>
      </c>
      <c r="F21" s="31" t="str">
        <f>IF(IFERROR(INDEX(Mapeo!$D:$D,MATCH($C21,Mapeo!$A:$A,0)),"")=0,"",IFERROR(INDEX(Mapeo!$D:$D,MATCH($C21,Mapeo!$A:$A,0)),""))</f>
        <v>Fija</v>
      </c>
      <c r="G21" s="12" t="str">
        <f>IFERROR(INDEX(Mapeo!$E:$E,MATCH($C21,Mapeo!$A:$A,0)),"")</f>
        <v>Renta</v>
      </c>
      <c r="H21" s="13">
        <v>-25000</v>
      </c>
    </row>
    <row r="22" spans="1:8" x14ac:dyDescent="0.45">
      <c r="A22" s="10">
        <v>46098</v>
      </c>
      <c r="B22" s="11">
        <f t="shared" si="0"/>
        <v>46082</v>
      </c>
      <c r="C22" s="9" t="s">
        <v>29</v>
      </c>
      <c r="D22" s="12" t="str">
        <f>IFERROR(INDEX(Mapeo!$B:$B,MATCH($C22,Mapeo!$A:$A,0)),"")</f>
        <v>Egreso</v>
      </c>
      <c r="E22" s="12" t="str">
        <f>IFERROR(INDEX(Mapeo!$C:$C,MATCH($C22,Mapeo!$A:$A,0)),"")</f>
        <v>Flujo operativo</v>
      </c>
      <c r="F22" s="31" t="str">
        <f>IF(IFERROR(INDEX(Mapeo!$D:$D,MATCH($C22,Mapeo!$A:$A,0)),"")=0,"",IFERROR(INDEX(Mapeo!$D:$D,MATCH($C22,Mapeo!$A:$A,0)),""))</f>
        <v>Fija</v>
      </c>
      <c r="G22" s="12" t="str">
        <f>IFERROR(INDEX(Mapeo!$E:$E,MATCH($C22,Mapeo!$A:$A,0)),"")</f>
        <v>Impuestos</v>
      </c>
      <c r="H22" s="13">
        <v>-13000</v>
      </c>
    </row>
    <row r="23" spans="1:8" x14ac:dyDescent="0.45">
      <c r="A23" s="10">
        <v>46095</v>
      </c>
      <c r="B23" s="11">
        <f t="shared" si="0"/>
        <v>46082</v>
      </c>
      <c r="C23" s="9" t="s">
        <v>31</v>
      </c>
      <c r="D23" s="12" t="str">
        <f>IFERROR(INDEX(Mapeo!$B:$B,MATCH($C23,Mapeo!$A:$A,0)),"")</f>
        <v>Egreso</v>
      </c>
      <c r="E23" s="12" t="str">
        <f>IFERROR(INDEX(Mapeo!$C:$C,MATCH($C23,Mapeo!$A:$A,0)),"")</f>
        <v>Flujo operativo</v>
      </c>
      <c r="F23" s="31" t="str">
        <f>IF(IFERROR(INDEX(Mapeo!$D:$D,MATCH($C23,Mapeo!$A:$A,0)),"")=0,"",IFERROR(INDEX(Mapeo!$D:$D,MATCH($C23,Mapeo!$A:$A,0)),""))</f>
        <v>Variable</v>
      </c>
      <c r="G23" s="12" t="str">
        <f>IFERROR(INDEX(Mapeo!$E:$E,MATCH($C23,Mapeo!$A:$A,0)),"")</f>
        <v>Pago a proveedores</v>
      </c>
      <c r="H23" s="13">
        <v>-35000</v>
      </c>
    </row>
    <row r="24" spans="1:8" x14ac:dyDescent="0.45">
      <c r="A24" s="10">
        <v>46101</v>
      </c>
      <c r="B24" s="11">
        <f t="shared" si="0"/>
        <v>46082</v>
      </c>
      <c r="C24" s="9" t="s">
        <v>33</v>
      </c>
      <c r="D24" s="12" t="str">
        <f>IFERROR(INDEX(Mapeo!$B:$B,MATCH($C24,Mapeo!$A:$A,0)),"")</f>
        <v>Egreso</v>
      </c>
      <c r="E24" s="12" t="str">
        <f>IFERROR(INDEX(Mapeo!$C:$C,MATCH($C24,Mapeo!$A:$A,0)),"")</f>
        <v>Flujo operativo</v>
      </c>
      <c r="F24" s="31" t="str">
        <f>IF(IFERROR(INDEX(Mapeo!$D:$D,MATCH($C24,Mapeo!$A:$A,0)),"")=0,"",IFERROR(INDEX(Mapeo!$D:$D,MATCH($C24,Mapeo!$A:$A,0)),""))</f>
        <v>Variable</v>
      </c>
      <c r="G24" s="12" t="str">
        <f>IFERROR(INDEX(Mapeo!$E:$E,MATCH($C24,Mapeo!$A:$A,0)),"")</f>
        <v>Pago a proveedores</v>
      </c>
      <c r="H24" s="13">
        <v>-21000</v>
      </c>
    </row>
    <row r="25" spans="1:8" x14ac:dyDescent="0.45">
      <c r="A25" s="10">
        <v>46092</v>
      </c>
      <c r="B25" s="11">
        <f t="shared" si="0"/>
        <v>46082</v>
      </c>
      <c r="C25" s="9" t="s">
        <v>21</v>
      </c>
      <c r="D25" s="12" t="str">
        <f>IFERROR(INDEX(Mapeo!$B:$B,MATCH($C25,Mapeo!$A:$A,0)),"")</f>
        <v>Ingreso</v>
      </c>
      <c r="E25" s="12" t="str">
        <f>IFERROR(INDEX(Mapeo!$C:$C,MATCH($C25,Mapeo!$A:$A,0)),"")</f>
        <v>Flujo operativo</v>
      </c>
      <c r="F25" s="31" t="str">
        <f>IF(IFERROR(INDEX(Mapeo!$D:$D,MATCH($C25,Mapeo!$A:$A,0)),"")=0,"",IFERROR(INDEX(Mapeo!$D:$D,MATCH($C25,Mapeo!$A:$A,0)),""))</f>
        <v/>
      </c>
      <c r="G25" s="12" t="str">
        <f>IFERROR(INDEX(Mapeo!$E:$E,MATCH($C25,Mapeo!$A:$A,0)),"")</f>
        <v>Cobranza a clientes</v>
      </c>
      <c r="H25" s="13">
        <v>18000</v>
      </c>
    </row>
    <row r="26" spans="1:8" x14ac:dyDescent="0.45">
      <c r="A26" s="10">
        <v>46096</v>
      </c>
      <c r="B26" s="11">
        <f t="shared" si="0"/>
        <v>46082</v>
      </c>
      <c r="C26" s="9" t="s">
        <v>30</v>
      </c>
      <c r="D26" s="12" t="str">
        <f>IFERROR(INDEX(Mapeo!$B:$B,MATCH($C26,Mapeo!$A:$A,0)),"")</f>
        <v>Egreso</v>
      </c>
      <c r="E26" s="12" t="str">
        <f>IFERROR(INDEX(Mapeo!$C:$C,MATCH($C26,Mapeo!$A:$A,0)),"")</f>
        <v>Flujo financiero</v>
      </c>
      <c r="F26" s="31" t="str">
        <f>IF(IFERROR(INDEX(Mapeo!$D:$D,MATCH($C26,Mapeo!$A:$A,0)),"")=0,"",IFERROR(INDEX(Mapeo!$D:$D,MATCH($C26,Mapeo!$A:$A,0)),""))</f>
        <v>Fija</v>
      </c>
      <c r="G26" s="12" t="str">
        <f>IFERROR(INDEX(Mapeo!$E:$E,MATCH($C26,Mapeo!$A:$A,0)),"")</f>
        <v>Reembolso de crédito</v>
      </c>
      <c r="H26" s="13">
        <v>-25000</v>
      </c>
    </row>
    <row r="27" spans="1:8" x14ac:dyDescent="0.45">
      <c r="A27" s="10">
        <v>46117</v>
      </c>
      <c r="B27" s="11">
        <f t="shared" si="0"/>
        <v>46113</v>
      </c>
      <c r="C27" s="9" t="s">
        <v>24</v>
      </c>
      <c r="D27" s="12" t="str">
        <f>IFERROR(INDEX(Mapeo!$B:$B,MATCH($C27,Mapeo!$A:$A,0)),"")</f>
        <v>Egreso</v>
      </c>
      <c r="E27" s="12" t="str">
        <f>IFERROR(INDEX(Mapeo!$C:$C,MATCH($C27,Mapeo!$A:$A,0)),"")</f>
        <v>Flujo operativo</v>
      </c>
      <c r="F27" s="31" t="str">
        <f>IF(IFERROR(INDEX(Mapeo!$D:$D,MATCH($C27,Mapeo!$A:$A,0)),"")=0,"",IFERROR(INDEX(Mapeo!$D:$D,MATCH($C27,Mapeo!$A:$A,0)),""))</f>
        <v>Fija</v>
      </c>
      <c r="G27" s="12" t="str">
        <f>IFERROR(INDEX(Mapeo!$E:$E,MATCH($C27,Mapeo!$A:$A,0)),"")</f>
        <v>Personal</v>
      </c>
      <c r="H27" s="13">
        <v>-58000</v>
      </c>
    </row>
    <row r="28" spans="1:8" x14ac:dyDescent="0.45">
      <c r="A28" s="10">
        <v>46118</v>
      </c>
      <c r="B28" s="11">
        <f t="shared" si="0"/>
        <v>46113</v>
      </c>
      <c r="C28" s="9" t="s">
        <v>27</v>
      </c>
      <c r="D28" s="12" t="str">
        <f>IFERROR(INDEX(Mapeo!$B:$B,MATCH($C28,Mapeo!$A:$A,0)),"")</f>
        <v>Egreso</v>
      </c>
      <c r="E28" s="12" t="str">
        <f>IFERROR(INDEX(Mapeo!$C:$C,MATCH($C28,Mapeo!$A:$A,0)),"")</f>
        <v>Flujo operativo</v>
      </c>
      <c r="F28" s="31" t="str">
        <f>IF(IFERROR(INDEX(Mapeo!$D:$D,MATCH($C28,Mapeo!$A:$A,0)),"")=0,"",IFERROR(INDEX(Mapeo!$D:$D,MATCH($C28,Mapeo!$A:$A,0)),""))</f>
        <v>Fija</v>
      </c>
      <c r="G28" s="12" t="str">
        <f>IFERROR(INDEX(Mapeo!$E:$E,MATCH($C28,Mapeo!$A:$A,0)),"")</f>
        <v>Renta</v>
      </c>
      <c r="H28" s="13">
        <v>-25000</v>
      </c>
    </row>
    <row r="29" spans="1:8" x14ac:dyDescent="0.45">
      <c r="A29" s="10">
        <v>46147</v>
      </c>
      <c r="B29" s="11">
        <f t="shared" si="0"/>
        <v>46143</v>
      </c>
      <c r="C29" s="9" t="s">
        <v>24</v>
      </c>
      <c r="D29" s="12" t="str">
        <f>IFERROR(INDEX(Mapeo!$B:$B,MATCH($C29,Mapeo!$A:$A,0)),"")</f>
        <v>Egreso</v>
      </c>
      <c r="E29" s="12" t="str">
        <f>IFERROR(INDEX(Mapeo!$C:$C,MATCH($C29,Mapeo!$A:$A,0)),"")</f>
        <v>Flujo operativo</v>
      </c>
      <c r="F29" s="31" t="str">
        <f>IF(IFERROR(INDEX(Mapeo!$D:$D,MATCH($C29,Mapeo!$A:$A,0)),"")=0,"",IFERROR(INDEX(Mapeo!$D:$D,MATCH($C29,Mapeo!$A:$A,0)),""))</f>
        <v>Fija</v>
      </c>
      <c r="G29" s="12" t="str">
        <f>IFERROR(INDEX(Mapeo!$E:$E,MATCH($C29,Mapeo!$A:$A,0)),"")</f>
        <v>Personal</v>
      </c>
      <c r="H29" s="13">
        <v>-58000</v>
      </c>
    </row>
    <row r="30" spans="1:8" x14ac:dyDescent="0.45">
      <c r="A30" s="10">
        <v>46148</v>
      </c>
      <c r="B30" s="11">
        <f t="shared" si="0"/>
        <v>46143</v>
      </c>
      <c r="C30" s="9" t="s">
        <v>27</v>
      </c>
      <c r="D30" s="12" t="str">
        <f>IFERROR(INDEX(Mapeo!$B:$B,MATCH($C30,Mapeo!$A:$A,0)),"")</f>
        <v>Egreso</v>
      </c>
      <c r="E30" s="12" t="str">
        <f>IFERROR(INDEX(Mapeo!$C:$C,MATCH($C30,Mapeo!$A:$A,0)),"")</f>
        <v>Flujo operativo</v>
      </c>
      <c r="F30" s="31" t="str">
        <f>IF(IFERROR(INDEX(Mapeo!$D:$D,MATCH($C30,Mapeo!$A:$A,0)),"")=0,"",IFERROR(INDEX(Mapeo!$D:$D,MATCH($C30,Mapeo!$A:$A,0)),""))</f>
        <v>Fija</v>
      </c>
      <c r="G30" s="12" t="str">
        <f>IFERROR(INDEX(Mapeo!$E:$E,MATCH($C30,Mapeo!$A:$A,0)),"")</f>
        <v>Renta</v>
      </c>
      <c r="H30" s="13">
        <v>-25000</v>
      </c>
    </row>
    <row r="31" spans="1:8" x14ac:dyDescent="0.45">
      <c r="H31" s="13"/>
    </row>
    <row r="37" spans="1:1" x14ac:dyDescent="0.45">
      <c r="A37" s="7" t="s">
        <v>134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showGridLines="0" zoomScaleNormal="100" workbookViewId="0">
      <pane ySplit="3" topLeftCell="A4" activePane="bottomLeft" state="frozen"/>
      <selection pane="bottomLeft" activeCell="A32" sqref="A32"/>
    </sheetView>
  </sheetViews>
  <sheetFormatPr defaultColWidth="8.6640625" defaultRowHeight="14.25" x14ac:dyDescent="0.45"/>
  <cols>
    <col min="1" max="1" width="10" customWidth="1"/>
    <col min="2" max="2" width="16" customWidth="1"/>
    <col min="3" max="3" width="8" customWidth="1"/>
    <col min="4" max="4" width="12" customWidth="1"/>
    <col min="5" max="5" width="13" customWidth="1"/>
    <col min="6" max="6" width="11" customWidth="1"/>
    <col min="7" max="9" width="13" customWidth="1"/>
  </cols>
  <sheetData>
    <row r="1" spans="1:9" ht="25.5" customHeight="1" x14ac:dyDescent="0.45">
      <c r="A1" s="30" t="s">
        <v>42</v>
      </c>
      <c r="B1" s="30"/>
      <c r="C1" s="30"/>
      <c r="D1" s="30"/>
      <c r="E1" s="30"/>
      <c r="F1" s="30"/>
      <c r="G1" s="30"/>
      <c r="H1" s="30"/>
      <c r="I1" s="30"/>
    </row>
    <row r="3" spans="1:9" ht="26.25" x14ac:dyDescent="0.45">
      <c r="A3" s="16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16" t="s">
        <v>50</v>
      </c>
      <c r="I3" s="16" t="s">
        <v>41</v>
      </c>
    </row>
    <row r="4" spans="1:9" x14ac:dyDescent="0.45">
      <c r="A4" s="9" t="s">
        <v>51</v>
      </c>
      <c r="B4" s="9" t="s">
        <v>52</v>
      </c>
      <c r="C4" s="9" t="s">
        <v>53</v>
      </c>
      <c r="D4" s="9" t="s">
        <v>54</v>
      </c>
      <c r="E4" s="10">
        <v>46027</v>
      </c>
      <c r="F4" s="9">
        <v>30</v>
      </c>
      <c r="G4" s="17">
        <f t="shared" ref="G4:G15" si="0">E4+F4</f>
        <v>46057</v>
      </c>
      <c r="H4" s="11">
        <f t="shared" ref="H4:H15" si="1">IF($D4="Cancelada","",DATE(YEAR($G4),MONTH($G4),1))</f>
        <v>46054</v>
      </c>
      <c r="I4" s="13">
        <v>60000</v>
      </c>
    </row>
    <row r="5" spans="1:9" x14ac:dyDescent="0.45">
      <c r="A5" s="9" t="s">
        <v>55</v>
      </c>
      <c r="B5" s="9" t="s">
        <v>56</v>
      </c>
      <c r="C5" s="9" t="s">
        <v>53</v>
      </c>
      <c r="D5" s="9" t="s">
        <v>54</v>
      </c>
      <c r="E5" s="10">
        <v>46034</v>
      </c>
      <c r="F5" s="9">
        <v>15</v>
      </c>
      <c r="G5" s="17">
        <f t="shared" si="0"/>
        <v>46049</v>
      </c>
      <c r="H5" s="11">
        <f t="shared" si="1"/>
        <v>46023</v>
      </c>
      <c r="I5" s="13">
        <v>45000</v>
      </c>
    </row>
    <row r="6" spans="1:9" x14ac:dyDescent="0.45">
      <c r="A6" s="9" t="s">
        <v>57</v>
      </c>
      <c r="B6" s="9" t="s">
        <v>52</v>
      </c>
      <c r="C6" s="9" t="s">
        <v>53</v>
      </c>
      <c r="D6" s="9" t="s">
        <v>58</v>
      </c>
      <c r="E6" s="10">
        <v>46063</v>
      </c>
      <c r="F6" s="9">
        <v>30</v>
      </c>
      <c r="G6" s="17">
        <f t="shared" si="0"/>
        <v>46093</v>
      </c>
      <c r="H6" s="11">
        <f t="shared" si="1"/>
        <v>46082</v>
      </c>
      <c r="I6" s="13">
        <v>70000</v>
      </c>
    </row>
    <row r="7" spans="1:9" x14ac:dyDescent="0.45">
      <c r="A7" s="9" t="s">
        <v>59</v>
      </c>
      <c r="B7" s="9" t="s">
        <v>60</v>
      </c>
      <c r="C7" s="9" t="s">
        <v>53</v>
      </c>
      <c r="D7" s="9" t="s">
        <v>61</v>
      </c>
      <c r="E7" s="10">
        <v>46068</v>
      </c>
      <c r="F7" s="9">
        <v>30</v>
      </c>
      <c r="G7" s="17">
        <f t="shared" si="0"/>
        <v>46098</v>
      </c>
      <c r="H7" s="11" t="str">
        <f t="shared" si="1"/>
        <v/>
      </c>
      <c r="I7" s="13">
        <v>25000</v>
      </c>
    </row>
    <row r="8" spans="1:9" x14ac:dyDescent="0.45">
      <c r="A8" s="9" t="s">
        <v>62</v>
      </c>
      <c r="B8" s="9" t="s">
        <v>56</v>
      </c>
      <c r="C8" s="9" t="s">
        <v>53</v>
      </c>
      <c r="D8" s="9" t="s">
        <v>58</v>
      </c>
      <c r="E8" s="10">
        <v>46082</v>
      </c>
      <c r="F8" s="9">
        <v>30</v>
      </c>
      <c r="G8" s="17">
        <f t="shared" si="0"/>
        <v>46112</v>
      </c>
      <c r="H8" s="11">
        <f t="shared" si="1"/>
        <v>46082</v>
      </c>
      <c r="I8" s="13">
        <v>55000</v>
      </c>
    </row>
    <row r="9" spans="1:9" x14ac:dyDescent="0.45">
      <c r="A9" s="9" t="s">
        <v>63</v>
      </c>
      <c r="B9" s="9" t="s">
        <v>52</v>
      </c>
      <c r="C9" s="9" t="s">
        <v>53</v>
      </c>
      <c r="D9" s="9" t="s">
        <v>58</v>
      </c>
      <c r="E9" s="10">
        <v>46101</v>
      </c>
      <c r="F9" s="9">
        <v>15</v>
      </c>
      <c r="G9" s="17">
        <f t="shared" si="0"/>
        <v>46116</v>
      </c>
      <c r="H9" s="11">
        <f t="shared" si="1"/>
        <v>46113</v>
      </c>
      <c r="I9" s="13">
        <v>40000</v>
      </c>
    </row>
    <row r="10" spans="1:9" x14ac:dyDescent="0.45">
      <c r="A10" s="9" t="s">
        <v>64</v>
      </c>
      <c r="B10" s="9" t="s">
        <v>65</v>
      </c>
      <c r="C10" s="9" t="s">
        <v>53</v>
      </c>
      <c r="D10" s="9" t="s">
        <v>58</v>
      </c>
      <c r="E10" s="10">
        <v>46117</v>
      </c>
      <c r="F10" s="9">
        <v>30</v>
      </c>
      <c r="G10" s="17">
        <f t="shared" si="0"/>
        <v>46147</v>
      </c>
      <c r="H10" s="11">
        <f t="shared" si="1"/>
        <v>46143</v>
      </c>
      <c r="I10" s="13">
        <v>65000</v>
      </c>
    </row>
    <row r="11" spans="1:9" x14ac:dyDescent="0.45">
      <c r="A11" s="9" t="s">
        <v>66</v>
      </c>
      <c r="B11" s="9" t="s">
        <v>56</v>
      </c>
      <c r="C11" s="9" t="s">
        <v>53</v>
      </c>
      <c r="D11" s="9" t="s">
        <v>58</v>
      </c>
      <c r="E11" s="10">
        <v>46150</v>
      </c>
      <c r="F11" s="9">
        <v>30</v>
      </c>
      <c r="G11" s="17">
        <f t="shared" si="0"/>
        <v>46180</v>
      </c>
      <c r="H11" s="11">
        <f t="shared" si="1"/>
        <v>46174</v>
      </c>
      <c r="I11" s="13">
        <v>58000</v>
      </c>
    </row>
    <row r="12" spans="1:9" x14ac:dyDescent="0.45">
      <c r="A12" s="9" t="s">
        <v>67</v>
      </c>
      <c r="B12" s="9" t="s">
        <v>68</v>
      </c>
      <c r="C12" s="9" t="s">
        <v>69</v>
      </c>
      <c r="D12" s="9" t="s">
        <v>54</v>
      </c>
      <c r="E12" s="10">
        <v>46032</v>
      </c>
      <c r="F12" s="9">
        <v>15</v>
      </c>
      <c r="G12" s="17">
        <f t="shared" si="0"/>
        <v>46047</v>
      </c>
      <c r="H12" s="11">
        <f t="shared" si="1"/>
        <v>46023</v>
      </c>
      <c r="I12" s="13">
        <v>20000</v>
      </c>
    </row>
    <row r="13" spans="1:9" x14ac:dyDescent="0.45">
      <c r="A13" s="9" t="s">
        <v>70</v>
      </c>
      <c r="B13" s="9" t="s">
        <v>68</v>
      </c>
      <c r="C13" s="9" t="s">
        <v>69</v>
      </c>
      <c r="D13" s="9" t="s">
        <v>58</v>
      </c>
      <c r="E13" s="10">
        <v>46073</v>
      </c>
      <c r="F13" s="9">
        <v>30</v>
      </c>
      <c r="G13" s="17">
        <f t="shared" si="0"/>
        <v>46103</v>
      </c>
      <c r="H13" s="11">
        <f t="shared" si="1"/>
        <v>46082</v>
      </c>
      <c r="I13" s="13">
        <v>30000</v>
      </c>
    </row>
    <row r="14" spans="1:9" x14ac:dyDescent="0.45">
      <c r="A14" s="9" t="s">
        <v>71</v>
      </c>
      <c r="B14" s="9" t="s">
        <v>72</v>
      </c>
      <c r="C14" s="9" t="s">
        <v>69</v>
      </c>
      <c r="D14" s="9" t="s">
        <v>58</v>
      </c>
      <c r="E14" s="10">
        <v>46091</v>
      </c>
      <c r="F14" s="9">
        <v>30</v>
      </c>
      <c r="G14" s="17">
        <f t="shared" si="0"/>
        <v>46121</v>
      </c>
      <c r="H14" s="11">
        <f t="shared" si="1"/>
        <v>46113</v>
      </c>
      <c r="I14" s="13">
        <v>28000</v>
      </c>
    </row>
    <row r="15" spans="1:9" x14ac:dyDescent="0.45">
      <c r="A15" s="9" t="s">
        <v>73</v>
      </c>
      <c r="B15" s="9" t="s">
        <v>68</v>
      </c>
      <c r="C15" s="9" t="s">
        <v>69</v>
      </c>
      <c r="D15" s="9" t="s">
        <v>58</v>
      </c>
      <c r="E15" s="10">
        <v>46124</v>
      </c>
      <c r="F15" s="9">
        <v>30</v>
      </c>
      <c r="G15" s="17">
        <f t="shared" si="0"/>
        <v>46154</v>
      </c>
      <c r="H15" s="11">
        <f t="shared" si="1"/>
        <v>46143</v>
      </c>
      <c r="I15" s="13">
        <v>32000</v>
      </c>
    </row>
    <row r="16" spans="1:9" x14ac:dyDescent="0.45">
      <c r="A16" s="14"/>
      <c r="B16" s="14"/>
      <c r="C16" s="14"/>
      <c r="D16" s="14"/>
      <c r="E16" s="14"/>
      <c r="F16" s="14"/>
      <c r="G16" s="17" t="str">
        <f t="shared" ref="G16:G30" si="2">IF(E16="","",E16+F16)</f>
        <v/>
      </c>
      <c r="H16" s="11" t="str">
        <f t="shared" ref="H16:H30" si="3">IF(OR($D16="Cancelada",$D16=""),"",IF($G16="","",DATE(YEAR($G16),MONTH($G16),1)))</f>
        <v/>
      </c>
      <c r="I16" s="15"/>
    </row>
    <row r="17" spans="1:9" x14ac:dyDescent="0.45">
      <c r="A17" s="14"/>
      <c r="B17" s="14"/>
      <c r="C17" s="14"/>
      <c r="D17" s="14"/>
      <c r="E17" s="14"/>
      <c r="F17" s="14"/>
      <c r="G17" s="17" t="str">
        <f t="shared" si="2"/>
        <v/>
      </c>
      <c r="H17" s="11" t="str">
        <f t="shared" si="3"/>
        <v/>
      </c>
      <c r="I17" s="15"/>
    </row>
    <row r="18" spans="1:9" x14ac:dyDescent="0.45">
      <c r="A18" s="14"/>
      <c r="B18" s="14"/>
      <c r="C18" s="14"/>
      <c r="D18" s="14"/>
      <c r="E18" s="14"/>
      <c r="F18" s="14"/>
      <c r="G18" s="17" t="str">
        <f t="shared" si="2"/>
        <v/>
      </c>
      <c r="H18" s="11" t="str">
        <f t="shared" si="3"/>
        <v/>
      </c>
      <c r="I18" s="15"/>
    </row>
    <row r="19" spans="1:9" x14ac:dyDescent="0.45">
      <c r="A19" s="14"/>
      <c r="B19" s="14"/>
      <c r="C19" s="14"/>
      <c r="D19" s="14"/>
      <c r="E19" s="14"/>
      <c r="F19" s="14"/>
      <c r="G19" s="17" t="str">
        <f t="shared" si="2"/>
        <v/>
      </c>
      <c r="H19" s="11" t="str">
        <f t="shared" si="3"/>
        <v/>
      </c>
      <c r="I19" s="15"/>
    </row>
    <row r="20" spans="1:9" x14ac:dyDescent="0.45">
      <c r="A20" s="14"/>
      <c r="B20" s="14"/>
      <c r="C20" s="14"/>
      <c r="D20" s="14"/>
      <c r="E20" s="14"/>
      <c r="F20" s="14"/>
      <c r="G20" s="17" t="str">
        <f t="shared" si="2"/>
        <v/>
      </c>
      <c r="H20" s="11" t="str">
        <f t="shared" si="3"/>
        <v/>
      </c>
      <c r="I20" s="15"/>
    </row>
    <row r="21" spans="1:9" x14ac:dyDescent="0.45">
      <c r="A21" s="14"/>
      <c r="B21" s="14"/>
      <c r="C21" s="14"/>
      <c r="D21" s="14"/>
      <c r="E21" s="14"/>
      <c r="F21" s="14"/>
      <c r="G21" s="17" t="str">
        <f t="shared" si="2"/>
        <v/>
      </c>
      <c r="H21" s="11" t="str">
        <f t="shared" si="3"/>
        <v/>
      </c>
      <c r="I21" s="15"/>
    </row>
    <row r="22" spans="1:9" x14ac:dyDescent="0.45">
      <c r="A22" s="14"/>
      <c r="B22" s="14"/>
      <c r="C22" s="14"/>
      <c r="D22" s="14"/>
      <c r="E22" s="14"/>
      <c r="F22" s="14"/>
      <c r="G22" s="17" t="str">
        <f t="shared" si="2"/>
        <v/>
      </c>
      <c r="H22" s="11" t="str">
        <f t="shared" si="3"/>
        <v/>
      </c>
      <c r="I22" s="15"/>
    </row>
    <row r="23" spans="1:9" x14ac:dyDescent="0.45">
      <c r="A23" s="14"/>
      <c r="B23" s="14"/>
      <c r="C23" s="14"/>
      <c r="D23" s="14"/>
      <c r="E23" s="14"/>
      <c r="F23" s="14"/>
      <c r="G23" s="17" t="str">
        <f t="shared" si="2"/>
        <v/>
      </c>
      <c r="H23" s="11" t="str">
        <f t="shared" si="3"/>
        <v/>
      </c>
      <c r="I23" s="15"/>
    </row>
    <row r="24" spans="1:9" x14ac:dyDescent="0.45">
      <c r="A24" s="14"/>
      <c r="B24" s="14"/>
      <c r="C24" s="14"/>
      <c r="D24" s="14"/>
      <c r="E24" s="14"/>
      <c r="F24" s="14"/>
      <c r="G24" s="17" t="str">
        <f t="shared" si="2"/>
        <v/>
      </c>
      <c r="H24" s="11" t="str">
        <f t="shared" si="3"/>
        <v/>
      </c>
      <c r="I24" s="15"/>
    </row>
    <row r="25" spans="1:9" x14ac:dyDescent="0.45">
      <c r="A25" s="14"/>
      <c r="B25" s="14"/>
      <c r="C25" s="14"/>
      <c r="D25" s="14"/>
      <c r="E25" s="14"/>
      <c r="F25" s="14"/>
      <c r="G25" s="17" t="str">
        <f t="shared" si="2"/>
        <v/>
      </c>
      <c r="H25" s="11" t="str">
        <f t="shared" si="3"/>
        <v/>
      </c>
      <c r="I25" s="15"/>
    </row>
    <row r="26" spans="1:9" x14ac:dyDescent="0.45">
      <c r="A26" s="14"/>
      <c r="B26" s="14"/>
      <c r="C26" s="14"/>
      <c r="D26" s="14"/>
      <c r="E26" s="14"/>
      <c r="F26" s="14"/>
      <c r="G26" s="17" t="str">
        <f t="shared" si="2"/>
        <v/>
      </c>
      <c r="H26" s="11" t="str">
        <f t="shared" si="3"/>
        <v/>
      </c>
      <c r="I26" s="15"/>
    </row>
    <row r="27" spans="1:9" x14ac:dyDescent="0.45">
      <c r="A27" s="14"/>
      <c r="B27" s="14"/>
      <c r="C27" s="14"/>
      <c r="D27" s="14"/>
      <c r="E27" s="14"/>
      <c r="F27" s="14"/>
      <c r="G27" s="17" t="str">
        <f t="shared" si="2"/>
        <v/>
      </c>
      <c r="H27" s="11" t="str">
        <f t="shared" si="3"/>
        <v/>
      </c>
      <c r="I27" s="15"/>
    </row>
    <row r="28" spans="1:9" x14ac:dyDescent="0.45">
      <c r="A28" s="14"/>
      <c r="B28" s="14"/>
      <c r="C28" s="14"/>
      <c r="D28" s="14"/>
      <c r="E28" s="14"/>
      <c r="F28" s="14"/>
      <c r="G28" s="17" t="str">
        <f t="shared" si="2"/>
        <v/>
      </c>
      <c r="H28" s="11" t="str">
        <f t="shared" si="3"/>
        <v/>
      </c>
      <c r="I28" s="15"/>
    </row>
    <row r="29" spans="1:9" x14ac:dyDescent="0.45">
      <c r="A29" s="14"/>
      <c r="B29" s="14"/>
      <c r="C29" s="14"/>
      <c r="D29" s="14"/>
      <c r="E29" s="14"/>
      <c r="F29" s="14"/>
      <c r="G29" s="17" t="str">
        <f t="shared" si="2"/>
        <v/>
      </c>
      <c r="H29" s="11" t="str">
        <f t="shared" si="3"/>
        <v/>
      </c>
      <c r="I29" s="15"/>
    </row>
    <row r="30" spans="1:9" x14ac:dyDescent="0.45">
      <c r="A30" s="14"/>
      <c r="B30" s="14"/>
      <c r="C30" s="14"/>
      <c r="D30" s="14"/>
      <c r="E30" s="14"/>
      <c r="F30" s="14"/>
      <c r="G30" s="17" t="str">
        <f t="shared" si="2"/>
        <v/>
      </c>
      <c r="H30" s="11" t="str">
        <f t="shared" si="3"/>
        <v/>
      </c>
      <c r="I30" s="15"/>
    </row>
    <row r="32" spans="1:9" x14ac:dyDescent="0.45">
      <c r="A32" s="7" t="s">
        <v>74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defaultColWidth="8.6640625" defaultRowHeight="13.5" x14ac:dyDescent="0.35"/>
  <cols>
    <col min="1" max="1" width="28" style="44" customWidth="1"/>
    <col min="2" max="13" width="13" style="44" customWidth="1"/>
    <col min="14" max="16384" width="8.6640625" style="44"/>
  </cols>
  <sheetData>
    <row r="1" spans="1:13" ht="27.75" customHeight="1" x14ac:dyDescent="0.35">
      <c r="A1" s="30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3" spans="1:13" ht="13.9" x14ac:dyDescent="0.4">
      <c r="A3" s="18" t="s">
        <v>76</v>
      </c>
      <c r="B3" s="19">
        <v>46023</v>
      </c>
    </row>
    <row r="4" spans="1:13" ht="13.9" x14ac:dyDescent="0.4">
      <c r="A4" s="18" t="s">
        <v>130</v>
      </c>
      <c r="B4" s="43">
        <f>+D6</f>
        <v>46082</v>
      </c>
      <c r="C4" s="49" t="s">
        <v>131</v>
      </c>
    </row>
    <row r="6" spans="1:13" ht="13.9" x14ac:dyDescent="0.4">
      <c r="A6" s="20" t="s">
        <v>19</v>
      </c>
      <c r="B6" s="21">
        <f>EDATE($B$3,0)</f>
        <v>46023</v>
      </c>
      <c r="C6" s="21">
        <f>EDATE($B$3,1)</f>
        <v>46054</v>
      </c>
      <c r="D6" s="42">
        <f>EDATE($B$3,2)</f>
        <v>46082</v>
      </c>
      <c r="E6" s="21">
        <f>EDATE($B$3,3)</f>
        <v>46113</v>
      </c>
      <c r="F6" s="21">
        <f>EDATE($B$3,4)</f>
        <v>46143</v>
      </c>
      <c r="G6" s="21">
        <f>EDATE($B$3,5)</f>
        <v>46174</v>
      </c>
      <c r="H6" s="21">
        <f>EDATE($B$3,6)</f>
        <v>46204</v>
      </c>
      <c r="I6" s="21">
        <f>EDATE($B$3,7)</f>
        <v>46235</v>
      </c>
      <c r="J6" s="21">
        <f>EDATE($B$3,8)</f>
        <v>46266</v>
      </c>
      <c r="K6" s="21">
        <f>EDATE($B$3,9)</f>
        <v>46296</v>
      </c>
      <c r="L6" s="21">
        <f>EDATE($B$3,10)</f>
        <v>46327</v>
      </c>
      <c r="M6" s="21">
        <f>EDATE($B$3,11)</f>
        <v>46357</v>
      </c>
    </row>
    <row r="7" spans="1:13" ht="13.9" x14ac:dyDescent="0.4">
      <c r="A7" s="22" t="s">
        <v>77</v>
      </c>
      <c r="B7" s="35">
        <v>250000</v>
      </c>
      <c r="C7" s="34">
        <f t="shared" ref="C7:M7" si="0">B30</f>
        <v>127000</v>
      </c>
      <c r="D7" s="34">
        <f t="shared" si="0"/>
        <v>144000</v>
      </c>
      <c r="E7" s="34">
        <f t="shared" si="0"/>
        <v>204000</v>
      </c>
      <c r="F7" s="34">
        <f t="shared" si="0"/>
        <v>186000</v>
      </c>
      <c r="G7" s="34">
        <f t="shared" si="0"/>
        <v>193000</v>
      </c>
      <c r="H7" s="34">
        <f t="shared" si="0"/>
        <v>251000</v>
      </c>
      <c r="I7" s="34">
        <f t="shared" si="0"/>
        <v>251000</v>
      </c>
      <c r="J7" s="34">
        <f t="shared" si="0"/>
        <v>251000</v>
      </c>
      <c r="K7" s="34">
        <f t="shared" si="0"/>
        <v>251000</v>
      </c>
      <c r="L7" s="34">
        <f t="shared" si="0"/>
        <v>251000</v>
      </c>
      <c r="M7" s="34">
        <f t="shared" si="0"/>
        <v>251000</v>
      </c>
    </row>
    <row r="8" spans="1:13" s="45" customFormat="1" ht="13.9" x14ac:dyDescent="0.4">
      <c r="A8" s="38"/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3" s="46" customFormat="1" ht="13.9" x14ac:dyDescent="0.4">
      <c r="A9" s="22" t="s">
        <v>118</v>
      </c>
      <c r="B9" s="34">
        <f>+B10+B11</f>
        <v>20000</v>
      </c>
      <c r="C9" s="34">
        <f t="shared" ref="C9:M9" si="1">+C10+C11</f>
        <v>15000</v>
      </c>
      <c r="D9" s="34">
        <f t="shared" si="1"/>
        <v>143000</v>
      </c>
      <c r="E9" s="34">
        <f t="shared" si="1"/>
        <v>40000</v>
      </c>
      <c r="F9" s="34">
        <f t="shared" si="1"/>
        <v>65000</v>
      </c>
      <c r="G9" s="34">
        <f t="shared" si="1"/>
        <v>58000</v>
      </c>
      <c r="H9" s="34">
        <f t="shared" si="1"/>
        <v>0</v>
      </c>
      <c r="I9" s="34">
        <f t="shared" si="1"/>
        <v>0</v>
      </c>
      <c r="J9" s="34">
        <f t="shared" si="1"/>
        <v>0</v>
      </c>
      <c r="K9" s="34">
        <f t="shared" si="1"/>
        <v>0</v>
      </c>
      <c r="L9" s="34">
        <f t="shared" si="1"/>
        <v>0</v>
      </c>
      <c r="M9" s="34">
        <f t="shared" si="1"/>
        <v>0</v>
      </c>
    </row>
    <row r="10" spans="1:13" s="46" customFormat="1" ht="13.9" x14ac:dyDescent="0.4">
      <c r="A10" s="33" t="s">
        <v>128</v>
      </c>
      <c r="B10" s="23">
        <f>+SUMIFS('DB Facturas'!$I:$I,'DB Facturas'!$C:$C,'Flujo de caja'!$A10,'DB Facturas'!$D:$D,"Vigente",'DB Facturas'!$H:$H,'Flujo de caja'!B$6)</f>
        <v>0</v>
      </c>
      <c r="C10" s="23">
        <f>+SUMIFS('DB Facturas'!$I:$I,'DB Facturas'!$C:$C,'Flujo de caja'!$A10,'DB Facturas'!$D:$D,"Vigente",'DB Facturas'!$H:$H,'Flujo de caja'!C$6)</f>
        <v>0</v>
      </c>
      <c r="D10" s="23">
        <f>+SUMIFS('DB Facturas'!$I:$I,'DB Facturas'!$C:$C,'Flujo de caja'!$A10,'DB Facturas'!$D:$D,"Vigente",'DB Facturas'!$H:$H,'Flujo de caja'!D$6)</f>
        <v>125000</v>
      </c>
      <c r="E10" s="23">
        <f>+SUMIFS('DB Facturas'!$I:$I,'DB Facturas'!$C:$C,'Flujo de caja'!$A10,'DB Facturas'!$D:$D,"Vigente",'DB Facturas'!$H:$H,'Flujo de caja'!E$6)</f>
        <v>40000</v>
      </c>
      <c r="F10" s="23">
        <f>+SUMIFS('DB Facturas'!$I:$I,'DB Facturas'!$C:$C,'Flujo de caja'!$A10,'DB Facturas'!$D:$D,"Vigente",'DB Facturas'!$H:$H,'Flujo de caja'!F$6)</f>
        <v>65000</v>
      </c>
      <c r="G10" s="23">
        <f>+SUMIFS('DB Facturas'!$I:$I,'DB Facturas'!$C:$C,'Flujo de caja'!$A10,'DB Facturas'!$D:$D,"Vigente",'DB Facturas'!$H:$H,'Flujo de caja'!G$6)</f>
        <v>58000</v>
      </c>
      <c r="H10" s="23">
        <f>+SUMIFS('DB Facturas'!$I:$I,'DB Facturas'!$C:$C,'Flujo de caja'!$A10,'DB Facturas'!$D:$D,"Vigente",'DB Facturas'!$H:$H,'Flujo de caja'!H$6)</f>
        <v>0</v>
      </c>
      <c r="I10" s="23">
        <f>+SUMIFS('DB Facturas'!$I:$I,'DB Facturas'!$C:$C,'Flujo de caja'!$A10,'DB Facturas'!$D:$D,"Vigente",'DB Facturas'!$H:$H,'Flujo de caja'!I$6)</f>
        <v>0</v>
      </c>
      <c r="J10" s="23">
        <f>+SUMIFS('DB Facturas'!$I:$I,'DB Facturas'!$C:$C,'Flujo de caja'!$A10,'DB Facturas'!$D:$D,"Vigente",'DB Facturas'!$H:$H,'Flujo de caja'!J$6)</f>
        <v>0</v>
      </c>
      <c r="K10" s="23">
        <f>+SUMIFS('DB Facturas'!$I:$I,'DB Facturas'!$C:$C,'Flujo de caja'!$A10,'DB Facturas'!$D:$D,"Vigente",'DB Facturas'!$H:$H,'Flujo de caja'!K$6)</f>
        <v>0</v>
      </c>
      <c r="L10" s="23">
        <f>+SUMIFS('DB Facturas'!$I:$I,'DB Facturas'!$C:$C,'Flujo de caja'!$A10,'DB Facturas'!$D:$D,"Vigente",'DB Facturas'!$H:$H,'Flujo de caja'!L$6)</f>
        <v>0</v>
      </c>
      <c r="M10" s="23">
        <f>+SUMIFS('DB Facturas'!$I:$I,'DB Facturas'!$C:$C,'Flujo de caja'!$A10,'DB Facturas'!$D:$D,"Vigente",'DB Facturas'!$H:$H,'Flujo de caja'!M$6)</f>
        <v>0</v>
      </c>
    </row>
    <row r="11" spans="1:13" x14ac:dyDescent="0.35">
      <c r="A11" s="33" t="s">
        <v>125</v>
      </c>
      <c r="B11" s="23">
        <f>+SUMIFS(Transacciones!$H:$H,Transacciones!$D:$D,"Ingreso",Transacciones!$G:$G,'Flujo de caja'!$A11,Transacciones!$B:$B,'Flujo de caja'!B$6)</f>
        <v>20000</v>
      </c>
      <c r="C11" s="23">
        <f>+SUMIFS(Transacciones!$H:$H,Transacciones!$D:$D,"Ingreso",Transacciones!$G:$G,'Flujo de caja'!$A11,Transacciones!$B:$B,'Flujo de caja'!C$6)</f>
        <v>15000</v>
      </c>
      <c r="D11" s="23">
        <f>+SUMIFS(Transacciones!$H:$H,Transacciones!$D:$D,"Ingreso",Transacciones!$G:$G,'Flujo de caja'!$A11,Transacciones!$B:$B,'Flujo de caja'!D$6)</f>
        <v>18000</v>
      </c>
      <c r="E11" s="23">
        <f>+SUMIFS(Transacciones!$H:$H,Transacciones!$D:$D,"Ingreso",Transacciones!$G:$G,'Flujo de caja'!$A11,Transacciones!$B:$B,'Flujo de caja'!E$6)</f>
        <v>0</v>
      </c>
      <c r="F11" s="23">
        <f>+SUMIFS(Transacciones!$H:$H,Transacciones!$D:$D,"Ingreso",Transacciones!$G:$G,'Flujo de caja'!$A11,Transacciones!$B:$B,'Flujo de caja'!F$6)</f>
        <v>0</v>
      </c>
      <c r="G11" s="23">
        <f>+SUMIFS(Transacciones!$H:$H,Transacciones!$D:$D,"Ingreso",Transacciones!$G:$G,'Flujo de caja'!$A11,Transacciones!$B:$B,'Flujo de caja'!G$6)</f>
        <v>0</v>
      </c>
      <c r="H11" s="23">
        <f>+SUMIFS(Transacciones!$H:$H,Transacciones!$D:$D,"Ingreso",Transacciones!$G:$G,'Flujo de caja'!$A11,Transacciones!$B:$B,'Flujo de caja'!H$6)</f>
        <v>0</v>
      </c>
      <c r="I11" s="23">
        <f>+SUMIFS(Transacciones!$H:$H,Transacciones!$D:$D,"Ingreso",Transacciones!$G:$G,'Flujo de caja'!$A11,Transacciones!$B:$B,'Flujo de caja'!I$6)</f>
        <v>0</v>
      </c>
      <c r="J11" s="23">
        <f>+SUMIFS(Transacciones!$H:$H,Transacciones!$D:$D,"Ingreso",Transacciones!$G:$G,'Flujo de caja'!$A11,Transacciones!$B:$B,'Flujo de caja'!J$6)</f>
        <v>0</v>
      </c>
      <c r="K11" s="23">
        <f>+SUMIFS(Transacciones!$H:$H,Transacciones!$D:$D,"Ingreso",Transacciones!$G:$G,'Flujo de caja'!$A11,Transacciones!$B:$B,'Flujo de caja'!K$6)</f>
        <v>0</v>
      </c>
      <c r="L11" s="23">
        <f>+SUMIFS(Transacciones!$H:$H,Transacciones!$D:$D,"Ingreso",Transacciones!$G:$G,'Flujo de caja'!$A11,Transacciones!$B:$B,'Flujo de caja'!L$6)</f>
        <v>0</v>
      </c>
      <c r="M11" s="23">
        <f>+SUMIFS(Transacciones!$H:$H,Transacciones!$D:$D,"Ingreso",Transacciones!$G:$G,'Flujo de caja'!$A11,Transacciones!$B:$B,'Flujo de caja'!M$6)</f>
        <v>0</v>
      </c>
    </row>
    <row r="12" spans="1:13" s="46" customFormat="1" ht="13.9" x14ac:dyDescent="0.4">
      <c r="A12" s="22" t="s">
        <v>119</v>
      </c>
      <c r="B12" s="34">
        <f>+B13</f>
        <v>45000</v>
      </c>
      <c r="C12" s="34">
        <f t="shared" ref="C12:M12" si="2">+C13</f>
        <v>60000</v>
      </c>
      <c r="D12" s="34">
        <f t="shared" si="2"/>
        <v>0</v>
      </c>
      <c r="E12" s="34">
        <f t="shared" si="2"/>
        <v>0</v>
      </c>
      <c r="F12" s="34">
        <f t="shared" si="2"/>
        <v>0</v>
      </c>
      <c r="G12" s="34">
        <f t="shared" si="2"/>
        <v>0</v>
      </c>
      <c r="H12" s="34">
        <f t="shared" si="2"/>
        <v>0</v>
      </c>
      <c r="I12" s="34">
        <f t="shared" si="2"/>
        <v>0</v>
      </c>
      <c r="J12" s="34">
        <f t="shared" si="2"/>
        <v>0</v>
      </c>
      <c r="K12" s="34">
        <f t="shared" si="2"/>
        <v>0</v>
      </c>
      <c r="L12" s="34">
        <f t="shared" si="2"/>
        <v>0</v>
      </c>
      <c r="M12" s="34">
        <f t="shared" si="2"/>
        <v>0</v>
      </c>
    </row>
    <row r="13" spans="1:13" x14ac:dyDescent="0.35">
      <c r="A13" s="33" t="s">
        <v>126</v>
      </c>
      <c r="B13" s="23">
        <f>+SUMIFS(Transacciones!$H:$H,Transacciones!$D:$D,"Ingreso",Transacciones!$G:$G,'Flujo de caja'!$A13,Transacciones!$B:$B,'Flujo de caja'!B$6)</f>
        <v>45000</v>
      </c>
      <c r="C13" s="23">
        <f>+SUMIFS(Transacciones!$H:$H,Transacciones!$D:$D,"Ingreso",Transacciones!$G:$G,'Flujo de caja'!$A13,Transacciones!$B:$B,'Flujo de caja'!C$6)</f>
        <v>60000</v>
      </c>
      <c r="D13" s="23">
        <f>+SUMIFS(Transacciones!$H:$H,Transacciones!$D:$D,"Ingreso",Transacciones!$G:$G,'Flujo de caja'!$A13,Transacciones!$B:$B,'Flujo de caja'!D$6)</f>
        <v>0</v>
      </c>
      <c r="E13" s="23">
        <f>+SUMIFS(Transacciones!$H:$H,Transacciones!$D:$D,"Ingreso",Transacciones!$G:$G,'Flujo de caja'!$A13,Transacciones!$B:$B,'Flujo de caja'!E$6)</f>
        <v>0</v>
      </c>
      <c r="F13" s="23">
        <f>+SUMIFS(Transacciones!$H:$H,Transacciones!$D:$D,"Ingreso",Transacciones!$G:$G,'Flujo de caja'!$A13,Transacciones!$B:$B,'Flujo de caja'!F$6)</f>
        <v>0</v>
      </c>
      <c r="G13" s="23">
        <f>+SUMIFS(Transacciones!$H:$H,Transacciones!$D:$D,"Ingreso",Transacciones!$G:$G,'Flujo de caja'!$A13,Transacciones!$B:$B,'Flujo de caja'!G$6)</f>
        <v>0</v>
      </c>
      <c r="H13" s="23">
        <f>+SUMIFS(Transacciones!$H:$H,Transacciones!$D:$D,"Ingreso",Transacciones!$G:$G,'Flujo de caja'!$A13,Transacciones!$B:$B,'Flujo de caja'!H$6)</f>
        <v>0</v>
      </c>
      <c r="I13" s="23">
        <f>+SUMIFS(Transacciones!$H:$H,Transacciones!$D:$D,"Ingreso",Transacciones!$G:$G,'Flujo de caja'!$A13,Transacciones!$B:$B,'Flujo de caja'!I$6)</f>
        <v>0</v>
      </c>
      <c r="J13" s="23">
        <f>+SUMIFS(Transacciones!$H:$H,Transacciones!$D:$D,"Ingreso",Transacciones!$G:$G,'Flujo de caja'!$A13,Transacciones!$B:$B,'Flujo de caja'!J$6)</f>
        <v>0</v>
      </c>
      <c r="K13" s="23">
        <f>+SUMIFS(Transacciones!$H:$H,Transacciones!$D:$D,"Ingreso",Transacciones!$G:$G,'Flujo de caja'!$A13,Transacciones!$B:$B,'Flujo de caja'!K$6)</f>
        <v>0</v>
      </c>
      <c r="L13" s="23">
        <f>+SUMIFS(Transacciones!$H:$H,Transacciones!$D:$D,"Ingreso",Transacciones!$G:$G,'Flujo de caja'!$A13,Transacciones!$B:$B,'Flujo de caja'!L$6)</f>
        <v>0</v>
      </c>
      <c r="M13" s="23">
        <f>+SUMIFS(Transacciones!$H:$H,Transacciones!$D:$D,"Ingreso",Transacciones!$G:$G,'Flujo de caja'!$A13,Transacciones!$B:$B,'Flujo de caja'!M$6)</f>
        <v>0</v>
      </c>
    </row>
    <row r="14" spans="1:13" x14ac:dyDescent="0.35">
      <c r="A14" s="24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 ht="13.9" x14ac:dyDescent="0.4">
      <c r="A15" s="36" t="s">
        <v>78</v>
      </c>
      <c r="B15" s="37">
        <f>+B12+B9</f>
        <v>65000</v>
      </c>
      <c r="C15" s="37">
        <f t="shared" ref="C15:M15" si="3">+C12+C9</f>
        <v>75000</v>
      </c>
      <c r="D15" s="37">
        <f t="shared" si="3"/>
        <v>143000</v>
      </c>
      <c r="E15" s="37">
        <f t="shared" si="3"/>
        <v>40000</v>
      </c>
      <c r="F15" s="37">
        <f t="shared" si="3"/>
        <v>65000</v>
      </c>
      <c r="G15" s="37">
        <f t="shared" si="3"/>
        <v>58000</v>
      </c>
      <c r="H15" s="37">
        <f t="shared" si="3"/>
        <v>0</v>
      </c>
      <c r="I15" s="37">
        <f t="shared" si="3"/>
        <v>0</v>
      </c>
      <c r="J15" s="37">
        <f t="shared" si="3"/>
        <v>0</v>
      </c>
      <c r="K15" s="37">
        <f t="shared" si="3"/>
        <v>0</v>
      </c>
      <c r="L15" s="37">
        <f t="shared" si="3"/>
        <v>0</v>
      </c>
      <c r="M15" s="37">
        <f t="shared" si="3"/>
        <v>0</v>
      </c>
    </row>
    <row r="16" spans="1:13" s="45" customFormat="1" ht="13.9" x14ac:dyDescent="0.4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13" ht="13.9" x14ac:dyDescent="0.4">
      <c r="A17" s="22" t="s">
        <v>118</v>
      </c>
      <c r="B17" s="34">
        <f>+SUM(B18:B22)</f>
        <v>-188000</v>
      </c>
      <c r="C17" s="34">
        <f t="shared" ref="C17:M17" si="4">+C20</f>
        <v>-58000</v>
      </c>
      <c r="D17" s="34">
        <f t="shared" si="4"/>
        <v>-58000</v>
      </c>
      <c r="E17" s="34">
        <f t="shared" si="4"/>
        <v>-58000</v>
      </c>
      <c r="F17" s="34">
        <f t="shared" si="4"/>
        <v>-58000</v>
      </c>
      <c r="G17" s="34">
        <f t="shared" si="4"/>
        <v>0</v>
      </c>
      <c r="H17" s="34">
        <f t="shared" si="4"/>
        <v>0</v>
      </c>
      <c r="I17" s="34">
        <f t="shared" si="4"/>
        <v>0</v>
      </c>
      <c r="J17" s="34">
        <f t="shared" si="4"/>
        <v>0</v>
      </c>
      <c r="K17" s="34">
        <f t="shared" si="4"/>
        <v>0</v>
      </c>
      <c r="L17" s="34">
        <f t="shared" si="4"/>
        <v>0</v>
      </c>
      <c r="M17" s="34">
        <f t="shared" si="4"/>
        <v>0</v>
      </c>
    </row>
    <row r="18" spans="1:13" x14ac:dyDescent="0.35">
      <c r="A18" s="33" t="s">
        <v>129</v>
      </c>
      <c r="B18" s="23">
        <f>-SUMIFS('DB Facturas'!$I:$I,'DB Facturas'!$C:$C,'Flujo de caja'!$A18,'DB Facturas'!$D:$D,"Vigente",'DB Facturas'!$H:$H,'Flujo de caja'!B$6)</f>
        <v>0</v>
      </c>
      <c r="C18" s="23">
        <f>-SUMIFS('DB Facturas'!$I:$I,'DB Facturas'!$C:$C,'Flujo de caja'!$A18,'DB Facturas'!$D:$D,"Vigente",'DB Facturas'!$H:$H,'Flujo de caja'!C$6)</f>
        <v>0</v>
      </c>
      <c r="D18" s="23">
        <f>-SUMIFS('DB Facturas'!$I:$I,'DB Facturas'!$C:$C,'Flujo de caja'!$A18,'DB Facturas'!$D:$D,"Vigente",'DB Facturas'!$H:$H,'Flujo de caja'!D$6)</f>
        <v>-30000</v>
      </c>
      <c r="E18" s="23">
        <f>-SUMIFS('DB Facturas'!$I:$I,'DB Facturas'!$C:$C,'Flujo de caja'!$A18,'DB Facturas'!$D:$D,"Vigente",'DB Facturas'!$H:$H,'Flujo de caja'!E$6)</f>
        <v>-28000</v>
      </c>
      <c r="F18" s="23">
        <f>-SUMIFS('DB Facturas'!$I:$I,'DB Facturas'!$C:$C,'Flujo de caja'!$A18,'DB Facturas'!$D:$D,"Vigente",'DB Facturas'!$H:$H,'Flujo de caja'!F$6)</f>
        <v>-32000</v>
      </c>
      <c r="G18" s="23">
        <f>-SUMIFS('DB Facturas'!$I:$I,'DB Facturas'!$C:$C,'Flujo de caja'!$A18,'DB Facturas'!$D:$D,"Vigente",'DB Facturas'!$H:$H,'Flujo de caja'!G$6)</f>
        <v>0</v>
      </c>
      <c r="H18" s="23">
        <f>-SUMIFS('DB Facturas'!$I:$I,'DB Facturas'!$C:$C,'Flujo de caja'!$A18,'DB Facturas'!$D:$D,"Vigente",'DB Facturas'!$H:$H,'Flujo de caja'!H$6)</f>
        <v>0</v>
      </c>
      <c r="I18" s="23">
        <f>-SUMIFS('DB Facturas'!$I:$I,'DB Facturas'!$C:$C,'Flujo de caja'!$A18,'DB Facturas'!$D:$D,"Vigente",'DB Facturas'!$H:$H,'Flujo de caja'!I$6)</f>
        <v>0</v>
      </c>
      <c r="J18" s="23">
        <f>-SUMIFS('DB Facturas'!$I:$I,'DB Facturas'!$C:$C,'Flujo de caja'!$A18,'DB Facturas'!$D:$D,"Vigente",'DB Facturas'!$H:$H,'Flujo de caja'!J$6)</f>
        <v>0</v>
      </c>
      <c r="K18" s="23">
        <f>-SUMIFS('DB Facturas'!$I:$I,'DB Facturas'!$C:$C,'Flujo de caja'!$A18,'DB Facturas'!$D:$D,"Vigente",'DB Facturas'!$H:$H,'Flujo de caja'!K$6)</f>
        <v>0</v>
      </c>
      <c r="L18" s="23">
        <f>-SUMIFS('DB Facturas'!$I:$I,'DB Facturas'!$C:$C,'Flujo de caja'!$A18,'DB Facturas'!$D:$D,"Vigente",'DB Facturas'!$H:$H,'Flujo de caja'!L$6)</f>
        <v>0</v>
      </c>
      <c r="M18" s="23">
        <f>-SUMIFS('DB Facturas'!$I:$I,'DB Facturas'!$C:$C,'Flujo de caja'!$A18,'DB Facturas'!$D:$D,"Vigente",'DB Facturas'!$H:$H,'Flujo de caja'!M$6)</f>
        <v>0</v>
      </c>
    </row>
    <row r="19" spans="1:13" x14ac:dyDescent="0.35">
      <c r="A19" s="33" t="s">
        <v>120</v>
      </c>
      <c r="B19" s="23">
        <f>+SUMIFS(Transacciones!$H:$H,Transacciones!$D:$D,"Egreso",Transacciones!$G:$G,'Flujo de caja'!$A19,Transacciones!$B:$B,'Flujo de caja'!B$6)</f>
        <v>-70000</v>
      </c>
      <c r="C19" s="23">
        <f>+SUMIFS(Transacciones!$H:$H,Transacciones!$D:$D,"Egreso",Transacciones!$G:$G,'Flujo de caja'!$A19,Transacciones!$B:$B,'Flujo de caja'!C$6)</f>
        <v>-58000</v>
      </c>
      <c r="D19" s="23">
        <f>+SUMIFS(Transacciones!$H:$H,Transacciones!$D:$D,"Egreso",Transacciones!$G:$G,'Flujo de caja'!$A19,Transacciones!$B:$B,'Flujo de caja'!D$6)</f>
        <v>-56000</v>
      </c>
      <c r="E19" s="23">
        <f>+SUMIFS(Transacciones!$H:$H,Transacciones!$D:$D,"Egreso",Transacciones!$G:$G,'Flujo de caja'!$A19,Transacciones!$B:$B,'Flujo de caja'!E$6)</f>
        <v>0</v>
      </c>
      <c r="F19" s="23">
        <f>+SUMIFS(Transacciones!$H:$H,Transacciones!$D:$D,"Egreso",Transacciones!$G:$G,'Flujo de caja'!$A19,Transacciones!$B:$B,'Flujo de caja'!F$6)</f>
        <v>0</v>
      </c>
      <c r="G19" s="23">
        <f>+SUMIFS(Transacciones!$H:$H,Transacciones!$D:$D,"Egreso",Transacciones!$G:$G,'Flujo de caja'!$A19,Transacciones!$B:$B,'Flujo de caja'!G$6)</f>
        <v>0</v>
      </c>
      <c r="H19" s="23">
        <f>+SUMIFS(Transacciones!$H:$H,Transacciones!$D:$D,"Egreso",Transacciones!$G:$G,'Flujo de caja'!$A19,Transacciones!$B:$B,'Flujo de caja'!H$6)</f>
        <v>0</v>
      </c>
      <c r="I19" s="23">
        <f>+SUMIFS(Transacciones!$H:$H,Transacciones!$D:$D,"Egreso",Transacciones!$G:$G,'Flujo de caja'!$A19,Transacciones!$B:$B,'Flujo de caja'!I$6)</f>
        <v>0</v>
      </c>
      <c r="J19" s="23">
        <f>+SUMIFS(Transacciones!$H:$H,Transacciones!$D:$D,"Egreso",Transacciones!$G:$G,'Flujo de caja'!$A19,Transacciones!$B:$B,'Flujo de caja'!J$6)</f>
        <v>0</v>
      </c>
      <c r="K19" s="23">
        <f>+SUMIFS(Transacciones!$H:$H,Transacciones!$D:$D,"Egreso",Transacciones!$G:$G,'Flujo de caja'!$A19,Transacciones!$B:$B,'Flujo de caja'!K$6)</f>
        <v>0</v>
      </c>
      <c r="L19" s="23">
        <f>+SUMIFS(Transacciones!$H:$H,Transacciones!$D:$D,"Egreso",Transacciones!$G:$G,'Flujo de caja'!$A19,Transacciones!$B:$B,'Flujo de caja'!L$6)</f>
        <v>0</v>
      </c>
      <c r="M19" s="23">
        <f>+SUMIFS(Transacciones!$H:$H,Transacciones!$D:$D,"Egreso",Transacciones!$G:$G,'Flujo de caja'!$A19,Transacciones!$B:$B,'Flujo de caja'!M$6)</f>
        <v>0</v>
      </c>
    </row>
    <row r="20" spans="1:13" x14ac:dyDescent="0.35">
      <c r="A20" s="33" t="s">
        <v>127</v>
      </c>
      <c r="B20" s="23">
        <f>+SUMIFS(Transacciones!$H:$H,Transacciones!$D:$D,"Egreso",Transacciones!$G:$G,'Flujo de caja'!$A20,Transacciones!$B:$B,'Flujo de caja'!B$6)</f>
        <v>-58000</v>
      </c>
      <c r="C20" s="23">
        <f>+SUMIFS(Transacciones!$H:$H,Transacciones!$D:$D,"Egreso",Transacciones!$G:$G,'Flujo de caja'!$A20,Transacciones!$B:$B,'Flujo de caja'!C$6)</f>
        <v>-58000</v>
      </c>
      <c r="D20" s="23">
        <f>+SUMIFS(Transacciones!$H:$H,Transacciones!$D:$D,"Egreso",Transacciones!$G:$G,'Flujo de caja'!$A20,Transacciones!$B:$B,'Flujo de caja'!D$6)</f>
        <v>-58000</v>
      </c>
      <c r="E20" s="23">
        <f>+SUMIFS(Transacciones!$H:$H,Transacciones!$D:$D,"Egreso",Transacciones!$G:$G,'Flujo de caja'!$A20,Transacciones!$B:$B,'Flujo de caja'!E$6)</f>
        <v>-58000</v>
      </c>
      <c r="F20" s="23">
        <f>+SUMIFS(Transacciones!$H:$H,Transacciones!$D:$D,"Egreso",Transacciones!$G:$G,'Flujo de caja'!$A20,Transacciones!$B:$B,'Flujo de caja'!F$6)</f>
        <v>-58000</v>
      </c>
      <c r="G20" s="23">
        <f>+SUMIFS(Transacciones!$H:$H,Transacciones!$D:$D,"Egreso",Transacciones!$G:$G,'Flujo de caja'!$A20,Transacciones!$B:$B,'Flujo de caja'!G$6)</f>
        <v>0</v>
      </c>
      <c r="H20" s="23">
        <f>+SUMIFS(Transacciones!$H:$H,Transacciones!$D:$D,"Egreso",Transacciones!$G:$G,'Flujo de caja'!$A20,Transacciones!$B:$B,'Flujo de caja'!H$6)</f>
        <v>0</v>
      </c>
      <c r="I20" s="23">
        <f>+SUMIFS(Transacciones!$H:$H,Transacciones!$D:$D,"Egreso",Transacciones!$G:$G,'Flujo de caja'!$A20,Transacciones!$B:$B,'Flujo de caja'!I$6)</f>
        <v>0</v>
      </c>
      <c r="J20" s="23">
        <f>+SUMIFS(Transacciones!$H:$H,Transacciones!$D:$D,"Egreso",Transacciones!$G:$G,'Flujo de caja'!$A20,Transacciones!$B:$B,'Flujo de caja'!J$6)</f>
        <v>0</v>
      </c>
      <c r="K20" s="23">
        <f>+SUMIFS(Transacciones!$H:$H,Transacciones!$D:$D,"Egreso",Transacciones!$G:$G,'Flujo de caja'!$A20,Transacciones!$B:$B,'Flujo de caja'!K$6)</f>
        <v>0</v>
      </c>
      <c r="L20" s="23">
        <f>+SUMIFS(Transacciones!$H:$H,Transacciones!$D:$D,"Egreso",Transacciones!$G:$G,'Flujo de caja'!$A20,Transacciones!$B:$B,'Flujo de caja'!L$6)</f>
        <v>0</v>
      </c>
      <c r="M20" s="23">
        <f>+SUMIFS(Transacciones!$H:$H,Transacciones!$D:$D,"Egreso",Transacciones!$G:$G,'Flujo de caja'!$A20,Transacciones!$B:$B,'Flujo de caja'!M$6)</f>
        <v>0</v>
      </c>
    </row>
    <row r="21" spans="1:13" x14ac:dyDescent="0.35">
      <c r="A21" s="33" t="s">
        <v>115</v>
      </c>
      <c r="B21" s="23">
        <f>+SUMIFS(Transacciones!$H:$H,Transacciones!$D:$D,"Egreso",Transacciones!$G:$G,'Flujo de caja'!$A21,Transacciones!$B:$B,'Flujo de caja'!B$6)</f>
        <v>-25000</v>
      </c>
      <c r="C21" s="23">
        <f>+SUMIFS(Transacciones!$H:$H,Transacciones!$D:$D,"Egreso",Transacciones!$G:$G,'Flujo de caja'!$A21,Transacciones!$B:$B,'Flujo de caja'!C$6)</f>
        <v>-25000</v>
      </c>
      <c r="D21" s="23">
        <f>+SUMIFS(Transacciones!$H:$H,Transacciones!$D:$D,"Egreso",Transacciones!$G:$G,'Flujo de caja'!$A21,Transacciones!$B:$B,'Flujo de caja'!D$6)</f>
        <v>-25000</v>
      </c>
      <c r="E21" s="23">
        <f>+SUMIFS(Transacciones!$H:$H,Transacciones!$D:$D,"Egreso",Transacciones!$G:$G,'Flujo de caja'!$A21,Transacciones!$B:$B,'Flujo de caja'!E$6)</f>
        <v>-25000</v>
      </c>
      <c r="F21" s="23">
        <f>+SUMIFS(Transacciones!$H:$H,Transacciones!$D:$D,"Egreso",Transacciones!$G:$G,'Flujo de caja'!$A21,Transacciones!$B:$B,'Flujo de caja'!F$6)</f>
        <v>-25000</v>
      </c>
      <c r="G21" s="23">
        <f>+SUMIFS(Transacciones!$H:$H,Transacciones!$D:$D,"Egreso",Transacciones!$G:$G,'Flujo de caja'!$A21,Transacciones!$B:$B,'Flujo de caja'!G$6)</f>
        <v>0</v>
      </c>
      <c r="H21" s="23">
        <f>+SUMIFS(Transacciones!$H:$H,Transacciones!$D:$D,"Egreso",Transacciones!$G:$G,'Flujo de caja'!$A21,Transacciones!$B:$B,'Flujo de caja'!H$6)</f>
        <v>0</v>
      </c>
      <c r="I21" s="23">
        <f>+SUMIFS(Transacciones!$H:$H,Transacciones!$D:$D,"Egreso",Transacciones!$G:$G,'Flujo de caja'!$A21,Transacciones!$B:$B,'Flujo de caja'!I$6)</f>
        <v>0</v>
      </c>
      <c r="J21" s="23">
        <f>+SUMIFS(Transacciones!$H:$H,Transacciones!$D:$D,"Egreso",Transacciones!$G:$G,'Flujo de caja'!$A21,Transacciones!$B:$B,'Flujo de caja'!J$6)</f>
        <v>0</v>
      </c>
      <c r="K21" s="23">
        <f>+SUMIFS(Transacciones!$H:$H,Transacciones!$D:$D,"Egreso",Transacciones!$G:$G,'Flujo de caja'!$A21,Transacciones!$B:$B,'Flujo de caja'!K$6)</f>
        <v>0</v>
      </c>
      <c r="L21" s="23">
        <f>+SUMIFS(Transacciones!$H:$H,Transacciones!$D:$D,"Egreso",Transacciones!$G:$G,'Flujo de caja'!$A21,Transacciones!$B:$B,'Flujo de caja'!L$6)</f>
        <v>0</v>
      </c>
      <c r="M21" s="23">
        <f>+SUMIFS(Transacciones!$H:$H,Transacciones!$D:$D,"Egreso",Transacciones!$G:$G,'Flujo de caja'!$A21,Transacciones!$B:$B,'Flujo de caja'!M$6)</f>
        <v>0</v>
      </c>
    </row>
    <row r="22" spans="1:13" x14ac:dyDescent="0.35">
      <c r="A22" s="33" t="s">
        <v>116</v>
      </c>
      <c r="B22" s="23">
        <f>+SUMIFS(Transacciones!$H:$H,Transacciones!$D:$D,"Egreso",Transacciones!$G:$G,'Flujo de caja'!$A22,Transacciones!$B:$B,'Flujo de caja'!B$6)</f>
        <v>-35000</v>
      </c>
      <c r="C22" s="23">
        <f>+SUMIFS(Transacciones!$H:$H,Transacciones!$D:$D,"Egreso",Transacciones!$G:$G,'Flujo de caja'!$A22,Transacciones!$B:$B,'Flujo de caja'!C$6)</f>
        <v>-13000</v>
      </c>
      <c r="D22" s="23">
        <f>+SUMIFS(Transacciones!$H:$H,Transacciones!$D:$D,"Egreso",Transacciones!$G:$G,'Flujo de caja'!$A22,Transacciones!$B:$B,'Flujo de caja'!D$6)</f>
        <v>-13000</v>
      </c>
      <c r="E22" s="23">
        <f>+SUMIFS(Transacciones!$H:$H,Transacciones!$D:$D,"Egreso",Transacciones!$G:$G,'Flujo de caja'!$A22,Transacciones!$B:$B,'Flujo de caja'!E$6)</f>
        <v>0</v>
      </c>
      <c r="F22" s="23">
        <f>+SUMIFS(Transacciones!$H:$H,Transacciones!$D:$D,"Egreso",Transacciones!$G:$G,'Flujo de caja'!$A22,Transacciones!$B:$B,'Flujo de caja'!F$6)</f>
        <v>0</v>
      </c>
      <c r="G22" s="23">
        <f>+SUMIFS(Transacciones!$H:$H,Transacciones!$D:$D,"Egreso",Transacciones!$G:$G,'Flujo de caja'!$A22,Transacciones!$B:$B,'Flujo de caja'!G$6)</f>
        <v>0</v>
      </c>
      <c r="H22" s="23">
        <f>+SUMIFS(Transacciones!$H:$H,Transacciones!$D:$D,"Egreso",Transacciones!$G:$G,'Flujo de caja'!$A22,Transacciones!$B:$B,'Flujo de caja'!H$6)</f>
        <v>0</v>
      </c>
      <c r="I22" s="23">
        <f>+SUMIFS(Transacciones!$H:$H,Transacciones!$D:$D,"Egreso",Transacciones!$G:$G,'Flujo de caja'!$A22,Transacciones!$B:$B,'Flujo de caja'!I$6)</f>
        <v>0</v>
      </c>
      <c r="J22" s="23">
        <f>+SUMIFS(Transacciones!$H:$H,Transacciones!$D:$D,"Egreso",Transacciones!$G:$G,'Flujo de caja'!$A22,Transacciones!$B:$B,'Flujo de caja'!J$6)</f>
        <v>0</v>
      </c>
      <c r="K22" s="23">
        <f>+SUMIFS(Transacciones!$H:$H,Transacciones!$D:$D,"Egreso",Transacciones!$G:$G,'Flujo de caja'!$A22,Transacciones!$B:$B,'Flujo de caja'!K$6)</f>
        <v>0</v>
      </c>
      <c r="L22" s="23">
        <f>+SUMIFS(Transacciones!$H:$H,Transacciones!$D:$D,"Egreso",Transacciones!$G:$G,'Flujo de caja'!$A22,Transacciones!$B:$B,'Flujo de caja'!L$6)</f>
        <v>0</v>
      </c>
      <c r="M22" s="23">
        <f>+SUMIFS(Transacciones!$H:$H,Transacciones!$D:$D,"Egreso",Transacciones!$G:$G,'Flujo de caja'!$A22,Transacciones!$B:$B,'Flujo de caja'!M$6)</f>
        <v>0</v>
      </c>
    </row>
    <row r="23" spans="1:13" ht="13.9" x14ac:dyDescent="0.4">
      <c r="A23" s="22" t="s">
        <v>119</v>
      </c>
      <c r="B23" s="34">
        <f>+B24</f>
        <v>0</v>
      </c>
      <c r="C23" s="34">
        <f t="shared" ref="C23:M23" si="5">+C24</f>
        <v>0</v>
      </c>
      <c r="D23" s="34">
        <f t="shared" si="5"/>
        <v>-25000</v>
      </c>
      <c r="E23" s="34">
        <f t="shared" si="5"/>
        <v>0</v>
      </c>
      <c r="F23" s="34">
        <f t="shared" si="5"/>
        <v>0</v>
      </c>
      <c r="G23" s="34">
        <f t="shared" si="5"/>
        <v>0</v>
      </c>
      <c r="H23" s="34">
        <f t="shared" si="5"/>
        <v>0</v>
      </c>
      <c r="I23" s="34">
        <f t="shared" si="5"/>
        <v>0</v>
      </c>
      <c r="J23" s="34">
        <f t="shared" si="5"/>
        <v>0</v>
      </c>
      <c r="K23" s="34">
        <f t="shared" si="5"/>
        <v>0</v>
      </c>
      <c r="L23" s="34">
        <f t="shared" si="5"/>
        <v>0</v>
      </c>
      <c r="M23" s="34">
        <f t="shared" si="5"/>
        <v>0</v>
      </c>
    </row>
    <row r="24" spans="1:13" x14ac:dyDescent="0.35">
      <c r="A24" s="33" t="s">
        <v>117</v>
      </c>
      <c r="B24" s="23">
        <f>+SUMIFS(Transacciones!$H:$H,Transacciones!$D:$D,"Egreso",Transacciones!$G:$G,'Flujo de caja'!$A24,Transacciones!$B:$B,'Flujo de caja'!B$6)</f>
        <v>0</v>
      </c>
      <c r="C24" s="23">
        <f>+SUMIFS(Transacciones!$H:$H,Transacciones!$D:$D,"Egreso",Transacciones!$G:$G,'Flujo de caja'!$A24,Transacciones!$B:$B,'Flujo de caja'!C$6)</f>
        <v>0</v>
      </c>
      <c r="D24" s="23">
        <f>+SUMIFS(Transacciones!$H:$H,Transacciones!$D:$D,"Egreso",Transacciones!$G:$G,'Flujo de caja'!$A24,Transacciones!$B:$B,'Flujo de caja'!D$6)</f>
        <v>-25000</v>
      </c>
      <c r="E24" s="23">
        <f>+SUMIFS(Transacciones!$H:$H,Transacciones!$D:$D,"Egreso",Transacciones!$G:$G,'Flujo de caja'!$A24,Transacciones!$B:$B,'Flujo de caja'!E$6)</f>
        <v>0</v>
      </c>
      <c r="F24" s="23">
        <f>+SUMIFS(Transacciones!$H:$H,Transacciones!$D:$D,"Egreso",Transacciones!$G:$G,'Flujo de caja'!$A24,Transacciones!$B:$B,'Flujo de caja'!F$6)</f>
        <v>0</v>
      </c>
      <c r="G24" s="23">
        <f>+SUMIFS(Transacciones!$H:$H,Transacciones!$D:$D,"Egreso",Transacciones!$G:$G,'Flujo de caja'!$A24,Transacciones!$B:$B,'Flujo de caja'!G$6)</f>
        <v>0</v>
      </c>
      <c r="H24" s="23">
        <f>+SUMIFS(Transacciones!$H:$H,Transacciones!$D:$D,"Egreso",Transacciones!$G:$G,'Flujo de caja'!$A24,Transacciones!$B:$B,'Flujo de caja'!H$6)</f>
        <v>0</v>
      </c>
      <c r="I24" s="23">
        <f>+SUMIFS(Transacciones!$H:$H,Transacciones!$D:$D,"Egreso",Transacciones!$G:$G,'Flujo de caja'!$A24,Transacciones!$B:$B,'Flujo de caja'!I$6)</f>
        <v>0</v>
      </c>
      <c r="J24" s="23">
        <f>+SUMIFS(Transacciones!$H:$H,Transacciones!$D:$D,"Egreso",Transacciones!$G:$G,'Flujo de caja'!$A24,Transacciones!$B:$B,'Flujo de caja'!J$6)</f>
        <v>0</v>
      </c>
      <c r="K24" s="23">
        <f>+SUMIFS(Transacciones!$H:$H,Transacciones!$D:$D,"Egreso",Transacciones!$G:$G,'Flujo de caja'!$A24,Transacciones!$B:$B,'Flujo de caja'!K$6)</f>
        <v>0</v>
      </c>
      <c r="L24" s="23">
        <f>+SUMIFS(Transacciones!$H:$H,Transacciones!$D:$D,"Egreso",Transacciones!$G:$G,'Flujo de caja'!$A24,Transacciones!$B:$B,'Flujo de caja'!L$6)</f>
        <v>0</v>
      </c>
      <c r="M24" s="23">
        <f>+SUMIFS(Transacciones!$H:$H,Transacciones!$D:$D,"Egreso",Transacciones!$G:$G,'Flujo de caja'!$A24,Transacciones!$B:$B,'Flujo de caja'!M$6)</f>
        <v>0</v>
      </c>
    </row>
    <row r="25" spans="1:13" ht="13.9" x14ac:dyDescent="0.4">
      <c r="A25" s="32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ht="13.9" x14ac:dyDescent="0.4">
      <c r="A26" s="36" t="s">
        <v>132</v>
      </c>
      <c r="B26" s="37">
        <f>+B23+B17</f>
        <v>-188000</v>
      </c>
      <c r="C26" s="37">
        <f t="shared" ref="C26:M26" si="6">+C23+C17</f>
        <v>-58000</v>
      </c>
      <c r="D26" s="37">
        <f t="shared" si="6"/>
        <v>-83000</v>
      </c>
      <c r="E26" s="37">
        <f t="shared" si="6"/>
        <v>-58000</v>
      </c>
      <c r="F26" s="37">
        <f t="shared" si="6"/>
        <v>-58000</v>
      </c>
      <c r="G26" s="37">
        <f t="shared" si="6"/>
        <v>0</v>
      </c>
      <c r="H26" s="37">
        <f t="shared" si="6"/>
        <v>0</v>
      </c>
      <c r="I26" s="37">
        <f t="shared" si="6"/>
        <v>0</v>
      </c>
      <c r="J26" s="37">
        <f t="shared" si="6"/>
        <v>0</v>
      </c>
      <c r="K26" s="37">
        <f t="shared" si="6"/>
        <v>0</v>
      </c>
      <c r="L26" s="37">
        <f t="shared" si="6"/>
        <v>0</v>
      </c>
      <c r="M26" s="37">
        <f t="shared" si="6"/>
        <v>0</v>
      </c>
    </row>
    <row r="27" spans="1:13" ht="13.9" x14ac:dyDescent="0.4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3" ht="13.9" x14ac:dyDescent="0.4">
      <c r="A28" s="47" t="s">
        <v>133</v>
      </c>
      <c r="B28" s="48">
        <f>+B15+B26</f>
        <v>-123000</v>
      </c>
      <c r="C28" s="48">
        <f>+C15+C26</f>
        <v>17000</v>
      </c>
      <c r="D28" s="48">
        <f>+D15+D26</f>
        <v>60000</v>
      </c>
      <c r="E28" s="48">
        <f t="shared" ref="E28:M28" si="7">+E15+E26</f>
        <v>-18000</v>
      </c>
      <c r="F28" s="48">
        <f t="shared" si="7"/>
        <v>7000</v>
      </c>
      <c r="G28" s="48">
        <f t="shared" si="7"/>
        <v>58000</v>
      </c>
      <c r="H28" s="48">
        <f t="shared" si="7"/>
        <v>0</v>
      </c>
      <c r="I28" s="48">
        <f t="shared" si="7"/>
        <v>0</v>
      </c>
      <c r="J28" s="48">
        <f t="shared" si="7"/>
        <v>0</v>
      </c>
      <c r="K28" s="48">
        <f t="shared" si="7"/>
        <v>0</v>
      </c>
      <c r="L28" s="48">
        <f t="shared" si="7"/>
        <v>0</v>
      </c>
      <c r="M28" s="48">
        <f t="shared" si="7"/>
        <v>0</v>
      </c>
    </row>
    <row r="29" spans="1:13" ht="13.9" x14ac:dyDescent="0.4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ht="13.9" x14ac:dyDescent="0.4">
      <c r="A30" s="27" t="s">
        <v>79</v>
      </c>
      <c r="B30" s="26">
        <f>+B7+B28</f>
        <v>127000</v>
      </c>
      <c r="C30" s="26">
        <f t="shared" ref="C30:M30" si="8">+C7+C28</f>
        <v>144000</v>
      </c>
      <c r="D30" s="26">
        <f t="shared" si="8"/>
        <v>204000</v>
      </c>
      <c r="E30" s="26">
        <f t="shared" si="8"/>
        <v>186000</v>
      </c>
      <c r="F30" s="26">
        <f t="shared" si="8"/>
        <v>193000</v>
      </c>
      <c r="G30" s="26">
        <f t="shared" si="8"/>
        <v>251000</v>
      </c>
      <c r="H30" s="26">
        <f t="shared" si="8"/>
        <v>251000</v>
      </c>
      <c r="I30" s="26">
        <f t="shared" si="8"/>
        <v>251000</v>
      </c>
      <c r="J30" s="26">
        <f t="shared" si="8"/>
        <v>251000</v>
      </c>
      <c r="K30" s="26">
        <f t="shared" si="8"/>
        <v>251000</v>
      </c>
      <c r="L30" s="26">
        <f t="shared" si="8"/>
        <v>251000</v>
      </c>
      <c r="M30" s="26">
        <f t="shared" si="8"/>
        <v>251000</v>
      </c>
    </row>
    <row r="32" spans="1:13" x14ac:dyDescent="0.35">
      <c r="A32" s="49" t="s">
        <v>80</v>
      </c>
      <c r="B32" s="49"/>
      <c r="C32" s="49"/>
      <c r="D32" s="49"/>
      <c r="E32" s="49"/>
      <c r="F32" s="49"/>
      <c r="G32" s="49"/>
      <c r="H32" s="49"/>
      <c r="I32" s="49"/>
      <c r="J32" s="49"/>
    </row>
    <row r="34" spans="1:13" ht="19.5" customHeight="1" x14ac:dyDescent="0.4">
      <c r="A34" s="1" t="s">
        <v>81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3.9" x14ac:dyDescent="0.4">
      <c r="A35" s="22" t="s">
        <v>82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3.9" x14ac:dyDescent="0.4">
      <c r="A36" s="22" t="s">
        <v>83</v>
      </c>
      <c r="B36" s="28" t="str">
        <f>IFERROR(IF(B35="","",(B35-B15)/B15),"")</f>
        <v/>
      </c>
      <c r="C36" s="28" t="str">
        <f>IFERROR(IF(C35="","",(C35-C15)/C15),"")</f>
        <v/>
      </c>
      <c r="D36" s="28" t="str">
        <f>IFERROR(IF(D35="","",(D35-D15)/D15),"")</f>
        <v/>
      </c>
      <c r="E36" s="28" t="str">
        <f>IFERROR(IF(E35="","",(E35-E15)/E15),"")</f>
        <v/>
      </c>
      <c r="F36" s="28" t="str">
        <f>IFERROR(IF(F35="","",(F35-F15)/F15),"")</f>
        <v/>
      </c>
      <c r="G36" s="28" t="str">
        <f>IFERROR(IF(G35="","",(G35-G15)/G15),"")</f>
        <v/>
      </c>
      <c r="H36" s="28" t="str">
        <f>IFERROR(IF(H35="","",(H35-H15)/H15),"")</f>
        <v/>
      </c>
      <c r="I36" s="28" t="str">
        <f>IFERROR(IF(I35="","",(I35-I15)/I15),"")</f>
        <v/>
      </c>
      <c r="J36" s="28" t="str">
        <f>IFERROR(IF(J35="","",(J35-J15)/J15),"")</f>
        <v/>
      </c>
      <c r="K36" s="28" t="str">
        <f>IFERROR(IF(K35="","",(K35-K15)/K15),"")</f>
        <v/>
      </c>
      <c r="L36" s="28" t="str">
        <f>IFERROR(IF(L35="","",(L35-L15)/L15),"")</f>
        <v/>
      </c>
      <c r="M36" s="28" t="str">
        <f>IFERROR(IF(M35="","",(M35-M15)/M15),"")</f>
        <v/>
      </c>
    </row>
    <row r="37" spans="1:13" ht="13.9" x14ac:dyDescent="0.4">
      <c r="A37" s="22" t="s">
        <v>84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3.9" x14ac:dyDescent="0.4">
      <c r="A38" s="22" t="s">
        <v>85</v>
      </c>
      <c r="B38" s="28" t="str">
        <f t="shared" ref="B38:M38" si="9">IFERROR(IF(B37="","",(B37-B30)/B30),"")</f>
        <v/>
      </c>
      <c r="C38" s="28" t="str">
        <f t="shared" si="9"/>
        <v/>
      </c>
      <c r="D38" s="28" t="str">
        <f t="shared" si="9"/>
        <v/>
      </c>
      <c r="E38" s="28" t="str">
        <f t="shared" si="9"/>
        <v/>
      </c>
      <c r="F38" s="28" t="str">
        <f t="shared" si="9"/>
        <v/>
      </c>
      <c r="G38" s="28" t="str">
        <f t="shared" si="9"/>
        <v/>
      </c>
      <c r="H38" s="28" t="str">
        <f t="shared" si="9"/>
        <v/>
      </c>
      <c r="I38" s="28" t="str">
        <f t="shared" si="9"/>
        <v/>
      </c>
      <c r="J38" s="28" t="str">
        <f t="shared" si="9"/>
        <v/>
      </c>
      <c r="K38" s="28" t="str">
        <f t="shared" si="9"/>
        <v/>
      </c>
      <c r="L38" s="28" t="str">
        <f t="shared" si="9"/>
        <v/>
      </c>
      <c r="M38" s="28" t="str">
        <f t="shared" si="9"/>
        <v/>
      </c>
    </row>
  </sheetData>
  <mergeCells count="1">
    <mergeCell ref="A34:M34"/>
  </mergeCells>
  <conditionalFormatting sqref="B30:M30">
    <cfRule type="cellIs" dxfId="0" priority="2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"/>
  <sheetViews>
    <sheetView showGridLines="0" zoomScaleNormal="100" workbookViewId="0">
      <selection sqref="A1:D1"/>
    </sheetView>
  </sheetViews>
  <sheetFormatPr defaultColWidth="8.6640625" defaultRowHeight="14.25" x14ac:dyDescent="0.45"/>
  <cols>
    <col min="1" max="1" width="30" customWidth="1"/>
    <col min="2" max="2" width="16" customWidth="1"/>
    <col min="3" max="3" width="20" customWidth="1"/>
    <col min="4" max="4" width="55" customWidth="1"/>
  </cols>
  <sheetData>
    <row r="1" spans="1:4" ht="27.75" customHeight="1" x14ac:dyDescent="0.45">
      <c r="A1" s="2" t="s">
        <v>86</v>
      </c>
      <c r="B1" s="2"/>
      <c r="C1" s="2"/>
      <c r="D1" s="2"/>
    </row>
    <row r="3" spans="1:4" x14ac:dyDescent="0.45">
      <c r="A3" s="8" t="s">
        <v>87</v>
      </c>
      <c r="B3" s="8" t="s">
        <v>88</v>
      </c>
      <c r="C3" s="8" t="s">
        <v>89</v>
      </c>
      <c r="D3" s="8" t="s">
        <v>90</v>
      </c>
    </row>
    <row r="4" spans="1:4" x14ac:dyDescent="0.45">
      <c r="A4" s="29" t="s">
        <v>91</v>
      </c>
      <c r="B4" s="29" t="s">
        <v>92</v>
      </c>
      <c r="C4" s="29" t="s">
        <v>93</v>
      </c>
      <c r="D4" s="29" t="s">
        <v>94</v>
      </c>
    </row>
    <row r="5" spans="1:4" x14ac:dyDescent="0.45">
      <c r="A5" s="29" t="s">
        <v>95</v>
      </c>
      <c r="B5" s="29" t="s">
        <v>92</v>
      </c>
      <c r="C5" s="29" t="s">
        <v>93</v>
      </c>
      <c r="D5" s="29" t="s">
        <v>94</v>
      </c>
    </row>
    <row r="6" spans="1:4" x14ac:dyDescent="0.45">
      <c r="A6" s="29" t="s">
        <v>96</v>
      </c>
      <c r="B6" s="29" t="s">
        <v>92</v>
      </c>
      <c r="C6" s="29" t="s">
        <v>93</v>
      </c>
      <c r="D6" s="29" t="s">
        <v>97</v>
      </c>
    </row>
    <row r="7" spans="1:4" x14ac:dyDescent="0.45">
      <c r="A7" s="29" t="s">
        <v>98</v>
      </c>
      <c r="B7" s="29" t="s">
        <v>99</v>
      </c>
      <c r="C7" s="29" t="s">
        <v>32</v>
      </c>
      <c r="D7" s="29" t="s">
        <v>100</v>
      </c>
    </row>
    <row r="8" spans="1:4" ht="25.5" x14ac:dyDescent="0.45">
      <c r="A8" s="29" t="s">
        <v>101</v>
      </c>
      <c r="B8" s="29" t="s">
        <v>102</v>
      </c>
      <c r="C8" s="29" t="s">
        <v>103</v>
      </c>
      <c r="D8" s="29" t="s">
        <v>104</v>
      </c>
    </row>
    <row r="9" spans="1:4" x14ac:dyDescent="0.45">
      <c r="A9" s="29" t="s">
        <v>105</v>
      </c>
      <c r="B9" s="29" t="s">
        <v>102</v>
      </c>
      <c r="C9" s="29" t="s">
        <v>106</v>
      </c>
      <c r="D9" s="29" t="s">
        <v>107</v>
      </c>
    </row>
    <row r="10" spans="1:4" ht="25.5" x14ac:dyDescent="0.45">
      <c r="A10" s="29" t="s">
        <v>108</v>
      </c>
      <c r="B10" s="29" t="s">
        <v>102</v>
      </c>
      <c r="C10" s="29" t="s">
        <v>109</v>
      </c>
      <c r="D10" s="29"/>
    </row>
    <row r="11" spans="1:4" ht="25.5" x14ac:dyDescent="0.45">
      <c r="A11" s="29" t="s">
        <v>110</v>
      </c>
      <c r="B11" s="29" t="s">
        <v>102</v>
      </c>
      <c r="C11" s="29" t="s">
        <v>111</v>
      </c>
      <c r="D11" s="29"/>
    </row>
    <row r="13" spans="1:4" x14ac:dyDescent="0.45">
      <c r="A13" s="7" t="s">
        <v>112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Instrucciones</vt:lpstr>
      <vt:lpstr>Mapeo</vt:lpstr>
      <vt:lpstr>Transacciones</vt:lpstr>
      <vt:lpstr>DB Facturas</vt:lpstr>
      <vt:lpstr>Flujo de caja</vt:lpstr>
      <vt:lpstr>Calendario fiscal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Luca Barone</cp:lastModifiedBy>
  <cp:revision>0</cp:revision>
  <dcterms:created xsi:type="dcterms:W3CDTF">2026-08-28T12:46:59Z</dcterms:created>
  <dcterms:modified xsi:type="dcterms:W3CDTF">2026-08-28T13:19:12Z</dcterms:modified>
  <dc:language>en-US</dc:language>
</cp:coreProperties>
</file>